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5.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6.xml" ContentType="application/vnd.openxmlformats-officedocument.drawing+xml"/>
  <Override PartName="/xl/drawings/drawing7.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8.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9.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10.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11.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2.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3.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persons/person.xml" ContentType="application/vnd.ms-excel.person+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9"/>
  <workbookPr codeName="EstaPastaDeTrabalho" defaultThemeVersion="166925"/>
  <mc:AlternateContent xmlns:mc="http://schemas.openxmlformats.org/markup-compatibility/2006">
    <mc:Choice Requires="x15">
      <x15ac:absPath xmlns:x15ac="http://schemas.microsoft.com/office/spreadsheetml/2010/11/ac" url="C:\Users\Eduardo\Google Drive\Meus Projetos\xlMATRIX\"/>
    </mc:Choice>
  </mc:AlternateContent>
  <xr:revisionPtr revIDLastSave="0" documentId="13_ncr:1_{5DC374A8-AA19-446B-8B7B-19F94E0E80D4}" xr6:coauthVersionLast="47" xr6:coauthVersionMax="47" xr10:uidLastSave="{00000000-0000-0000-0000-000000000000}"/>
  <bookViews>
    <workbookView xWindow="-120" yWindow="-120" windowWidth="26760" windowHeight="14520" firstSheet="40" xr2:uid="{3E111190-26EA-484A-ABB9-DC63F2384BD9}"/>
  </bookViews>
  <sheets>
    <sheet name="Function List" sheetId="12" r:id="rId1"/>
    <sheet name="Main Functions" sheetId="1" r:id="rId2"/>
    <sheet name="OLS Functions" sheetId="2" r:id="rId3"/>
    <sheet name="STATIONARIZE" sheetId="47" r:id="rId4"/>
    <sheet name="ISSTATIONARY" sheetId="49" r:id="rId5"/>
    <sheet name="IORDER" sheetId="57" r:id="rId6"/>
    <sheet name="ISCOINTEGRATED" sheetId="59" r:id="rId7"/>
    <sheet name="DFTABLE" sheetId="48" r:id="rId8"/>
    <sheet name="GRANGER" sheetId="37" r:id="rId9"/>
    <sheet name="ANOVA" sheetId="34" r:id="rId10"/>
    <sheet name="LAG" sheetId="35" r:id="rId11"/>
    <sheet name="LEAD" sheetId="36" r:id="rId12"/>
    <sheet name="HPFILTER" sheetId="31" r:id="rId13"/>
    <sheet name="DIFF" sheetId="50" r:id="rId14"/>
    <sheet name="DETREND" sheetId="29" r:id="rId15"/>
    <sheet name="SEASADJ" sheetId="25" r:id="rId16"/>
    <sheet name="DUMMYVAR" sheetId="26" r:id="rId17"/>
    <sheet name="ADDCONST" sheetId="27" r:id="rId18"/>
    <sheet name="ADDTREND" sheetId="28" r:id="rId19"/>
    <sheet name="TSOPER" sheetId="60" r:id="rId20"/>
    <sheet name="EYE" sheetId="3" r:id="rId21"/>
    <sheet name="ZEROS" sheetId="5" r:id="rId22"/>
    <sheet name="ONES" sheetId="8" r:id="rId23"/>
    <sheet name="DIAG" sheetId="4" r:id="rId24"/>
    <sheet name="TRIL" sheetId="6" r:id="rId25"/>
    <sheet name="TRIU" sheetId="7" r:id="rId26"/>
    <sheet name="VEC" sheetId="9" r:id="rId27"/>
    <sheet name="RESHAPE" sheetId="23" r:id="rId28"/>
    <sheet name="FLIPLR" sheetId="10" r:id="rId29"/>
    <sheet name="FLIPUD" sheetId="11" r:id="rId30"/>
    <sheet name="REPMAT" sheetId="13" r:id="rId31"/>
    <sheet name="NOZERO (FIND)" sheetId="14" r:id="rId32"/>
    <sheet name="BLKDIAG" sheetId="15" r:id="rId33"/>
    <sheet name="ALL" sheetId="17" r:id="rId34"/>
    <sheet name="ANY" sheetId="18" r:id="rId35"/>
    <sheet name="NNZ" sheetId="22" r:id="rId36"/>
    <sheet name="LINSPACE" sheetId="19" r:id="rId37"/>
    <sheet name="LENGTH" sheetId="20" r:id="rId38"/>
    <sheet name="DIM" sheetId="30" r:id="rId39"/>
    <sheet name="NUMEL" sheetId="44" r:id="rId40"/>
    <sheet name="RMMISSING" sheetId="24" r:id="rId41"/>
    <sheet name="ISOUTLIER" sheetId="56" r:id="rId42"/>
    <sheet name="RMOUTLIERS" sheetId="55" r:id="rId43"/>
    <sheet name="MULTIFILTER" sheetId="40" r:id="rId44"/>
    <sheet name="TEXTTOARRAY" sheetId="41" r:id="rId45"/>
    <sheet name="COMPLEMENT" sheetId="21" r:id="rId46"/>
    <sheet name="SORTRANGE" sheetId="52" r:id="rId47"/>
    <sheet name="ISUNIQUE" sheetId="53" r:id="rId48"/>
  </sheets>
  <definedNames>
    <definedName name="_xlchart.v1.0" hidden="1">'OLS Functions'!#REF!</definedName>
    <definedName name="_xlchart.v1.1" hidden="1">'OLS Functions'!#REF!</definedName>
    <definedName name="_xlchart.v1.2" hidden="1">'OLS Functions'!#REF!</definedName>
    <definedName name="_xlchart.v1.3" hidden="1">'OLS Functions'!#REF!</definedName>
    <definedName name="ADDCONST">_xlfn.LAMBDA(_xlpm.matrix,_xlop.position,_xlop.header, _xlfn.LET( _xlpm.position, IF( _xlfn.ISOMITTED(_xlpm.position), 1, _xlpm.position), _xlpm.values, IF( OR( _xlpm.position&lt;1, _xlpm.position&gt;COLUMNS(_xlpm.matrix)+1), "#position exceeds matrix columns", IF(_xlpm.position=1, HORZCAT( ONES(ROWS(_xlpm.matrix),1), SLICE(_xlpm.matrix,0,0,1,-1) ), IF(_xlpm.position=COLUMNS(_xlpm.matrix)+1, HORZCAT(_xlpm.matrix, ONES(ROWS(_xlpm.matrix),1) ), HORZCAT( HORZCAT( SLICE(_xlpm.matrix,0,0,1,_xlpm.position-1), ONES(ROWS(_xlpm.matrix),1) ), SLICE(_xlpm.matrix,0,0,_xlpm.position,-1) ) ) ) ), IF(_xlfn.ISOMITTED(_xlpm.header), _xlpm.values, SLICE(_xlpm.values,1,1,_xlpm.position,_xlpm.position,_xlpm.header) ) ) )</definedName>
    <definedName name="ADDTREND">_xlfn.LAMBDA(_xlpm.matrix,_xlop.position,_xlop.nPower, _xlfn.LET( _xlpm.position, IF( OR( _xlfn.ISOMITTED(_xlpm.position), ISBLANK(_xlpm.position)), 1, _xlpm.position), _xlpm.nPower, IF( OR( _xlfn.ISOMITTED(_xlpm.nPower), ISBLANK(_xlpm.nPower)), 1, _xlpm.nPower), IF( OR( _xlpm.position&lt;1, _xlpm.position&gt;COLUMNS(_xlpm.matrix)+1), "#position exceeds matrix columns", IF(_xlpm.position=1, HORZCAT( _xlfn.SEQUENCE(ROWS(_xlpm.matrix),1)^_xlpm.nPower, SLICE(_xlpm.matrix,0,0,1,-1) ), IF(_xlpm.position=COLUMNS(_xlpm.matrix)+1, HORZCAT(_xlpm.matrix, _xlfn.SEQUENCE(ROWS(_xlpm.matrix),1)^_xlpm.nPower ), HORZCAT( HORZCAT( SLICE(_xlpm.matrix,0,0,1,_xlpm.position-1), _xlfn.SEQUENCE(ROWS(_xlpm.matrix),1)^_xlpm.nPower ), SLICE(_xlpm.matrix,0,0,_xlpm.position,-1) ) ) ) ) ) )</definedName>
    <definedName name="ALL">_xlfn.LAMBDA(_xlpm.matrix,_xlop.dim, _xlfn.LET( _xlpm.dim, IF( _xlfn.ISOMITTED(_xlpm.dim),"all", _xlpm.dim), IF(_xlpm.dim="all", IF( ( COUNTIF(_xlpm.matrix,FALSE) + COUNTIF(_xlpm.matrix,0)  ) = 0, TRUE, FALSE ), IF(_xlpm.dim=1, _xlfn.BYCOL(_xlpm.matrix, _xlfn.LAMBDA(_xlpm.col, IF( ( COUNTIF(_xlpm.col,FALSE) + COUNTIF(_xlpm.col,0)  ) = 0, TRUE, FALSE ) )), IF(_xlpm.dim=2, _xlfn.BYROW(_xlpm.matrix, _xlfn.LAMBDA(_xlpm.row, IF( ( COUNTIF(_xlpm.row,FALSE) + COUNTIF(_xlpm.row,0)  ) = 0, TRUE, FALSE ) )), #VALUE!) ) ) ))</definedName>
    <definedName name="ANOVA">_xlfn.LAMBDA(_xlpm.groupNames,_xlpm.groupVectors,_xlop.significance, _xlfn.LET( _xlpm.significance, IF(_xlfn.ISOMITTED(_xlpm.significance), 0.05, _xlpm.significance), _xlpm.nGroups,LENGTH(_xlpm.groupNames), _xlpm.nObs, _xlfn.BYCOL(_xlpm.groupVectors,_xlfn.LAMBDA(_xlpm.col, COUNTA(_xlpm.col))), _xlpm.groupSum, _xlfn.BYCOL(_xlpm.groupVectors,_xlfn.LAMBDA(_xlpm.col, SUM(_xlpm.col))), _xlpm.groupAverage, _xlfn.BYCOL(_xlpm.groupVectors,_xlfn.LAMBDA(_xlpm.col, AVERAGE(_xlpm.col))), _xlpm.groupSumSqr, _xlfn.BYCOL(_xlpm.groupVectors,_xlfn.LAMBDA(_xlpm.col, DEVSQ(_xlpm.col))), _xlpm.groupVar, _xlfn.BYCOL(_xlpm.groupVectors,_xlfn.LAMBDA(_xlpm.col, _xlfn.VAR.S(_xlpm.col))), _xlpm.SSbetween, SUM( ( _xlpm.groupAverage-AVERAGE(_xlpm.groupAverage) )^2 * _xlpm.nObs ), _xlpm.SSwithin, SUM( _xlpm.groupSumSqr ), _xlpm.SStotal, _xlpm.SSbetween + _xlpm.SSwithin, _xlpm.DFbetween, _xlpm.nGroups - 1, _xlpm.DFwithin, SUM(_xlpm.nObs) - _xlpm.DFbetween - 1, _xlpm.DFtotal, _xlpm.DFbetween + _xlpm.DFwithin, _xlpm.F, ( _xlpm.SSbetween/_xlpm.DFbetween ) / (_xlpm.SSwithin / _xlpm.DFwithin ), _xlpm.pValue, _xlfn.F.DIST.RT( _xlpm.F, _xlpm.DFbetween, _xlpm.DFwithin ), _xlpm.Fcrit, _xlfn.F.INV.RT( _xlpm.significance, _xlpm.DFbetween, _xlpm.DFwithin ), _xlpm.lineANOVA1, {"SUMMARY","","","","","",""}, _xlpm.lineANOVA1lab, {"Groups","Count","Sum","Average","Variance","",""}, _xlpm.lineANOVA1res, HORZCAT( HORZCAT( HORZCAT( HORZCAT( HORZCAT( VEC(_xlpm.groupNames), VEC(_xlpm.nObs) ), VEC(_xlpm.groupSum) ), VEC(_xlpm.groupAverage) ), VEC(_xlpm.groupVar)), REPMAT("",_xlpm.nGroups,2) ), _xlpm.lineANOVA2, {"","","","","","","";"ANOVA","","","","","","";"Source of variation","SS","df","MS","F","P-value","F-crit"}, _xlpm.lineANOVA2SS, VERTCAT( VERTCAT( VERTCAT(_xlpm.SSbetween, _xlpm.SSwithin), ""), _xlpm.SStotal), _xlpm.lineANOVA2DF, VERTCAT( VERTCAT( VERTCAT(_xlpm.DFbetween, _xlpm.DFwithin), ""), _xlpm.DFtotal), _xlpm.lineANOVA2MS, VERTCAT( VERTCAT( VERTCAT(_xlpm.SSbetween / _xlpm.DFbetween, _xlpm.SSwithin / _xlpm.DFwithin), ""), "" ), _xlpm.lineANOVA2F, VERTCAT( VERTCAT( VERTCAT(_xlpm.F, "" ), ""), "" ), _xlpm.lineANOVA2p, VERTCAT( VERTCAT( VERTCAT(_xlpm.pValue, "" ), ""), "" ), _xlpm.lineANOVA2Fcrit, VERTCAT( VERTCAT( VERTCAT(_xlpm.Fcrit, "" ), ""), "" ), VERTCAT( VERTCAT( VERTCAT( VERTCAT( _xlpm.lineANOVA1, _xlpm.lineANOVA1lab), _xlpm.lineANOVA1res), _xlpm.lineANOVA2 ), HORZCAT( HORZCAT( HORZCAT( HORZCAT( HORZCAT( HORZCAT( {"Between groups";"Within groups";"";"Total"}, _xlpm.lineANOVA2SS ), _xlpm.lineANOVA2DF), _xlpm.lineANOVA2MS), _xlpm.lineANOVA2F ), _xlpm.lineANOVA2p ), _xlpm.lineANOVA2Fcrit ) ) ))</definedName>
    <definedName name="ANY">_xlfn.LAMBDA(_xlpm.matrix,_xlop.dim, _xlfn.LET( _xlpm.dim, IF( _xlfn.ISOMITTED(_xlpm.dim),"all", _xlpm.dim), IF(_xlpm.dim="all", IF( ( COUNTIF(_xlpm.matrix,FALSE) + COUNTIF(_xlpm.matrix,0)  ) &lt;&gt; ROWS(_xlpm.matrix)*COLUMNS(_xlpm.matrix), TRUE, FALSE ), IF(_xlpm.dim=1, _xlfn.BYCOL(_xlpm.matrix, _xlfn.LAMBDA(_xlpm.col, IF( ( COUNTIF(_xlpm.col,FALSE) + COUNTIF(_xlpm.col,0)  ) &lt;&gt; ROWS(_xlpm.col), TRUE, FALSE ) )), IF(_xlpm.dim=2, _xlfn.BYROW(_xlpm.matrix, _xlfn.LAMBDA(_xlpm.row, IF( ( COUNTIF(_xlpm.row,FALSE) + COUNTIF(_xlpm.row,0)  ) &lt;&gt; COLUMNS(_xlpm.row), TRUE, FALSE ) )), #VALUE!) ) ) ))</definedName>
    <definedName name="BLKDIAG">_xlfn.LAMBDA(_xlpm.matrixA,_xlpm.matrixB,  _xlfn.LET(  _xlpm.nn,ROWS(_xlpm.matrixA) + ROWS(_xlpm.matrixB),  _xlpm.mm,COLUMNS(_xlpm.matrixA) + COLUMNS(_xlpm.matrixB),  _xlpm.nseq, IF(MOD(_xlfn.SEQUENCE(_xlpm.nn,1),ROWS(_xlpm.matrixA))=0, ROWS(_xlpm.matrixA), MOD(_xlfn.SEQUENCE(_xlpm.nn,1),ROWS(_xlpm.matrixA))),  _xlpm.mseq, IF(MOD(_xlfn.SEQUENCE(1,_xlpm.mm),COLUMNS(_xlpm.matrixA))=0, COLUMNS(_xlpm.matrixA), MOD(_xlfn.SEQUENCE(1,_xlpm.mm),COLUMNS(_xlpm.matrixA))),  _xlfn.MAKEARRAY(_xlpm.nn,_xlpm.mm,_xlfn.LAMBDA(_xlpm.row,_xlpm.col,  IF( OR( AND(_xlpm.row &lt;= ROWS(_xlpm.matrixA), _xlpm.col &gt; COLUMNS(_xlpm.matrixA) ), AND(_xlpm.row &gt; ROWS(_xlpm.matrixA), _xlpm.col &lt;= COLUMNS(_xlpm.matrixA) )  ), 0,  IF( _xlpm.row &lt;= ROWS(_xlpm.matrixA), INDEX(_xlpm.matrixA,INDEX(_xlpm.nseq,_xlpm.row),INDEX(_xlpm.mseq,1,_xlpm.col)), INDEX(_xlpm.matrixB,INDEX(_xlpm.nseq,_xlpm.row),INDEX(_xlpm.mseq,1,_xlpm.col)) )  ) ))  ))</definedName>
    <definedName name="COMPLEMENT">_xlfn.LAMBDA(_xlpm.matrix,_xlop.minInteger,_xlop.maxInteger, _xlfn.LET( _xlpm.minInteger, IF( _xlfn.ISOMITTED(_xlpm.minInteger), MIN(_xlpm.matrix), _xlpm.minInteger ), _xlpm.maxInteger, IF( _xlfn.ISOMITTED(_xlpm.maxInteger), MAX(_xlpm.matrix), _xlpm.maxInteger ), IFERROR( _xlfn.UNIQUE(VERTCAT(VEC(_xlpm.matrix), _xlfn.SEQUENCE(_xlpm.maxInteger-_xlpm.minInteger+1,1,_xlpm.minInteger)),FALSE,TRUE), NA()) ))</definedName>
    <definedName name="DETREND">_xlfn.LAMBDA(_xlpm.values,_xlop.nPower, _xlfn.LET(_xlpm.nPower, IF(_xlfn.ISOMITTED(_xlpm.nPower), 1, _xlpm.nPower),  _xlpm.values - OLS_FITTED(_xlpm.values, ADDCONST(_xlfn.SEQUENCE(ROWS(_xlpm.values))^_xlpm.nPower)) ) )</definedName>
    <definedName name="DFTABLE">_xlfn.LAMBDA(_xlpm.nObs,_xlop.significance,_xlop.constant,_xlop.trend, _xlfn.LET( _xlpm.significance,IF(_xlfn.ISOMITTED(_xlpm.significance),FALSE,_xlpm.significance), _xlpm.constant,IF(_xlfn.ISOMITTED(_xlpm.constant),FALSE,_xlpm.constant), _xlpm.trend,IF(_xlfn.ISOMITTED(_xlpm.trend),FALSE,_xlpm.trend), _xlpm.noConstant_noTrend, {-2.56574,-2.22213,-1.941,-1.61682;-2.2358,-1.15384,-0.2686,0.2656;-3.627,-3.4829,-3.365,-2.714;0,17.17265,31.223,25.364}, _xlpm.constant_noTrend, {-3.43035,-3.1175,-2.86154,-256677;-6.5393,-4.53235,-2.8903,-1.5384;-16.786,-9.8824,-4.234,-2.809;-79.433,-57.7669,-40.04,0}, _xlpm.constant_trend, {-3.95877,-3.65722,-3.41049,-3.12705;-9.0531,-6.48862,-4.3904,-2.5856;-28.428,-17.7624,-9.036,-3.925;-134.155,-85.3255,-45.374,-22.38}, _xlpm.matrix, _xlfn.IFS( AND(_xlpm.constant,_xlpm.trend), _xlpm.constant_trend, _xlpm.constant, _xlpm.constant_noTrend, _xlpm.trend, #VALUE!, TRUE, _xlpm.noConstant_noTrend ), _xlpm.colIdx, _xlfn.IFS(_xlpm.significance = 0.01, 1, _xlpm.significance = 0.025, 2, _xlpm.significance = 0.05, 3, _xlpm.significance = 0.1, 4, TRUE, #VALUE!), _xlpm.N, _xlpm.nObs, SLICE(_xlpm.matrix,1,1,_xlpm.colIdx,_xlpm.colIdx) + SLICE(_xlpm.matrix,2,2,_xlpm.colIdx,_xlpm.colIdx)/_xlpm.N + SLICE(_xlpm.matrix,3,3,_xlpm.colIdx,_xlpm.colIdx)/(_xlpm.N^2) + SLICE(_xlpm.matrix,4,4,_xlpm.colIdx,_xlpm.colIdx)/(_xlpm.N^3) ))</definedName>
    <definedName name="DIAG">_xlfn.LAMBDA(_xlpm.matrix,_xlop.k, _xlfn.LET(_xlpm.k,IF(_xlfn.ISOMITTED(_xlpm.k),0,_xlpm.k), IF( AND(ROWS(_xlpm.matrix)&gt;1, COLUMNS(_xlpm.matrix)&gt;1), _xlfn._xlws.FILTER(VEC(_xlpm.matrix),VEC(_xlfn.MAKEARRAY(ROWS(_xlpm.matrix),COLUMNS(_xlpm.matrix),_xlfn.LAMBDA(_xlpm.lin,_xlpm.col,_xlpm.col=(_xlpm.lin+_xlpm.k))))), IF(ROWS(_xlpm.matrix)=1, _xlpm.matrix*_xlfn.MUNIT(COLUMNS(_xlpm.matrix)), IF(COLUMNS(_xlpm.matrix)=1,_xlpm.matrix*_xlfn.MUNIT(ROWS(_xlpm.matrix)) )))) )</definedName>
    <definedName name="DIFF">_xlfn.LAMBDA(_xlpm.values,_xlop.n,_xlop.dim, _xlfn.LET( _xlpm.n, IF( OR( _xlfn.ISOMITTED(_xlpm.n), ISBLANK(_xlpm.n) ), 1, _xlpm.n), _xlpm.dim, IF( OR( _xlfn.ISOMITTED(_xlpm.dim), ISBLANK(_xlpm.dim) ), 1, _xlpm.dim), IF(_xlpm.dim=1, IF(_xlpm.n=0, _xlpm.values, DIFF( SLICE(_xlpm.values,2,-1) - SLICE(_xlpm.values,1,-2), _xlpm.n-1, _xlpm.dim)), IF(_xlpm.dim=2, IF(_xlpm.n=0, _xlpm.values, DIFF( SLICE(_xlpm.values,0,0,2,-1) - SLICE(_xlpm.values,0,0,1,-2), _xlpm.n-1, _xlpm.dim)), "# dim must be either 1 or 2" )) ) )</definedName>
    <definedName name="DIM">_xlfn.LAMBDA(_xlpm.matrix,_xlop.dim, _xlfn.LET(_xlpm.dim, IF(_xlfn.ISOMITTED(_xlpm.dim), 3, _xlpm.dim), CHOOSE(_xlpm.dim, ROWS(_xlpm.matrix), COLUMNS(_xlpm.matrix), VERTCAT(ROWS(_xlpm.matrix),COLUMNS(_xlpm.matrix)))) )</definedName>
    <definedName name="DUMMYVAR">_xlfn.LAMBDA(_xlpm.categories,_xlop.exclude, _xlfn.LET( _xlpm.check, IF( _xlfn.XOR( ROWS(_xlpm.categories)&gt;1, COLUMNS(_xlpm.categories)&gt;1 ), TRUE, FALSE), _xlpm.categories, IF(ROWS(_xlpm.categories)&gt;1, _xlpm.categories, TRANSPOSE(_xlpm.categories) ), _xlpm.uniqueCategories, _xlfn._xlws.SORT( _xlfn.UNIQUE(_xlpm.categories) ), _xlpm.nCategories, COUNTA(_xlpm.uniqueCategories), _xlpm.matrix, 1 * ( REPMAT(_xlpm.categories,1,_xlpm.nCategories)=REPMAT( TRANSPOSE(_xlpm.uniqueCategories),ROWS(_xlpm.categories),1) ), IF( _xlpm.check=FALSE, "# categories must be a 1-column or 1-row vector", IF( OR( _xlfn.ISOMITTED(_xlpm.exclude), _xlpm.exclude = FALSE), _xlpm.matrix, SLICE(_xlpm.matrix, 0, 0, _xlfn._xlws.FILTER(_xlfn.SEQUENCE(1,_xlpm.nCategories), _xlfn.SEQUENCE(1,_xlpm.nCategories)&lt;&gt; (1*_xlpm.exclude) ), 0) ) ) ) )</definedName>
    <definedName name="EYE">_xlfn.LAMBDA(_xlpm.n,_xlop.m, _xlfn.LET(_xlpm.m, IF(_xlfn.ISOMITTED(_xlpm.m),_xlpm.n,_xlpm.m), IF(_xlpm.n=_xlpm.m,_xlfn.MUNIT(_xlpm.n),HORZCAT(_xlfn.MUNIT(_xlpm.n),ZEROS(_xlpm.n,_xlpm.m-_xlpm.n)))))</definedName>
    <definedName name="FLIPLR">_xlfn.LAMBDA(_xlpm.matrix,_xlfn.LET(_xlpm.matrix2,TRANSPOSE(_xlpm.matrix),TRANSPOSE(_xlfn.SORTBY(_xlpm.matrix2,_xlfn.SEQUENCE(ROWS(_xlpm.matrix2),1),-1))))</definedName>
    <definedName name="FLIPUD">_xlfn.LAMBDA(_xlpm.matrix, _xlfn.SORTBY(_xlpm.matrix, _xlfn.SEQUENCE(ROWS(_xlpm.matrix),1),-1) )</definedName>
    <definedName name="GET">_xlfn.LAMBDA(_xlpm.matrix,_xlpm.position,_xlop.patch,_xlop.remove,_xlop.rowsToCols, _xlfn.LET( _xlpm.nRows, ROWS(_xlpm.matrix), _xlpm.nCols, COLUMNS(_xlpm.matrix), _xlpm.remove, IF(_xlfn.ISOMITTED(_xlpm.remove), FALSE,_xlpm.remove), _xlpm.rowsToCols, IF(_xlfn.ISOMITTED(_xlpm.rowsToCols), TRUE, _xlpm.rowsToCols), IF(_xlfn.ISOMITTED(_xlpm.patch), IF(_xlpm.remove=FALSE, IF(AND(_xlpm.nRows&gt;1,_xlpm.nCols&gt;1),INDEX(VEC(_xlpm.matrix,_xlpm.rowsToCols),_xlpm.position,1), IF(_xlpm.nRows&gt;1, INDEX(_xlpm.matrix,_xlpm.position,1), INDEX(_xlpm.matrix,1,_xlpm.position) )), IF(AND(_xlpm.nRows&gt;1,_xlpm.nCols&gt;1),SLICE(VEC(_xlpm.matrix,_xlpm.rowsToCols),_xlpm.position,_xlpm.position,1,1,,TRUE), IF(_xlpm.nRows&gt;1, SLICE(_xlpm.matrix,_xlpm.position,_xlpm.position,1,1,,TRUE), SLICE(_xlpm.matrix,1,1,_xlpm.position,_xlpm.position,,TRUE) )) ), IF(AND(_xlpm.nRows&gt;1,_xlpm.nCols&gt;1),SLICE(VEC(_xlpm.matrix,_xlpm.rowsToCols),_xlpm.position,_xlpm.position,1,1,_xlpm.patch), IF(_xlpm.nRows&gt;1, SLICE(_xlpm.matrix,_xlpm.position,_xlpm.position,1,1,_xlpm.patch), SLICE(_xlpm.matrix,1,1,_xlpm.position,_xlpm.position,_xlpm.patch) )) )))</definedName>
    <definedName name="GRANGER">_xlfn.LAMBDA(_xlpm.predicted,_xlpm.predictors,_xlpm.nLags,_xlop.returnPValue, _xlfn.LET( _xlpm.returnPValue, IF( _xlfn.ISOMITTED(_xlpm.returnPValue), TRUE, FALSE), _xlpm.dataRestrictedBeforeCleaning, HORZCAT(_xlpm.predicted, ADDCONST( LAG(_xlpm.predicted, _xlpm.nLags, TRUE, TRUE) ) ), _xlpm.dataUnrestrictedBeforeCleaning, HORZCAT( _xlpm.dataRestrictedBeforeCleaning, LAG(_xlpm.predictors, _xlpm.nLags, TRUE, TRUE) ), _xlpm.dataUnrestricted, RMMISSING(_xlpm.dataUnrestrictedBeforeCleaning, 1), _xlpm.dataRestricted, SLICE( _xlpm.dataUnrestricted, 0, 0, 1, 2 + _xlpm.nLags ), _xlpm.sumSquaredResidRes, SUM(OLS_RESIDUALS( SLICE(_xlpm.dataRestricted, 0, 0, 1, 1), SLICE(_xlpm.dataRestricted, 0, 0, 2, -1) )^2), _xlpm.sumSquaredResidUnr, SUM(OLS_RESIDUALS( SLICE(_xlpm.dataUnrestricted, 0, 0, 1, 1), SLICE(_xlpm.dataUnrestricted, 0, 0, 2, -1) )^2), _xlpm.m, _xlpm.nLags, _xlpm.n, DIM(_xlpm.dataUnrestricted,1), _xlpm.k, 1 + 2* _xlpm.nLags, _xlpm.Fstat, ( (_xlpm.sumSquaredResidRes - _xlpm.sumSquaredResidUnr)/ _xlpm.m) / (_xlpm.sumSquaredResidUnr / (_xlpm.n-_xlpm.k) ), _xlpm.pValue, FDIST(_xlpm.Fstat, _xlpm.m, _xlpm.n-_xlpm.k), IF(_xlpm.returnPValue, _xlpm.pValue, _xlpm.Fstat) ))</definedName>
    <definedName name="HORZCAT" comment="Concatenate arrays horizontally">_xlfn.LAMBDA(_xlpm.matrixA,_xlpm.matrixB, _xlfn.LET( _xlpm.LinsA, IFERROR(ROWS(_xlpm.matrixA), 1), _xlpm.LinsB, IFERROR(ROWS(_xlpm.matrixB), 1), _xlpm.ColsA, IFERROR(COLUMNS(_xlpm.matrixA), 1), _xlpm.ColsB, IFERROR(COLUMNS(_xlpm.matrixB), 1), _xlpm.DataC, INDEX(_xlpm.matrixA, _xlfn.SEQUENCE(MAX(_xlpm.LinsA,_xlpm.LinsB)), _xlfn.SEQUENCE(1,_xlpm.ColsA) ), _xlpm.DataD, INDEX(_xlpm.matrixB, _xlfn.SEQUENCE(MAX(_xlpm.LinsA,_xlpm.LinsB)), _xlfn.SEQUENCE(1,_xlpm.ColsB) ), _xlpm.NumRows, ROWS(_xlpm.DataC), _xlpm.SeqCol, _xlfn.SEQUENCE( _xlpm.NumRows ), _xlpm.SeqRow, _xlfn.SEQUENCE(1, _xlpm.ColsA + _xlpm.ColsB), _xlfn.IFS(_xlfn.ISOMITTED(_xlpm.matrixA), _xlpm.matrixB, _xlfn.ISOMITTED(_xlpm.matrixB), _xlpm.matrixA, TRUE, IF( _xlpm.SeqRow &lt;= _xlpm.ColsA, INDEX( _xlpm.DataC, _xlpm.SeqCol,_xlpm.SeqRow), INDEX( _xlpm.DataD, _xlpm.SeqCol, _xlpm.SeqRow-_xlpm.ColsA ) ) ) ) )</definedName>
    <definedName name="HPFILTER">_xlfn.LAMBDA(_xlpm.values,_xlpm.lambda,_xlop.trendCycle, _xlfn.LET( _xlpm.trendCycle, IF( _xlfn.ISOMITTED(_xlpm.trendCycle), "t", LOWER(_xlpm.trendCycle) ),  _xlpm.ident, EYE(LENGTH(_xlpm.values)),  _xlpm.pentad0, VERTCAT( VERTCAT( {1;5;6}, 6 * ONES(LENGTH(_xlpm.values) - 6,1)), {6;5;1} ),  _xlpm.pentad1, VERTCAT( VERTCAT( {-2;-4}, -4 * ONES(LENGTH(_xlpm.values) - 5,1)), {-4;-2} ),  _xlpm.pentad2, ONES(LENGTH(_xlpm.values) - 2,1),  _xlpm.pentad, _xlfn.LAMBDA(_xlpm.matrix0,_xlpm.matrix1,_xlpm.matrix2, _xlfn.MAKEARRAY( LENGTH(_xlpm.matrix0), LENGTH(_xlpm.matrix0), _xlfn.LAMBDA(_xlpm.row,_xlpm.col, IF( _xlpm.row = _xlpm.col, INDEX(_xlpm.matrix0,_xlpm.row,1), IF( OR(_xlpm.row=_xlpm.col+1, _xlpm.col=_xlpm.row+1), INDEX(_xlpm.matrix1, MIN(_xlpm.row,_xlpm.col),1), IF( OR(_xlpm.row=_xlpm.col+2, _xlpm.col=_xlpm.row+2), INDEX(_xlpm.matrix2, MIN(_xlpm.row,_xlpm.col),1), 0 ) ) ) )  ) )(_xlpm.pentad0,_xlpm.pentad1,_xlpm.pentad2),  _xlpm.trend, MMULT( MINVERSE( _xlpm.lambda * _xlpm.pentad + _xlpm.ident), _xlpm.values),  IF(_xlpm.trendCycle = "t", _xlpm.trend, IF(_xlpm.trendCycle = "c", _xlpm.values - _xlpm.trend, "#trendCycle must be either ""t"" or ""c""") ) ) )</definedName>
    <definedName name="IORDER">_xlfn.LAMBDA(_xlpm.values,_xlop.automatic,_xlop.nLags,_xlop.significance,_xlop.maxDiffs, _xlfn.LET( _xlpm.automatic, IF(_xlfn.ISOMITTED(_xlpm.automatic), FALSE, _xlpm.automatic), _xlpm.nLags,IF(_xlfn.ISOMITTED(_xlpm.nLags), 0, _xlpm.nLags), _xlpm.significance, IF(_xlfn.ISOMITTED(_xlpm.significance), FALSE, _xlpm.significance), _xlpm.constant, FALSE, _xlpm.trend, FALSE, _xlpm.maxDiffs, IF(OR( _xlfn.ISOMITTED(_xlpm.maxDiffs), ISBLANK(_xlpm.maxDiffs)), 2, _xlpm.maxDiffs ), IF(ISSTATIONARY(_xlpm.values, _xlpm.automatic, _xlpm.nLags, _xlpm.significance, _xlpm.constant, _xlpm.trend), 0, IF(_xlpm.maxDiffs = 0, NA(), 1 + IORDER( DIFF(_xlpm.values,1,1), _xlpm.automatic, _xlpm.nLags, _xlpm.significance, _xlpm.maxDiffs - 1) )) ))</definedName>
    <definedName name="ISCOINTEGRATED">_xlfn.LAMBDA(_xlpm.valuesA,_xlpm.valuesB,_xlop.automatic,_xlop.nLags,_xlop.significance,_xlop.maxDiffs, _xlfn.LET( _xlpm.automatic, IF(_xlfn.ISOMITTED(_xlpm.automatic), FALSE, _xlpm.automatic), _xlpm.nLags,IF(_xlfn.ISOMITTED(_xlpm.nLags), 0, _xlpm.nLags), _xlpm.significance, IF(_xlfn.ISOMITTED(_xlpm.significance), FALSE, _xlpm.significance), _xlpm.constant, FALSE, _xlpm.trend, FALSE, _xlpm.maxDiffs, IF(OR( _xlfn.ISOMITTED(_xlpm.maxDiffs), ISBLANK(_xlpm.maxDiffs)), 2, _xlpm.maxDiffs ), _xlpm.orderA, IORDER(_xlpm.valuesA, _xlpm.automatic, _xlpm.nLags, _xlpm.significance, _xlpm.maxDiffs), _xlpm.orderB, IORDER(_xlpm.valuesB, _xlpm.automatic, _xlpm.nLags, _xlpm.significance, _xlpm.maxDiffs), IF(_xlpm.orderA&lt;&gt;_xlpm.orderB, "# both series must be integrated at the same order: valuesA is I("&amp; _xlpm.orderA &amp; ") and valuesB is I(" &amp; _xlpm.orderB &amp; ")", _xlfn.LET(_xlpm.orderC, IORDER(OLS_RESIDUALS(_xlpm.valuesA, ADDCONST(_xlpm.valuesB)), _xlpm.automatic, _xlpm.nLags, _xlpm.significance, _xlpm.maxDiffs), IF(AND(_xlpm.orderA&gt;_xlpm.orderC, _xlpm.orderB&gt;_xlpm.orderC), TRUE, FALSE) ) )))</definedName>
    <definedName name="ISEMPTY" comment="Test for empty values (cells or not)">_xlfn.LAMBDA(_xlpm.values, LEN(_xlpm.values)=0 )</definedName>
    <definedName name="ISOUTLIER">_xlfn.LAMBDA(_xlpm.matrix,_xlop.dim,_xlop.method,_xlop.lb,_xlop.ub, _xlfn.LET( _xlpm.dim,IF(_xlfn.ISOMITTED(_xlpm.dim),1,_xlpm.dim), _xlpm.method,IF(_xlfn.ISOMITTED(_xlpm.method),"MAD",_xlpm.method), _xlpm.lb,IF(_xlfn.ISOMITTED(_xlpm.lb),3,_xlpm.lb), _xlpm.ub,IF(_xlfn.ISOMITTED(_xlpm.ub),3,_xlpm.ub), _xlpm.identOut, IF( _xlpm.dim=1, _xlfn.MAKEARRAY(ROWS(_xlpm.matrix),COLUMNS(_xlpm.matrix), _xlfn.LAMBDA(_xlpm.lin,_xlpm.col, _xlfn.LET(_xlpm.coll, RMMISSING(INDEX(_xlpm.matrix,0,_xlpm.col),_xlpm.dim), _xlpm.mad, MEDIAN(ABS(_xlpm.coll-MEDIAN(_xlpm.coll))), OR( (INDEX(_xlpm.matrix,_xlpm.lin,_xlpm.col) - MEDIAN(_xlpm.coll)) &gt; _xlpm.ub*_xlpm.mad, (MEDIAN(_xlpm.coll) - INDEX(_xlpm.matrix,_xlpm.lin,_xlpm.col)) &gt; _xlpm.lb*_xlpm.mad ) ))), _xlfn.MAKEARRAY(ROWS(_xlpm.matrix),COLUMNS(_xlpm.matrix), _xlfn.LAMBDA(_xlpm.lin,_xlpm.col,  _xlfn.LET(_xlpm.linn, RMMISSING(INDEX(_xlpm.matrix,_xlpm.lin,0),_xlpm.dim), _xlpm.mad, MEDIAN(ABS(_xlpm.linn-MEDIAN(_xlpm.linn))), OR( (INDEX(_xlpm.matrix,_xlpm.lin,_xlpm.col) - MEDIAN(_xlpm.linn)) &gt; _xlpm.ub*_xlpm.mad, (MEDIAN(_xlpm.linn) - INDEX(_xlpm.matrix,_xlpm.lin,_xlpm.col)) &gt; _xlpm.lb*_xlpm.mad ) ))) ), _xlpm.identOut ))</definedName>
    <definedName name="ISSTATIONARY">_xlfn.LAMBDA(_xlpm.values,_xlop.automatic,_xlop.nLags,_xlop.significance,_xlop.constant,_xlop.trend, _xlfn.LET( _xlpm.automatic, IF(_xlfn.ISOMITTED(_xlpm.automatic), FALSE, _xlpm.automatic), _xlpm.nLags,IF(_xlfn.ISOMITTED(_xlpm.nLags), 0, _xlpm.nLags), _xlpm.significance, IF(_xlfn.ISOMITTED(_xlpm.significance), FALSE, _xlpm.significance), _xlpm.constant, IF(_xlfn.ISOMITTED(_xlpm.constant), FALSE, _xlpm.constant), _xlpm.trend, IF(_xlfn.ISOMITTED(_xlpm.trend), FALSE, _xlpm.trend ), _xlpm.diffValues_1, SLICE(_xlpm.values,2,-1) - SLICE(_xlpm.values,1,-2), _xlpm.X_noConst, LAG(_xlpm.values,1,FALSE), _xlpm.X_const, ADDCONST(LAG(_xlpm.values,1,FALSE)), _xlpm.X_constTrend, ADDCONST(ADDTREND(LAG(_xlpm.values,1,FALSE))), IF( OR(_xlpm.automatic = "AIC", _xlpm.automatic = "BIC"), _xlfn.LET(_xlpm.tableIC, HORZCAT(HORZCAT( OLS_OPTIMAL_LAG(_xlpm.diffValues_1, _xlpm.X_noConst, _xlpm.nLags, FALSE, _xlpm.automatic, TRUE,TRUE), OLS_OPTIMAL_LAG(_xlpm.diffValues_1, _xlpm.X_const, _xlpm.nLags, FALSE, _xlpm.automatic, TRUE,TRUE)), OLS_OPTIMAL_LAG(_xlpm.diffValues_1, _xlpm.X_constTrend, _xlpm.nLags, FALSE, _xlpm.automatic, TRUE, TRUE)), _xlpm.idxRowAndCol, NOZERO(_xlpm.tableIC=MIN(_xlpm.tableIC),1,"FIRST",TRUE), _xlpm.constant, INDEX(_xlpm.idxRowAndCol,1,2) &gt; 1, _xlpm.trend, INDEX(_xlpm.idxRowAndCol,1,2) &gt; 2, _xlpm.pickedX,  CHOOSE(INDEX(_xlpm.idxRowAndCol,1,2), _xlpm.X_noConst, _xlpm.X_const, _xlpm.X_constTrend), _xlfn.LET( _xlpm.X, HORZCAT( _xlpm.pickedX, LAG(_xlpm.diffValues_1, INDEX(_xlpm.idxRowAndCol,1,1) - 1,TRUE,TRUE) ), _xlpm.testResult, _xlfn.LET(_xlpm.matrix, RMMISSING(HORZCAT(_xlpm.diffValues_1,_xlpm.X)), _xlpm.y, INDEX(_xlpm.matrix,0,1), _xlpm.X, SLICE(_xlpm.matrix,0,0,2,-1),SLICE(OLS_COEFF_TSTAT(_xlpm.y, _xlpm.X),-1,-1) &lt; DFTABLE(LENGTH(_xlpm.values), _xlpm.significance, _xlpm.constant, _xlpm.trend)), _xlpm.testResult )), _xlfn.LET(_xlpm.X, _xlfn.IFS(AND(_xlpm.constant,_xlpm.trend), _xlpm.X_constTrend, _xlpm.constant, _xlpm.X_const, _xlpm.trend, #VALUE!, TRUE, _xlpm.X_noConst ), _xlpm.testResult, _xlfn.LET(_xlpm.matrix, RMMISSING(HORZCAT(_xlpm.diffValues_1,_xlpm.X)), _xlpm.y, INDEX(_xlpm.matrix,0,1), _xlpm.X, SLICE(_xlpm.matrix,0,0,2,-1),SLICE(OLS_COEFF_TSTAT(_xlpm.y, _xlpm.X),-1,-1) &lt; DFTABLE(LENGTH(_xlpm.values), _xlpm.significance, _xlpm.constant, _xlpm.trend)), _xlpm.testResult ))))</definedName>
    <definedName name="ISUNIQUE">_xlfn.LAMBDA(_xlpm.value,_xlpm.matrix, SUM(1*(_xlpm.matrix=_xlpm.value)) = 1 )</definedName>
    <definedName name="LAG">_xlfn.LAMBDA(_xlpm.values,_xlop.nLags,_xlop.fillWithNA,_xlop.allLags,_xlop.descending,_xlop.headerFirstRow, _xlfn.LET( _xlpm.nLags, IF(_xlfn.ISOMITTED(_xlpm.nLags), 1, _xlpm.nLags), _xlpm.fillWithNA, IF(_xlfn.ISOMITTED(_xlpm.fillWithNA), TRUE, _xlpm.fillWithNA ), _xlpm.allLags, IF(_xlfn.ISOMITTED(_xlpm.allLags), FALSE,_xlpm.allLags), _xlpm.headerFirstRow, IF(_xlfn.ISOMITTED(_xlpm.headerFirstRow), FALSE, _xlpm.headerFirstRow), _xlpm.headers,IF(_xlpm.headerFirstRow, REPMAT(SLICE(_xlpm.values,1,1) &amp; "_LAG", 1, _xlpm.nLags * LARGE(1*_xlpm.allLags, 1)) &amp; REVERSECOLS(_xlfn.SEQUENCE(1,_xlpm.nLags * LARGE(1*_xlpm.allLags, 1))), FALSE), _xlpm.values,IF(_xlpm.headerFirstRow,SLICE(_xlpm.values,2,-1),_xlpm.values), _xlpm.resultMatrix, IF( OR( _xlpm.allLags = FALSE, _xlpm.nLags = 1), IF(_xlpm.fillWithNA, VERTCAT( NA()*ONES(_xlpm.nLags,1), SLICE(_xlpm.values,1,-_xlpm.nLags-1) ), SLICE(_xlpm.values,1,-_xlpm.nLags-1) ), IF(_xlpm.fillWithNA, HORZCAT( VERTCAT( NA()*ONES(_xlpm.nLags,1), SLICE(_xlpm.values,1,-_xlpm.nLags-1) ), LAG(_xlpm.values,_xlpm.nLags-1,_xlpm.fillWithNA,_xlpm.allLags,TRUE) ), HORZCAT(SLICE(_xlpm.values,1,-_xlpm.nLags-1), LAG(_xlpm.values,_xlpm.nLags-1,_xlpm.fillWithNA,_xlpm.allLags,TRUE) ) )), _xlpm.resultMatrixHeaders, IF(_xlpm.headerFirstRow,VERTCAT(_xlpm.headers, _xlpm.resultMatrix), _xlpm.resultMatrix), IF(_xlpm.descending,_xlpm.resultMatrixHeaders,REVERSECOLS(_xlpm.resultMatrixHeaders)) ))</definedName>
    <definedName name="LEAD">_xlfn.LAMBDA(_xlpm.values,_xlop.nLeads,_xlop.fillWithNA,_xlop.allLeads,_xlop.descending,_xlop.headerFirstRow, _xlfn.LET( _xlpm.nLeads, IF(_xlfn.ISOMITTED(_xlpm.nLeads), 1, _xlpm.nLeads), _xlpm.fillWithNA, IF(_xlfn.ISOMITTED(_xlpm.fillWithNA), TRUE, _xlpm.fillWithNA ), _xlpm.allLeads, IF(_xlfn.ISOMITTED(_xlpm.allLeads), FALSE,_xlpm.allLeads), _xlpm.headerFirstRow, IF(_xlfn.ISOMITTED(_xlpm.headerFirstRow), FALSE, _xlpm.headerFirstRow), _xlpm.headers,IF(_xlpm.headerFirstRow, REPMAT(SLICE(_xlpm.values,1,1) &amp; "_LEAD", 1, _xlpm.nLeads * LARGE(1*_xlpm.allLeads, 1)) &amp; REVERSECOLS(_xlfn.SEQUENCE(1,_xlpm.nLeads * LARGE(1*_xlpm.allLeads, 1))), FALSE), _xlpm.values,IF(_xlpm.headerFirstRow,SLICE(_xlpm.values,2,-1),_xlpm.values), _xlpm.resultMatrix, IF( OR( _xlpm.allLeads = FALSE, _xlpm.nLeads = 1), IF(_xlpm.fillWithNA, VERTCAT( SLICE(_xlpm.values,_xlpm.nLeads+1,-1), NA()*ONES(_xlpm.nLeads,1) ), SLICE(_xlpm.values,_xlpm.nLeads+1,-1) ), IF(_xlpm.fillWithNA, HORZCAT( VERTCAT( SLICE(_xlpm.values,_xlpm.nLeads+1,-1), NA()*ONES(_xlpm.nLeads,1) ), LEAD(_xlpm.values,_xlpm.nLeads-1,_xlpm.fillWithNA,_xlpm.allLeads,TRUE) ), HORZCAT( SLICE(_xlpm.values,_xlpm.nLeads+1,-1),  LEAD(_xlpm.values,_xlpm.nLeads-1,_xlpm.fillWithNA,_xlpm.allLeads,TRUE)  ) )), _xlpm.resultMatrixHeaders, IF(_xlpm.headerFirstRow,VERTCAT(_xlpm.headers, _xlpm.resultMatrix), _xlpm.resultMatrix), IF(_xlpm.descending,_xlpm.resultMatrixHeaders,REVERSECOLS(_xlpm.resultMatrixHeaders)) ))</definedName>
    <definedName name="LENGTH">_xlfn.LAMBDA(_xlpm.matrix, MAX(ROWS(_xlpm.matrix),COLUMNS(_xlpm.matrix)) )</definedName>
    <definedName name="LINSPACE">_xlfn.LAMBDA(_xlpm.lb,_xlpm.ub,_xlop.n, _xlfn.LET(_xlpm.n, IF(_xlfn.ISOMITTED(_xlpm.n),100,_xlpm.n), _xlfn.MAKEARRAY(_xlpm.n, 1,_xlfn.LAMBDA(_xlpm.lin,_xlpm.col, _xlpm.lb + (_xlpm.lin-1)*(_xlpm.ub - _xlpm.lb)/(_xlpm.n-1) ))) )</definedName>
    <definedName name="M">_xlfn.LAMBDA(_xlpm.matrix,_xlpm.ref,_xlop.patch, _xlfn.LET(_xlpm.ref, MID(_xlpm.ref,2,LEN(_xlpm.ref)-2), _xlpm.idxs, _xludf.SPLIT(_xlpm.ref,","), _xlpm.idxRows, IF( LEN(_xludf.SPLIT( INDEX(_xlpm.idxs,1), ":")) = 0, _xludf.SPLIT( INDEX(_xlpm.idxs,1), ":") * #VALUE!, IFERROR(VALUE(_xludf.SPLIT( INDEX(_xlpm.idxs,1), ":")), _xludf.SPLIT( INDEX(_xlpm.idxs,1), ":")) ), _xlpm.idxRowLB, IF( ISERR( INDEX(_xlpm.idxRows,1,1) ), 1, IF(INDEX(_xlpm.idxRows,1,1) = 0, 1, INDEX(_xlpm.idxRows,1,1) ) ), _xlpm.idxRowUB, IF( COLUMNS(_xlpm.idxRows) = 2, IF( ISERR( INDEX(_xlpm.idxRows,1,2) ), ROWS(_xlpm.matrix), IF( INDEX(_xlpm.idxRows,1,2) = 0, ROWS(_xlpm.matrix), INDEX(_xlpm.idxRows,1,2) ) ), IF(INDEX(_xlpm.idxRows,1,1)=0,ROWS(_xlpm.matrix),_xlpm.idxRowLB) ), _xlpm.idxCols, IF( LEN(_xludf.SPLIT( INDEX(_xlpm.idxs,2), ":")) = 0, _xludf.SPLIT( INDEX(_xlpm.idxs,2), ":") * #VALUE!, IFERROR(VALUE( _xludf.SPLIT( INDEX(_xlpm.idxs,2), ":") ), _xludf.SPLIT( INDEX(_xlpm.idxs,2), ":")) ), _xlpm.idxColLB, IF( ISERR( INDEX(_xlpm.idxCols,1,1) ), 1, IF( INDEX(_xlpm.idxCols,1,1) = 0, 1, INDEX(_xlpm.idxCols,1,1) ) ), _xlpm.idxColUB, IF( COLUMNS(_xlpm.idxCols) = 2, IF( ISERR( INDEX(_xlpm.idxCols,1,2) ), COLUMNS(_xlpm.matrix), IF( INDEX(_xlpm.idxCols,1,2) = 0, COLUMNS(_xlpm.matrix), INDEX(_xlpm.idxCols,1,2) ) ), IF(INDEX(_xlpm.idxCols,1,1)=0,COLUMNS(_xlpm.matrix),_xlpm.idxColLB) ), SLICE(_xlpm.matrix,_xlpm.idxRowLB,_xlpm.idxRowUB,_xlpm.idxColLB,_xlpm.idxColUB,_xlpm.patch,FALSE)) )</definedName>
    <definedName name="MULTIFILTER">_xlfn.LAMBDA(_xlpm.array,_xlpm.include,_xlop.if_empty,_xlop.headers, _xlfn.LET( _xlpm.criteriaDelim, ";", _xlpm.if_empty, IF(_xlfn.ISOMITTED(_xlpm.if_empty), NA(), _xlpm.if_empty), _xlpm.headers, IF(_xlfn.ISOMITTED(_xlpm.headers), INDEX(_xlpm.array,1,0), _xlpm.headers), _xlpm.array, IF(_xlfn.ISOMITTED(_xlpm.headers), SLICE(_xlpm.array,2,-1), _xlpm.array), _xlpm.include, _xludf.SPLIT(_xlpm.include, _xlpm.criteriaDelim), _xlpm.actualValue, _xlfn.LAMBDA(_xlpm.value, _xlfn.LET(_xlpm.value,TRIM(_xlpm.value), IF( AND( LEFT(_xlpm.value,1) = """", RIGHT(_xlpm.value,1) = """" ),  MID(_xlpm.value, 2, LEN(_xlpm.value) - 2), VALUE(_xlpm.value) ) ) ), IFERROR( _xlfn.REDUCE(_xlpm.array, _xlpm.include, _xlfn.LAMBDA(_xlpm.accum,_xlpm.criterion,  _xlfn._xlws.FILTER(_xlpm.accum, _xlfn.IFS( NOT(ISERR(SEARCH("&lt;&gt;",_xlpm.criterion))), _xlfn.LET( _xlpm.crit, _xlfn.LAMBDA(_xlpm.idx, INDEX(_xludf.SPLIT(_xlpm.criterion, "&lt;&gt;"),1,_xlpm.idx)), _xlpm.colCrit, MATCH( _xlpm.crit(1), _xlpm.headers, 0 ), INDEX(_xlpm.accum,0,_xlpm.colCrit) &lt;&gt; _xlpm.actualValue(_xlpm.crit(2)) ), NOT(ISERR(SEARCH("&gt;=",_xlpm.criterion))), _xlfn.LET( _xlpm.crit, _xlfn.LAMBDA(_xlpm.idx, INDEX(_xludf.SPLIT(_xlpm.criterion, "&gt;="),1,_xlpm.idx)), _xlpm.colCrit, MATCH( _xlpm.crit(1), _xlpm.headers, 0 ), INDEX(_xlpm.accum,0,_xlpm.colCrit) &gt;= _xlpm.actualValue(_xlpm.crit(2)) ), NOT(ISERR(SEARCH("&lt;=",_xlpm.criterion))), _xlfn.LET( _xlpm.crit, _xlfn.LAMBDA(_xlpm.idx, INDEX(_xludf.SPLIT(_xlpm.criterion, "&lt;="),1,_xlpm.idx)), _xlpm.colCrit, MATCH( _xlpm.crit(1), _xlpm.headers, 0 ), INDEX(_xlpm.accum,0,_xlpm.colCrit) &lt;= _xlpm.actualValue(_xlpm.crit(2)) ), NOT(ISERR(SEARCH("=",_xlpm.criterion))), _xlfn.LET( _xlpm.crit, _xlfn.LAMBDA(_xlpm.idx, INDEX(_xludf.SPLIT(_xlpm.criterion, "="),1,_xlpm.idx)), _xlpm.colCrit, MATCH( _xlpm.crit(1), _xlpm.headers, 0 ), INDEX(_xlpm.accum,0,_xlpm.colCrit) = _xlpm.actualValue(_xlpm.crit(2)) ), NOT(ISERR(SEARCH("&gt;",_xlpm.criterion))), _xlfn.LET( _xlpm.crit, _xlfn.LAMBDA(_xlpm.idx, INDEX(_xludf.SPLIT(_xlpm.criterion, "&gt;"),1,_xlpm.idx)), _xlpm.colCrit, MATCH( _xlpm.crit(1), _xlpm.headers, 0 ), INDEX(_xlpm.accum,0,_xlpm.colCrit) &gt; _xlpm.actualValue(_xlpm.crit(2)) ), NOT(ISERR(SEARCH("&lt;",_xlpm.criterion))), _xlfn.LET( _xlpm.crit, _xlfn.LAMBDA(_xlpm.idx, INDEX(_xludf.SPLIT(_xlpm.criterion, "&lt;"),1,_xlpm.idx)), _xlpm.colCrit, MATCH( _xlpm.crit(1), _xlpm.headers, 0 ), INDEX(_xlpm.accum,0,_xlpm.colCrit) &lt; _xlpm.actualValue(_xlpm.crit(2)) ) ) ))), _xlpm.if_empty) ) )</definedName>
    <definedName name="NNZ">_xlfn.LAMBDA(_xlpm.matrix, COUNTA(_xlpm.matrix) - SUM(IF(_xlpm.matrix=FALSE,1,0)) - SUM(IF(_xlpm.matrix=0,1,0)) )</definedName>
    <definedName name="NOZERO">_xlfn.LAMBDA(_xlpm.matrix,_xlop.n,_xlop.direction,_xlop.returnRowAndCol, _xlfn.LET( _xlpm.n, IF(OR(_xlfn.ISOMITTED(_xlpm.n),_xlpm.n&lt;1), ROWS(_xlpm.matrix)*COLUMNS(_xlpm.matrix),_xlpm.n), _xlpm.direction, IF(_xlfn.ISOMITTED(_xlpm.direction), "first", LOWER(_xlpm.direction) ), _xlpm.returnRowAndCol, IF(_xlfn.ISOMITTED(_xlpm.returnRowAndCol), FALSE, _xlpm.returnRowAndCol), _xlpm.vecMatrix, 1*(VEC(_xlpm.matrix)*1&lt;&gt;0), _xlpm.nElems, SUM(_xlpm.vecMatrix), IF(_xlpm.nElems = 0, NA(), _xlfn.LET( _xlpm.filtered, _xlfn._xlws.FILTER(_xlfn.SEQUENCE(ROWS(_xlpm.matrix)*COLUMNS(_xlpm.matrix)),_xlpm.vecMatrix), _xlpm.filteredOrdered, IF(_xlpm.direction = "first", _xlpm.filtered, IF( _xlpm.direction = "last", FLIPUD(_xlpm.filtered), #VALUE!) ), _xlfn.LET(_xlpm.idxs, INDEX( _xlpm.filteredOrdered, _xlfn.SEQUENCE( MIN(COUNTA(_xlpm.filteredOrdered),_xlpm.n) ), 0 ), IF(_xlpm.returnRowAndCol, HORZCAT( IF(MOD(_xlpm.idxs,ROWS(_xlpm.matrix))=0,ROWS(_xlpm.matrix),MOD(_xlpm.idxs,ROWS(_xlpm.matrix))), ROUNDUP(_xlpm.idxs/COLUMNS(_xlpm.matrix),0) ), _xlpm.idxs) )))))</definedName>
    <definedName name="NUMEL">_xlfn.LAMBDA(_xlpm.matrix, ROWS(_xlpm.matrix)*COLUMNS(_xlpm.matrix) )</definedName>
    <definedName name="OLS_AIC">_xlfn.LAMBDA(_xlpm.y,_xlpm.X,_xlop.coeff,_xlfn.LET(_xlpm.bbeta, IF(_xlfn.ISOMITTED(_xlpm.coeff), OLS_COEFF(_xlpm.y,_xlpm.X), VEC(_xlpm.coeff)), 2*DIM(_xlpm.X,2) - 2*OLS_LOGLIKELIHOOD(_xlpm.y,_xlpm.X,_xlpm.coeff)  ))</definedName>
    <definedName name="OLS_BIC">_xlfn.LAMBDA(_xlpm.y,_xlpm.X,_xlop.coeff,_xlfn.LET(_xlpm.bbeta, IF(_xlfn.ISOMITTED(_xlpm.coeff), OLS_COEFF(_xlpm.y,_xlpm.X), VEC(_xlpm.coeff)), DIM(_xlpm.X,2)*LN(LENGTH(_xlpm.y)) - 2*OLS_LOGLIKELIHOOD(_xlpm.y,_xlpm.X,_xlpm.coeff)  ))</definedName>
    <definedName name="OLS_COEFF">_xlfn.LAMBDA(_xlpm.y,_xlpm.X,_xlfn.LET( _xlpm.XX, MINVERSE(MMULT(TRANSPOSE(_xlpm.X),_xlpm.X)), _xlpm.XY, MMULT(TRANSPOSE(_xlpm.X),_xlpm.y), MMULT(_xlpm.XX,_xlpm.XY)))</definedName>
    <definedName name="OLS_COEFF_PVALUE">_xlfn.LAMBDA(_xlpm.y,_xlpm.X,_xlop.coeff,_xlfn.LET(_xlpm.bbeta, IF(_xlfn.ISOMITTED(_xlpm.coeff), OLS_COEFF(_xlpm.y,_xlpm.X), VEC(_xlpm.coeff)), _xlpm.tstat, _xlpm.bbeta / DIAG(SQRT(OLS_VARCOV(_xlpm.y,_xlpm.X,_xlpm.coeff))), _xlfn.T.DIST.2T(ABS(_xlpm.tstat), LENGTH(_xlpm.y) - DIM(_xlpm.X,2) )))</definedName>
    <definedName name="OLS_COEFF_PVALUE_HAC">_xlfn.LAMBDA(_xlpm.y,_xlpm.X,_xlop.coeff,_xlfn.LET(_xlpm.bbeta, IF(_xlfn.ISOMITTED(_xlpm.coeff), OLS_COEFF(_xlpm.y,_xlpm.X), VEC(_xlpm.coeff)), _xlpm.tstat, _xlpm.bbeta / DIAG(SQRT(OLS_VARCOV_HAC(_xlpm.y,_xlpm.X,_xlpm.coeff))), _xlfn.T.DIST.2T(ABS(_xlpm.tstat), LENGTH(_xlpm.y) - DIM(_xlpm.X,2) )))</definedName>
    <definedName name="OLS_COEFF_STDEV">_xlfn.LAMBDA(_xlpm.y,_xlpm.X,_xlop.coeff,_xlfn.LET(_xlpm.bbeta, IF(_xlfn.ISOMITTED(_xlpm.coeff), OLS_COEFF(_xlpm.y,_xlpm.X), VEC(_xlpm.coeff)), DIAG(SQRT(OLS_VARCOV(_xlpm.y,_xlpm.X,_xlpm.coeff))) ))</definedName>
    <definedName name="OLS_COEFF_STDEV_HAC">_xlfn.LAMBDA(_xlpm.y,_xlpm.X,_xlop.coeff,_xlfn.LET(_xlpm.bbeta, IF(_xlfn.ISOMITTED(_xlpm.coeff), OLS_COEFF(_xlpm.y,_xlpm.X), VEC(_xlpm.coeff)), DIAG(SQRT(OLS_VARCOV_HAC(_xlpm.y,_xlpm.X,_xlpm.coeff))) ))</definedName>
    <definedName name="OLS_COEFF_TSTAT">_xlfn.LAMBDA(_xlpm.y,_xlpm.X,_xlop.coeff,_xlfn.LET(_xlpm.bbeta, IF(_xlfn.ISOMITTED(_xlpm.coeff), OLS_COEFF(_xlpm.y,_xlpm.X), VEC(_xlpm.coeff)), _xlpm.bbeta / DIAG(SQRT(OLS_VARCOV(_xlpm.y,_xlpm.X,_xlpm.coeff))) ))</definedName>
    <definedName name="OLS_COEFF_TSTAT_HAC">_xlfn.LAMBDA(_xlpm.y,_xlpm.X,_xlop.coeff,_xlfn.LET(_xlpm.bbeta, IF(_xlfn.ISOMITTED(_xlpm.coeff), OLS_COEFF(_xlpm.y,_xlpm.X), VEC(_xlpm.coeff)), _xlpm.bbeta / DIAG(SQRT(OLS_VARCOV_HAC(_xlpm.y,_xlpm.X,_xlpm.coeff))) ))</definedName>
    <definedName name="OLS_CONF_INTERVAL">_xlfn.LAMBDA(_xlpm.Xtarget,_xlpm.significance,_xlpm.y,_xlpm.X,_xlop.coeff,_xlfn.LET(_xlpm.Xtarget, TRANSPOSE(_xlpm.Xtarget), _xlpm.bbeta, IF(_xlfn.ISOMITTED(_xlpm.coeff), OLS_COEFF(_xlpm.y,_xlpm.X), VEC(_xlpm.coeff)), _xlpm.df, LENGTH(_xlpm.y)-DIM(_xlpm.X,2), _xlpm.MSres, SUM(OLS_RESIDUALS(_xlpm.y,_xlpm.X,_xlpm.bbeta)^2)/_xlpm.df, _xlpm.seFIT, SQRT( _xlpm.MSres * MMULT(MMULT(TRANSPOSE(_xlpm.Xtarget), MINVERSE(MMULT(TRANSPOSE(_xlpm.X),_xlpm.X))),_xlpm.Xtarget) ), _xlpm.fcst, TRANSPOSE(_xlfn.BYCOL(_xlpm.Xtarget, _xlfn.LAMBDA(_xlpm.col, SUM(_xlpm.col*_xlpm.bbeta)))), _xlpm.tcrit, _xlfn.T.DIST.2T(_xlpm.significance, _xlpm.df), HORZCAT(HORZCAT(_xlpm.fcst-_xlpm.tcrit*DIAG(_xlpm.seFIT), _xlpm.fcst),_xlpm.fcst+_xlpm.tcrit*DIAG(_xlpm.seFIT)) ))</definedName>
    <definedName name="OLS_COOKS_DISTANCE">_xlfn.LAMBDA(_xlpm.y,_xlpm.X,_xlop.coeff,_xlop.returnCriticalStatus,_xlop.criticalThreshold, _xlfn.LET( _xlpm.bbeta, IF(_xlfn.ISOMITTED(_xlpm.coeff), OLS_COEFF(_xlpm.y,_xlpm.X), VEC(_xlpm.coeff)), _xlpm.returnCriticalStatus, IF(_xlfn.ISOMITTED(_xlpm.returnCriticalStatus),FALSE,_xlpm.returnCriticalStatus), _xlpm.criticalThreshold, IF(_xlfn.ISOMITTED(_xlpm.criticalThreshold), 1, _xlpm.criticalThreshold), _xlpm.levValues, OLS_LEVERAGE(_xlpm.y,_xlpm.X,_xlpm.bbeta), _xlpm.mse, MMULT(TRANSPOSE(OLS_RESIDUALS(_xlpm.y,_xlpm.X,_xlpm.bbeta)),OLS_RESIDUALS(_xlpm.y,_xlpm.X,_xlpm.bbeta)) / (LENGTH(_xlpm.y)-DIM(_xlpm.X,2)), _xlpm.cooksDist, OLS_RESIDUALS(_xlpm.y,_xlpm.X,_xlpm.bbeta)^2/(DIM(_xlpm.X,2)*_xlpm.mse) * (_xlpm.levValues/((1-_xlpm.levValues)^2)), IF( _xlpm.returnCriticalStatus=FALSE, _xlpm.cooksDist, _xlpm.cooksDist&gt;=_xlpm.criticalThreshold ) ))</definedName>
    <definedName name="OLS_ESS">_xlfn.LAMBDA(_xlpm.y,_xlpm.X,_xlop.coeff,_xlfn.LET(_xlpm.bbeta, IF(_xlfn.ISOMITTED(_xlpm.coeff), OLS_COEFF(_xlpm.y,_xlpm.X), VEC(_xlpm.coeff)), _xlfn.VAR.P(OLS_FITTED(_xlpm.y,_xlpm.X,_xlpm.bbeta))*LENGTH(_xlpm.y)  ))</definedName>
    <definedName name="OLS_FITTED">_xlfn.LAMBDA(_xlpm.y,_xlpm.X,_xlop.coeff,_xlfn.LET(_xlpm.bbeta, IF(_xlfn.ISOMITTED(_xlpm.coeff), OLS_COEFF(_xlpm.y,_xlpm.X), VEC(_xlpm.coeff)), MMULT(_xlpm.X,_xlpm.bbeta)))</definedName>
    <definedName name="OLS_FSTAT">_xlfn.LAMBDA(_xlpm.y,_xlpm.X,_xlop.coeff,_xlfn.LET(_xlpm.bbeta, IF(_xlfn.ISOMITTED(_xlpm.coeff), OLS_COEFF(_xlpm.y,_xlpm.X), VEC(_xlpm.coeff)), (OLS_R2(_xlpm.y,_xlpm.X,_xlpm.coeff)/(DIM(_xlpm.X,2)-1))/((1-OLS_R2(_xlpm.y,_xlpm.X,_xlpm.coeff))/(LENGTH(_xlpm.y)-DIM(_xlpm.X,2))) ))</definedName>
    <definedName name="OLS_FSTAT_PVALUE">_xlfn.LAMBDA(_xlpm.y,_xlpm.X,_xlop.coeff,_xlfn.LET(_xlpm.bbeta, IF(_xlfn.ISOMITTED(_xlpm.coeff), OLS_COEFF(_xlpm.y,_xlpm.X), VEC(_xlpm.coeff)), _xlfn.F.DIST.RT(OLS_FSTAT(_xlpm.y,_xlpm.X,_xlpm.bbeta),DIM(_xlpm.X,2)-1,LENGTH(_xlpm.y)-DIM(_xlpm.X,2)) ))</definedName>
    <definedName name="OLS_LEVERAGE">_xlfn.LAMBDA(_xlpm.y,_xlpm.X,_xlop.coeff,_xlop.returnCriticalStatus,_xlop.criticalThreshold, _xlfn.LET( _xlpm.bbeta, IF(_xlfn.ISOMITTED(_xlpm.coeff), OLS_COEFF(_xlpm.y,_xlpm.X), VEC(_xlpm.coeff)), _xlpm.returnCriticalStatus, IF(_xlfn.ISOMITTED(_xlpm.returnCriticalStatus),FALSE,_xlpm.returnCriticalStatus), _xlpm.criticalThreshold, IF(_xlfn.ISOMITTED(_xlpm.criticalThreshold), 3*DIM(_xlpm.X,2)/LENGTH(_xlpm.y), _xlpm.criticalThreshold), _xlpm.levValues, DIAG(MMULT(MMULT(_xlpm.X,MINVERSE(MMULT(TRANSPOSE(_xlpm.X),_xlpm.X))),TRANSPOSE(_xlpm.X))), IF( _xlpm.returnCriticalStatus=FALSE, _xlpm.levValues, _xlpm.levValues&gt;=_xlpm.criticalThreshold ) ))</definedName>
    <definedName name="OLS_LOGLIKELIHOOD">_xlfn.LAMBDA(_xlpm.y,_xlpm.X,_xlop.coeff,_xlfn.LET(_xlpm.bbeta, IF(_xlfn.ISOMITTED(_xlpm.coeff), OLS_COEFF(_xlpm.y,_xlpm.X), VEC(_xlpm.coeff)), _xlpm.resid, OLS_RESIDUALS(_xlpm.y,_xlpm.X,_xlpm.bbeta), SUM( LN(_xlfn.NORM.DIST(_xlpm.resid,0, SQRT(SUMSQ(_xlpm.resid)/(LENGTH(_xlpm.y) - DIM(_xlpm.X,2)) ),FALSE )) )  ))</definedName>
    <definedName name="OLS_OPTIMAL_LAG">_xlfn.LAMBDA(_xlpm.y,_xlpm.X,_xlpm.nLags,_xlop.addConstant,_xlop.criterion,_xlop.returnCriterionValues,_xlop.includeZeroLag, _xlfn.LET( _xlpm.criterion, IF(_xlfn.ISOMITTED(_xlpm.criterion), "BIC", UPPER(_xlpm.criterion)), _xlpm.returnCriterionValues, IF(_xlfn.ISOMITTED(_xlpm.returnCriterionValues), FALSE, _xlpm.returnCriterionValues), _xlpm.includeZeroLag, IF(_xlfn.ISOMITTED(_xlpm.includeZeroLag), FALSE, _xlpm.includeZeroLag), _xlpm.X_1, IF( OR( _xlfn.ISOMITTED(_xlpm.addConstant), _xlpm.addConstant), ADDCONST(_xlpm.X), _xlpm.X), _xlpm.X_2, RMMISSING( HORZCAT(_xlpm.y, HORZCAT( _xlpm.X_1, LAG(_xlpm.y,_xlpm.nLags,TRUE,TRUE,FALSE) ) ) ), _xlpm.y, SLICE(_xlpm.X_2,0,0,1,1), IF( AND(_xlpm.criterion &lt;&gt; "AIC", _xlpm.criterion &lt;&gt; "BIC"), "# Criterion must be AIC or BIC", IF( DIM(_xlpm.X_2,1) &lt;= DIM(_xlpm.X_2,2), "# Number of parameters must be smaller than the non-missing sample size (after adding lags)", _xlfn.LET( _xlpm.critFunc, _xlfn.SWITCH(_xlpm.criterion,"AIC",_xlfn.LAMBDA(_xlpm.funcY,_xlpm.funcX,OLS_AIC(_xlpm.funcY,_xlpm.funcX)), "BIC",_xlfn.LAMBDA(_xlpm.funcY,_xlpm.funcX,OLS_BIC(_xlpm.funcY,_xlpm.funcX))), _xlpm.critValues, _xlfn.MAP(_xlfn.SEQUENCE(_xlpm.nLags + _xlpm.includeZeroLag), _xlfn.LAMBDA(_xlpm.row, _xlpm.critFunc(_xlpm.y, SLICE(_xlpm.X_2,0,0,2,DIM(_xlpm.X_2,2) - (_xlpm.nLags - _xlpm.row + _xlpm.includeZeroLag))) ) ), IF(_xlpm.returnCriterionValues, _xlpm.critValues, MATCH( MIN(_xlpm.critValues), _xlpm.critValues, 0) - _xlpm.includeZeroLag ) )))))</definedName>
    <definedName name="OLS_PRED_INTERVAL">_xlfn.LAMBDA(_xlpm.Xtarget,_xlpm.significance,_xlpm.y,_xlpm.X,_xlop.coeff,_xlfn.LET(_xlpm.Xtarget, TRANSPOSE(_xlpm.Xtarget), _xlpm.bbeta, IF(_xlfn.ISOMITTED(_xlpm.coeff), OLS_COEFF(_xlpm.y,_xlpm.X), VEC(_xlpm.coeff)), _xlpm.df, LENGTH(_xlpm.y)-DIM(_xlpm.X,2), _xlpm.MSres, SUM(OLS_RESIDUALS(_xlpm.y,_xlpm.X,_xlpm.bbeta)^2)/_xlpm.df, _xlpm.sePRED, SQRT( _xlpm.MSres * (1 + MMULT(MMULT(TRANSPOSE(_xlpm.Xtarget), MINVERSE(MMULT(TRANSPOSE(_xlpm.X),_xlpm.X))),_xlpm.Xtarget)) ), _xlpm.fcst, TRANSPOSE(_xlfn.BYCOL(_xlpm.Xtarget, _xlfn.LAMBDA(_xlpm.col, SUM(_xlpm.col*_xlpm.bbeta)))), _xlpm.tcrit, _xlfn.T.DIST.2T(_xlpm.significance, _xlpm.df), HORZCAT(HORZCAT(_xlpm.fcst-_xlpm.tcrit*DIAG(_xlpm.sePRED), _xlpm.fcst),_xlpm.fcst+_xlpm.tcrit*DIAG(_xlpm.sePRED)) ))</definedName>
    <definedName name="OLS_R2">_xlfn.LAMBDA(_xlpm.y,_xlpm.X,_xlop.coeff,_xlfn.LET(_xlpm.bbeta, IF(_xlfn.ISOMITTED(_xlpm.coeff), OLS_COEFF(_xlpm.y,_xlpm.X), VEC(_xlpm.coeff)), OLS_ESS(_xlpm.y,_xlpm.X,_xlpm.bbeta)/(OLS_ESS(_xlpm.y,_xlpm.X,_xlpm.bbeta) + OLS_RSS(_xlpm.y,_xlpm.X,_xlpm.bbeta))  ))</definedName>
    <definedName name="OLS_R2_ADJUSTED">_xlfn.LAMBDA(_xlpm.y,_xlpm.X,_xlop.coeff,_xlfn.LET(_xlpm.bbeta, IF(_xlfn.ISOMITTED(_xlpm.coeff), OLS_COEFF(_xlpm.y,_xlpm.X), VEC(_xlpm.coeff)), 1 - (1-OLS_R2(_xlpm.y,_xlpm.X,_xlpm.coeff))*(LENGTH(_xlpm.y)-1)/(LENGTH(_xlpm.y)-DIM(_xlpm.X,2)) ))</definedName>
    <definedName name="OLS_RESIDUALS">_xlfn.LAMBDA(_xlpm.y,_xlpm.X,_xlop.coeff,_xlfn.LET(_xlpm.bbeta, IF(_xlfn.ISOMITTED(_xlpm.coeff), OLS_COEFF(_xlpm.y,_xlpm.X), VEC(_xlpm.coeff)), _xlpm.y - MMULT(_xlpm.X,_xlpm.bbeta)))</definedName>
    <definedName name="OLS_RESIDUALS_PARTIAL">_xlfn.LAMBDA(_xlpm.y,_xlpm.X,_xlop.coeff,_xlfn.LET(_xlpm.bbeta, IF(_xlfn.ISOMITTED(_xlpm.coeff), OLS_COEFF(_xlpm.y,_xlpm.X), VEC(_xlpm.coeff)), _xlpm.res, _xlpm.y - MMULT(_xlpm.X,_xlpm.bbeta), _xlpm.resMat, REPMAT(_xlpm.res, 1, DIM(_xlpm.X,2)), _xlfn.MAKEARRAY(LENGTH(_xlpm.y), DIM(_xlpm.X,2), _xlfn.LAMBDA(_xlpm.row,_xlpm.col, INDEX(_xlpm.resMat,_xlpm.row,_xlpm.col) + INDEX(_xlpm.bbeta,_xlpm.col,1)*INDEX(_xlpm.X,_xlpm.row,_xlpm.col) ))))</definedName>
    <definedName name="OLS_RESIDUALS_STD">_xlfn.LAMBDA(_xlpm.y,_xlpm.X,_xlop.coeff,_xlop.standardized, _xlfn.LET( _xlpm.bbeta, IF(_xlfn.ISOMITTED(_xlpm.coeff), OLS_COEFF(_xlpm.y,_xlpm.X), VEC(_xlpm.coeff)), _xlpm.standardized, IF(_xlfn.ISOMITTED(_xlpm.standardized), TRUE, _xlpm.standardized), _xlpm.res, _xlpm.y - MMULT(_xlpm.X,_xlpm.bbeta), _xlpm.n, LENGTH(_xlpm.y), _xlpm.df, _xlpm.n - DIM(_xlpm.X,2), _xlpm.MSres, SUM(_xlpm.res^2)/_xlpm.df, _xlfn.SWITCH(_xlpm.standardized, FALSE, _xlpm.res, TRUE, _xlpm.res / SQRT(_xlpm.MSres), "N", _xlpm.res / SQRT(_xlpm.MSres), "T", _xlpm.res / SQRT(_xlpm.MSres*(1-OLS_LEVERAGE(_xlpm.y,_xlpm.X,_xlpm.bbeta))), "TOUT", _xlfn.LET(_xlpm.lev, OLS_LEVERAGE(_xlpm.y,_xlpm.X,_xlpm.bbeta), _xlpm.MSresi, ( (_xlpm.n-_xlpm.df+1)*_xlpm.MSres - _xlpm.res^2 / (1-_xlpm.lev) ) / (_xlpm.n - _xlpm.df), _xlpm.res / SQRT(_xlpm.MSresi * (1 - _xlpm.lev)) ), "# param standardized must be FALSE (default), TRUE (or ""N""), ""T"" or ""TOUT""" ) ))</definedName>
    <definedName name="OLS_RSS">_xlfn.LAMBDA(_xlpm.y,_xlpm.X,_xlop.coeff,_xlfn.LET(_xlpm.bbeta, IF(_xlfn.ISOMITTED(_xlpm.coeff), OLS_COEFF(_xlpm.y,_xlpm.X), VEC(_xlpm.coeff)), _xlfn.VAR.P(OLS_RESIDUALS(_xlpm.y,_xlpm.X,_xlpm.bbeta))*LENGTH(_xlpm.y)  ))</definedName>
    <definedName name="OLS_STDEV">_xlfn.LAMBDA(_xlpm.y,_xlpm.X,_xlop.coeff,_xlfn.LET(_xlpm.bbeta, IF(_xlfn.ISOMITTED(_xlpm.coeff), OLS_COEFF(_xlpm.y,_xlpm.X), VEC(_xlpm.coeff)), SQRT(SUMSQ(OLS_RESIDUALS(_xlpm.y,_xlpm.X,_xlpm.bbeta))/(LENGTH(_xlpm.y)-DIM(_xlpm.X,2)))  ))</definedName>
    <definedName name="OLS_TSS">_xlfn.LAMBDA(_xlpm.y,_xlpm.X,_xlop.coeff,_xlfn.LET(_xlpm.bbeta, IF(_xlfn.ISOMITTED(_xlpm.coeff), OLS_COEFF(_xlpm.y,_xlpm.X), VEC(_xlpm.coeff)), OLS_ESS(_xlpm.y,_xlpm.X,_xlpm.bbeta) + OLS_RSS(_xlpm.y,_xlpm.X,_xlpm.bbeta)  ))</definedName>
    <definedName name="OLS_VARCOV">_xlfn.LAMBDA(_xlpm.y,_xlpm.X,_xlop.coeff,_xlfn.LET(_xlpm.bbeta, IF(_xlfn.ISOMITTED(_xlpm.coeff), OLS_COEFF(_xlpm.y,_xlpm.X), VEC(_xlpm.coeff)),_xlpm.XX,MINVERSE(MMULT(TRANSPOSE(_xlpm.X),_xlpm.X)), ( SUM(OLS_RESIDUALS(_xlpm.y,_xlpm.X,_xlpm.bbeta)^2) / (ROWS(_xlpm.X) - COLUMNS(_xlpm.X) ) ) *_xlpm.XX))</definedName>
    <definedName name="OLS_VARCOV_HAC">_xlfn.LAMBDA(_xlpm.y,_xlpm.X,_xlop.coeff,_xlfn.LET(_xlpm.bbeta, IF(_xlfn.ISOMITTED(_xlpm.coeff), OLS_COEFF(_xlpm.y,_xlpm.X), VEC(_xlpm.coeff)),_xlpm.XX,MINVERSE(MMULT(TRANSPOSE(_xlpm.X),_xlpm.X)), _xlpm.n, LENGTH(_xlpm.y), _xlpm.resMatrix, _xlpm.n/(_xlpm.n - DIM(_xlpm.X,2)) * MMULT(OLS_RESIDUALS(_xlpm.y,_xlpm.X,_xlpm.bbeta),TRANSPOSE(OLS_RESIDUALS(_xlpm.y,_xlpm.X,_xlpm.bbeta))), _xlpm.lags, ROUNDDOWN(4*(_xlpm.n/100)^(2/9),0), _xlpm.weightMatrix, _xlfn.MAKEARRAY(_xlpm.n,_xlpm.n, _xlfn.LAMBDA(_xlpm.lin,_xlpm.col, IF(ABS(_xlpm.col-_xlpm.lin)&gt;_xlpm.lags,0,INDEX(_xlpm.resMatrix,_xlpm.lin,_xlpm.col)*(1-ABS(_xlpm.col-_xlpm.lin)/(_xlpm.lags+1))) ) ), _xlpm.covMatrix, MMULT( MMULT(_xlpm.XX, MMULT(MMULT(TRANSPOSE(_xlpm.X),_xlpm.weightMatrix),_xlpm.X)),_xlpm.XX), _xlpm.covMatrix ))</definedName>
    <definedName name="ONES">_xlfn.LAMBDA(_xlpm.n,_xlop.m, _xlfn.LET(_xlpm.m, IF(_xlfn.ISOMITTED(_xlpm.m),_xlpm.n,IF(_xlpm.m=0,_xlpm.n,_xlpm.m)), _xlfn.MAKEARRAY(_xlpm.n, _xlpm.m,_xlfn.LAMBDA(_xlpm.lin,_xlpm.col,1))) )</definedName>
    <definedName name="REPLACEALL">_xlfn.LAMBDA(_xlpm.text,_xlpm.oldChars,_xlpm.newText,_xlop.treatCharsAsText, _xlfn.LET(_xlpm.treatCharsAsText, IF(_xlfn.ISOMITTED(_xlpm.treatCharsAsText), TRUE, _xlpm.treatCharsAsText), _xlpm.oldChars, IF(_xlpm.treatCharsAsText, VEC(_xlpm.oldChars), _xlfn.TEXTJOIN("",TRUE,_xlpm.oldChars) ), IF(_xlpm.treatCharsAsText, IF(AND(LENGTH(_xlpm.oldChars)=1,_xlpm.oldChars=""), _xlpm.text, REPLACEALL( SUBSTITUTE( _xlpm.text, SLICE(_xlpm.oldChars,1,1), _xlpm.newText), IFERROR(SLICE(_xlpm.oldChars,2,-1), ""), _xlpm.newText,_xlpm.treatCharsAsText)), IF(_xlpm.oldChars ="", _xlpm.text, REPLACEALL( SUBSTITUTE( _xlpm.text, LEFT(_xlpm.oldChars,1), _xlpm.newText), MID(_xlpm.oldChars, 2, LEN(_xlpm.oldChars)-1), _xlpm.newText,_xlpm.treatCharsAsText) ))))</definedName>
    <definedName name="REPMAT" comment="Repeat copies of array">_xlfn.LAMBDA(_xlpm.matrix,_xlop.n,_xlop.m,  _xlfn.LET(_xlpm.n, IF( OR( _xlfn.ISOMITTED(_xlpm.n), _xlpm.n&lt;1 ),1,_xlpm.n), _xlpm.m, IF( OR( _xlfn.ISOMITTED(_xlpm.m), _xlpm.m&lt;1),1,_xlpm.m), _xlfn.LET( _xlpm.nn,_xlpm.n*ROWS(_xlpm.matrix), _xlpm.mm,_xlpm.m*COLUMNS(_xlpm.matrix), _xlpm.nseq, IF(MOD(_xlfn.SEQUENCE(_xlpm.nn,1),ROWS(_xlpm.matrix))=0, ROWS(_xlpm.matrix), MOD(_xlfn.SEQUENCE(_xlpm.nn,1),ROWS(_xlpm.matrix))), _xlpm.mseq, IF(MOD(_xlfn.SEQUENCE(1,_xlpm.mm),COLUMNS(_xlpm.matrix))=0, COLUMNS(_xlpm.matrix), MOD(_xlfn.SEQUENCE(1,_xlpm.mm),COLUMNS(_xlpm.matrix))), _xlfn.MAKEARRAY(_xlpm.nn,_xlpm.mm,_xlfn.LAMBDA(_xlpm.row,_xlpm.col,INDEX(_xlpm.matrix,INDEX(_xlpm.nseq,_xlpm.row),INDEX(_xlpm.mseq,1,_xlpm.col)))) )))</definedName>
    <definedName name="RESHAPE">_xlfn.LAMBDA(_xlpm.matrix,_xlpm.n,_xlpm.m,_xlop.rowsToCols, _xlfn.LET( _xlpm.rowsToCols, IF(_xlfn.ISOMITTED(_xlpm.rowsToCols),FALSE,_xlpm.rowsToCols), _xlpm.vecMatrix, VEC( IF(_xlpm.rowsToCols, _xlpm.matrix, TRANSPOSE(_xlpm.matrix)) ), IF( _xlpm.n+1 &lt;= ROWS(_xlpm.vecMatrix), HORZCAT( SLICE( _xlpm.vecMatrix, 1, _xlpm.n ), RESHAPE( SLICE( _xlpm.vecMatrix, _xlpm.n+1, ROWS(_xlpm.vecMatrix)  ), _xlpm.n,  _xlpm.m, TRUE) ), _xlpm.vecMatrix ) ))</definedName>
    <definedName name="REVERSECOLS" comment="Reverse the columns of a matrix">_xlfn.LAMBDA(_xlpm.matrix,_xlfn.LET(_xlpm.matrix2,TRANSPOSE(_xlpm.matrix),TRANSPOSE(_xlfn.SORTBY(_xlpm.matrix2,_xlfn.SEQUENCE(ROWS(_xlpm.matrix2),1),-1))))</definedName>
    <definedName name="REVERSEROWS" comment="Reverse the lines of a matrix">_xlfn.LAMBDA(_xlpm.matrix, _xlfn.SORTBY(_xlpm.matrix, _xlfn.SEQUENCE(ROWS(_xlpm.matrix),1),-1) )</definedName>
    <definedName name="RMMISSING">_xlfn.LAMBDA(_xlpm.matrix,_xlop.dim, _xlfn.LET(_xlpm.dim,IF(_xlfn.ISOMITTED(_xlpm.dim),1,_xlpm.dim), IF(_xlpm.dim = 1, _xlfn._xlws.FILTER( _xlpm.matrix, _xlfn.BYROW(_xlpm.matrix,_xlfn.LAMBDA(_xlpm.row, SUM(1*ISERROR(_xlpm.row)) + SUM(1*ISBLANK(_xlpm.row)) ))=0 ), _xlfn._xlws.FILTER( _xlpm.matrix, _xlfn.BYCOL(_xlpm.matrix,_xlfn.LAMBDA(_xlpm.col, SUM(1*ISERROR(_xlpm.col)) + SUM(1*ISBLANK(_xlpm.col)) ))=0 ) ) ))</definedName>
    <definedName name="RMOUTLIERS">_xlfn.LAMBDA(_xlpm.matrix,_xlop.dim,_xlop.method,_xlop.lb,_xlop.ub, _xlfn.LET( _xlpm.dim,IF(_xlfn.ISOMITTED(_xlpm.dim),1,_xlpm.dim), _xlpm.method,IF(_xlfn.ISOMITTED(_xlpm.method),"MAD",_xlpm.method), _xlpm.lb,IF(_xlfn.ISOMITTED(_xlpm.lb),3,_xlpm.lb), _xlpm.ub,IF(_xlfn.ISOMITTED(_xlpm.ub),3,_xlpm.ub), _xlpm.identOut, 1*ISOUTLIER(_xlpm.matrix,_xlpm.dim,_xlpm.method,_xlpm.lb,_xlpm.ub), IF(_xlpm.dim = 1, _xlfn._xlws.FILTER( _xlpm.matrix, _xlfn.BYROW(_xlpm.identOut,_xlfn.LAMBDA(_xlpm.row, SUM(IFERROR(_xlpm.row,0))))=0 ), _xlfn._xlws.FILTER( _xlpm.matrix, _xlfn.BYCOL(_xlpm.identOut,_xlfn.LAMBDA(_xlpm.col, SUM(IFERROR(_xlpm.col,0)) ))=0 ) ) ))</definedName>
    <definedName name="SAMPLE" comment="Extract a sample of lines from a matrix">_xlfn.LAMBDA(_xlpm.matrix,_xlpm.n,_xlop.dim,_xlop.replacement, _xlfn.LET( _xlpm.dim,IF(_xlfn.ISOMITTED(_xlpm.dim),1,_xlpm.dim), _xlpm.replacement,IF(_xlfn.ISOMITTED(_xlpm.replacement),TRUE,_xlpm.replacement), _xlpm.matrixClass, IF(_xlpm.dim=1,_xlpm.matrix,IF(_xlpm.dim=2,TRANSPOSE(_xlpm.matrix),#VALUE!)), _xlpm.matrixSample, IF(_xlpm.replacement = TRUE, SLICE(_xlfn.SORTBY(_xlpm.matrixClass, _xlfn.RANDARRAY(ROWS(_xlpm.matrixClass))), _xlfn.SEQUENCE(_xlpm.n), 0), IF(_xlpm.replacement = FALSE, SLICE(_xlpm.matrixClass, _xlfn.RANDARRAY(_xlpm.n,1,1,ROWS(_xlpm.matrixClass),TRUE), 0 ), #VALUE!)), IF(_xlpm.dim=1,_xlpm.matrixSample,TRANSPOSE(_xlpm.matrixSample)) ))</definedName>
    <definedName name="SEASADJ">_xlfn.LAMBDA(_xlpm.dates,_xlpm.values, _xlfn.LET(_xlpm.dummies, DUMMYVAR( MONTH(_xlpm.dates), FALSE),  AVERAGE(_xlpm.values) + OLS_RESIDUALS(_xlpm.values, _xlpm.dummies  ) ) )</definedName>
    <definedName name="SLICE" comment="Slice a matrix">_xlfn.LAMBDA(_xlpm.matrix,_xlop.lin_start,_xlop.lin_end,_xlop.col_start,_xlop.col_end,_xlop.patch,_xlop.remove, _xlfn.LET( _xlpm.lin_start, IF( OR( _xlfn.ISOMITTED(_xlpm.lin_start), _xlpm.lin_start=0), 1, IF(ISTEXT(_xlpm.lin_start), MATCH(_xlpm.lin_start,INDEX(_xlpm.matrix,0,1),0),_xlpm.lin_start)), _xlpm.lin_end, IF( OR(_xlfn.ISOMITTED(_xlpm.lin_end), _xlpm.lin_end=0), ROWS(_xlpm.matrix), IF(ISTEXT(_xlpm.lin_end),MATCH(_xlpm.lin_end,INDEX(_xlpm.matrix,0,1),0),_xlpm.lin_end)), _xlpm.col_start, IF(OR(_xlfn.ISOMITTED(_xlpm.col_start), _xlpm.col_start=0),1, IF(ISTEXT(_xlpm.col_start), MATCH(_xlpm.col_start,INDEX(_xlpm.matrix,1,0),0),_xlpm.col_start)), _xlpm.col_end, IF( OR(_xlfn.ISOMITTED(_xlpm.col_end), _xlpm.col_end=0), COLUMNS(_xlpm.matrix), IF(ISTEXT(_xlpm.col_end), MATCH(_xlpm.col_end,INDEX(_xlpm.matrix,1,0),0),_xlpm.col_end)), _xlpm.remove, IF( OR(_xlfn.ISOMITTED(_xlpm.remove), _xlpm.remove=0), FALSE, _xlpm.remove),  _xlpm.idxLins, _xlfn.SEQUENCE( IF( _xlpm.lin_end &gt; 0, _xlpm.lin_end, ROWS(_xlpm.matrix) + _xlpm.lin_end + 1) - IF( _xlpm.lin_start &gt; 0, _xlpm.lin_start, ROWS(_xlpm.matrix) + _xlpm.lin_start + 1) + 1, 1, IF( _xlpm.lin_start &gt; 0, _xlpm.lin_start, ROWS(_xlpm.matrix) + _xlpm.lin_start + 1) ),  _xlpm.idxCols, _xlfn.SEQUENCE( 1, IF( _xlpm.col_end &gt; 0, _xlpm.col_end, COLUMNS(_xlpm.matrix) + _xlpm.col_end + 1) - IF( _xlpm.col_start &gt; 0, _xlpm.col_start, COLUMNS(_xlpm.matrix) + _xlpm.col_start + 1) + 1, IF( _xlpm.col_start &gt; 0, _xlpm.col_start, COLUMNS(_xlpm.matrix) + _xlpm.col_start + 1) ),  IF(_xlfn.ISOMITTED(_xlpm.patch), IF(_xlpm.remove=FALSE, INDEX(_xlpm.matrix, _xlpm.idxLins,_xlpm.idxCols), INDEX(_xlpm.matrix, IFERROR(COMPLEMENT(_xlpm.idxLins,1,ROWS(_xlpm.matrix)), _xlpm.idxLins), IFERROR(TRANSPOSE(COMPLEMENT(_xlpm.idxCols,1,COLUMNS(_xlpm.matrix))),_xlpm.idxCols)) ), _xlfn.LET( _xlpm.patchLeft, IF(_xlpm.col_start-1 &gt;=1,HORZCAT(  M(_xlpm.matrix, "[" &amp; (_xlpm.lin_start) &amp; ":" &amp; (_xlpm.lin_end) &amp; ",1:" &amp; (_xlpm.col_start-1) &amp; "]"), _xlpm.patch), _xlpm.patch ), _xlpm.patchRight, IF(_xlpm.col_end+1 &lt;= COLUMNS(_xlpm.matrix), HORZCAT(_xlpm.patchLeft, M(_xlpm.matrix, "[" &amp; (_xlpm.lin_start) &amp; ":" &amp; (_xlpm.lin_end) &amp; "," &amp; (_xlpm.col_end+1) &amp; ":]") ), _xlpm.patchLeft), _xlpm.patchUpper, IF(_xlpm.lin_start-1 &gt;= 1, VERTCAT( M(_xlpm.matrix, "[1:" &amp; (_xlpm.lin_start-1) &amp; ",:]"), _xlpm.patchRight), _xlpm.patchRight), _xlpm.patchLower, IF(_xlpm.lin_end+1 &lt;= ROWS(_xlpm.matrix), VERTCAT( _xlpm.patchUpper, M(_xlpm.matrix, "[" &amp; (_xlpm.lin_end+1) &amp; ":,:]") ), _xlpm.patchUpper), IF( AND( ROWS(_xlpm.patch) = (_xlpm.lin_end - _xlpm.lin_start + 1), COLUMNS(_xlpm.patch) = (_xlpm.col_end - _xlpm.col_start + 1) ), _xlpm.patchLower, "# Patch range size is different" )))) )</definedName>
    <definedName name="SORTRANGE">_xlfn.LAMBDA(_xlpm.range,_xlop.sortRows,_xlop.asc,     _xlfn.LET(         _xlpm.asc, IF(_xlfn.ISOMITTED(_xlpm.asc),TRUE,_xlpm.asc),         _xlpm.nRows, ROWS(_xlpm.range),         _xlpm.mCols, COLUMNS(_xlpm.range),         _xlfn.SWITCH(IF(_xlpm.sortRows,1), 1,             _xlfn.MAKEARRAY(_xlpm.nRows,_xlpm.mCols,                 _xlfn.LAMBDA(_xlpm.i,_xlpm.j,                     INDEX( _xlfn.BYROW(_xlpm.range,                             _xlfn.LAMBDA(_xlpm.value,                                 IF( _xlpm.asc,                                     _xlfn.LET(_xlpm.sortedValue, _xlfn._xlws.SORT(_xlpm.value,,,TRUE), SLICE(_xlpm.sortedValue,1,1,_xlpm.j,_xlpm.j)),                                     _xlfn.LET(_xlpm.sortedValue, _xlfn._xlws.SORT(_xlpm.value,,-1,TRUE), SLICE(_xlpm.sortedValue, 1,1,_xlpm.j,_xlpm.j))                                 )                             )                     ), _xlpm.i, 1)                 )             ),             _xlfn.MAKEARRAY(_xlpm.nRows,_xlpm.mCols,                 _xlfn.LAMBDA(_xlpm.i,_xlpm.j,                     INDEX( _xlfn.BYCOL(_xlpm.range,                         _xlfn.LAMBDA(_xlpm.value,                             IF( _xlpm.asc,                                 _xlfn.LET(_xlpm.sortedValue, _xlfn._xlws.SORT(_xlpm.value,,,FALSE), SLICE(_xlpm.sortedValue, _xlpm.i, _xlpm.i, 1, 1)),                                 _xlfn.LET(_xlpm.sortedValue, _xlfn._xlws.SORT(_xlpm.value,,-1,FALSE), SLICE(_xlpm.sortedValue, _xlpm.i, _xlpm.i, 1, 1))                             )                         )                     ), 1, _xlpm.j)                 )             )         )     ) )</definedName>
    <definedName name="SPLIT">_xlfn.LAMBDA(_xlpm.txt,_xlpm.delim,_xlop.n,_xlop.list, _xlfn.LET( _xlpm.p,IFERROR(FIND(_xlpm.delim,_xlpm.txt),0), _xlpm.delimLength, LEN(_xlpm.delim), _xlpm.list,IF(_xlfn.ISOMITTED(_xlpm.list), {""}, _xlpm.list), IF(_xlpm.p,_xludf.SPLIT(MID(_xlpm.txt,_xlpm.p+_xlpm.delimLength,9999999),_xlpm.delim,_xlpm.n+1, IF(_xlfn.SEQUENCE(1,_xlpm.n+1)&lt;_xlpm.n+1,_xlpm.list,LEFT(_xlpm.txt,_xlpm.p-1))), IF(_xlpm.n=0,_xlpm.txt,IF(_xlfn.SEQUENCE(1,_xlpm.n+1)&lt;_xlpm.n+1,_xlpm.list,_xlpm.txt)) ) ) )</definedName>
    <definedName name="SPLITALL">_xlfn.LAMBDA(_xlpm.text,_xlpm.delim, _xlfn.LET( _xlpm.delim, VEC(_xlpm.delim), _xlpm.text, SUBSTITUTE(_xlpm.text, INDEX(_xlpm.delim,1,1),"&lt;/y&gt;&lt;y&gt;"), IF( LENGTH(_xlpm.delim) = 1, TRANSPOSE( _xlfn.FILTERXML("&lt;x&gt;&lt;y&gt;"&amp; _xlpm.text &amp; "&lt;/y&gt;&lt;/x&gt;", "//y") ), SPLITALL(_xlpm.text, SLICE(_xlpm.delim,2,-1)) ) ))</definedName>
    <definedName name="SPLITTWO">_xlfn.LAMBDA(_xlpm.txt,_xlpm.delim1,_xlpm.delim2,_xlop.returnedObject, _xlfn.LET( _xlpm.returnedObject, IF(_xlfn.ISOMITTED(_xlpm.returnedObject), "ELEMENTS", UPPER(_xlpm.returnedObject)), _xlpm.txtVec, TEXTTOCHAR(_xlpm.txt), _xlpm.posPlus, NOZERO( _xlpm.txtVec = _xlpm.delim1 ), _xlpm.posMin, NOZERO( _xlpm.txtVec = _xlpm.delim2 ), _xlpm.posAll, RMMISSING( _xlfn._xlws.SORT( VEC( HORZCAT(_xlpm.posPlus,_xlpm.posMin) ) ) ), _xlpm.posStart,  IF(SUM(ISERR(_xlpm.posAll)*1), 1, VERTCAT(1, _xlpm.posAll + 1 )), _xlpm.posEnd, IF( SUM(ISERR(_xlpm.posAll)*1), LEN(_xlpm.txt), VERTCAT(_xlpm.posAll - 1, LEN(_xlpm.txt)) ), _xlpm.items, MID(_xlpm.txt,_xlpm.posStart,_xlpm.posEnd-_xlpm.posStart+1), _xlpm.itemsPlus, VERTCAT(1, _xlfn.MAP(_xlpm.posAll, _xlfn.LAMBDA(_xlpm.val, SUM(1*(_xlpm.val=_xlpm.posPlus))))), _xlpm.itemsMin, 1*NOT(_xlpm.itemsPlus), _xlfn.SWITCH(_xlpm.returnedObject, "ELEMENTS", _xlpm.items, "DELIM1POS", _xlpm.itemsPlus, "DELIM2POS", _xlpm.itemsMin ) ) )</definedName>
    <definedName name="STATIONARIZE">_xlfn.LAMBDA(_xlpm.values,_xlop.automatic,_xlop.nLags,_xlop.significance,_xlop.constant,_xlop.trend,_xlop.maxDiffs, _xlfn.LET( _xlpm.automatic, IF(_xlfn.ISOMITTED(_xlpm.automatic), FALSE, _xlpm.automatic), _xlpm.nLags,IF(_xlfn.ISOMITTED(_xlpm.nLags), 0, _xlpm.nLags), _xlpm.significance, IF(_xlfn.ISOMITTED(_xlpm.significance), FALSE, _xlpm.significance), _xlpm.constant, IF(_xlfn.ISOMITTED(_xlpm.constant), FALSE, _xlpm.constant), _xlpm.trend, IF(_xlfn.ISOMITTED(_xlpm.trend), FALSE, _xlpm.trend ), _xlpm.maxDiffs, IF(OR( _xlfn.ISOMITTED(_xlpm.maxDiffs), ISBLANK(_xlpm.maxDiffs)), 2, _xlpm.maxDiffs ), IF(ISSTATIONARY(_xlpm.values, _xlpm.automatic, _xlpm.nLags, _xlpm.significance, _xlpm.constant, _xlpm.trend), _xlpm.values, IF(_xlpm.maxDiffs = 0, _xlpm.values, STATIONARIZE( DIFF(_xlpm.values,1,1), _xlpm.automatic, _xlpm.nLags, _xlpm.significance, _xlpm.constant, _xlpm.trend, _xlpm.maxDiffs - 1) )) ))</definedName>
    <definedName name="TEXTTOARRAY">_xlfn.LAMBDA(_xlpm.matrixText,_xlop.lineChar,_xlop.colChar, _xlfn.LET( _xlpm.lineChar, IF(_xlfn.ISOMITTED(_xlpm.lineChar), MID( _xlfn.ARRAYTOTEXT({1;1},1), 3, 1), _xlpm.lineChar), _xlpm.colChar, IF(_xlfn.ISOMITTED(_xlpm.colChar), MID( _xlfn.ARRAYTOTEXT({1,1},1), 3, 1), _xlpm.colChar), _xlpm.rows, TRANSPOSE( _xludf.SPLIT( _xlfn.LET( _xlpm.matrix, _xlpm.matrixText, MID( _xlpm.matrix, 2, LEN(_xlpm.matrix) -2)), _xlpm.lineChar) ), _xlpm.actualValue, _xlfn.LAMBDA(_xlpm.value, _xlfn.LET(_xlpm.value,TRIM(_xlpm.value), IF( AND( LEFT(_xlpm.value,1) = """", RIGHT(_xlpm.value,1) = """" ),  MID(_xlpm.value, 2, LEN(_xlpm.value) - 2), VALUE(_xlpm.value) ) ) ), _xlfn.MAKEARRAY(LENGTH(_xlpm.rows), LENGTH( _xludf.SPLIT( INDEX(_xlpm.rows,1,1), _xlpm.colChar ) ), _xlfn.LAMBDA(_xlpm.row,_xlpm.col,  _xlpm.actualValue( INDEX( _xludf.SPLIT( INDEX(_xlpm.rows,_xlpm.row,1), _xlpm.colChar ), 1, _xlpm.col ) ) ) ) ))</definedName>
    <definedName name="TEXTTOCHAR">_xlfn.LAMBDA(_xlpm.txt,MID(_xlpm.txt,_xlfn.SEQUENCE(LEN(_xlpm.txt)),1))</definedName>
    <definedName name="TOKENIZE">_xlfn.LAMBDA(_xlpm.expression,_xlpm.oldText,_xlpm.newText, _xlfn.LET( _xlpm.auxOldText, SLICE(VEC(_xlpm.oldText),1,1), _xlpm.auxText, TRIM(SUBSTITUTE(_xlpm.expression, _xlpm.auxOldText,_xlpm.newText)), IF( LENGTH(_xlpm.oldText) = 1, _xlpm.auxText, TOKENIZE(_xlpm.auxText, SLICE(VEC(_xlpm.oldText), 2, -1),_xlpm.newText) ) ))</definedName>
    <definedName name="TRIL">_xlfn.LAMBDA(_xlpm.matrix,_xlop.k,_xlfn.MAKEARRAY(ROWS(_xlpm.matrix),COLUMNS(_xlpm.matrix),_xlfn.LAMBDA(_xlpm.lin,_xlpm.col,_xlpm.col&lt;=(_xlpm.lin+_xlpm.k)))*_xlpm.matrix)</definedName>
    <definedName name="TRIU">_xlfn.LAMBDA(_xlpm.matrix,_xlop.K,_xlfn.MAKEARRAY(ROWS(_xlpm.matrix),COLUMNS(_xlpm.matrix),_xlfn.LAMBDA(_xlpm.lin,_xlpm.col,_xlpm.col&gt;=(_xlpm.lin+_xlpm.K)))*_xlpm.matrix)</definedName>
    <definedName name="TSOPER">_xlfn.LAMBDA(_xlpm.dates,_xlpm.values,_xlpm.operation, IF(OR(_xlfn.ISOMITTED(_xlpm.operation), _xlpm.operation=""), _xlpm.values, _xlfn.LET( _xlpm.oper, UPPER(LEFT(_xlpm.operation, FIND("(", _xlpm.operation) - 1)), _xlpm.lag, VALUE(MID(_xlpm.operation, FIND("(", _xlpm.operation) + 1, -1 + FIND(")", _xlpm.operation) - FIND("(", _xlpm.operation) )), _xlpm.result, _xlfn.SWITCH(_xlpm.oper, "V%", _xlfn.VSTACK( _xlfn.SEQUENCE(_xlpm.lag)*NA(), _xlfn.DROP(_xlpm.values, _xlpm.lag) / _xlfn.DROP(_xlpm.values, -_xlpm.lag) - 1), "VA", _xlfn.VSTACK( _xlfn.SEQUENCE(_xlpm.lag)*NA(), _xlfn.DROP(_xlpm.values, _xlpm.lag) - _xlfn.DROP(_xlpm.values, -_xlpm.lag) ), "LAG", _xlfn.VSTACK( _xlfn.SEQUENCE(_xlpm.lag)*NA(), _xlfn.DROP(_xlpm.values, -_xlpm.lag) ), "LEAD", _xlfn.VSTACK( _xlfn.DROP(_xlpm.values, _xlpm.lag), _xlfn.SEQUENCE(_xlpm.lag)*NA() ), "MA", _xlfn.VSTACK( _xlfn.SEQUENCE(_xlpm.lag)*NA(), _xlfn.MAKEARRAY(ROWS(_xlpm.values), 1, _xlfn.LAMBDA(_xlpm.row,_xlpm.col, AVERAGE(INDEX(_xlpm.values, _xlfn.SEQUENCE(_xlpm.lag, 1,_xlpm.row-_xlpm.lag+1))) )) ), "CR", (1 + _xlpm.values)^_xlpm.lag - 1, "IDX", _xlpm.values / INDEX(_xlpm.values,  MATCH(_xlpm.lag, _xlpm.dates, 0)), "B100", 100 * _xlpm.values / INDEX(_xlpm.values,  MATCH(_xlpm.lag, _xlpm.dates, 0)), "V%ACC", _xlpm.values / INDEX(_xlpm.values,  MATCH(_xlpm.lag, _xlpm.dates, 0)) - 1, "VAACC", _xlpm.values - INDEX(_xlpm.values,  MATCH(_xlpm.lag, _xlpm.dates, 0)), ), IF( ISERROR( FIND(";", _xlpm.operation) ), _xlpm.result, TSOPER(_xlpm.dates, _xlpm.result, MID(_xlpm.operation, FIND(";", _xlpm.operation) + 1, 999999999)) ) )))</definedName>
    <definedName name="VEC">_xlfn.LAMBDA(_xlpm.matrix,_xlop.rowsToCols, _xlfn.LET( _xlpm.rowsToCols, IF(_xlfn.ISOMITTED(_xlpm.rowsToCols),FALSE,_xlpm.rowsToCols), _xlpm.matrix, IF(_xlpm.rowsToCols, _xlpm.matrix, TRANSPOSE(_xlpm.matrix)), INDEX(_xlpm.matrix, _xlfn.MAKEARRAY(ROWS(_xlpm.matrix)*COLUMNS(_xlpm.matrix),1,_xlfn.LAMBDA(_xlpm.lin,_xlpm.col,ROUNDUP(_xlpm.lin/COLUMNS(_xlpm.matrix),0))), _xlfn.MAKEARRAY(ROWS(_xlpm.matrix)*COLUMNS(_xlpm.matrix),1,_xlfn.LAMBDA(_xlpm.lin,_xlpm.col,MOD(_xlpm.lin-1,COLUMNS(_xlpm.matrix))+1)) )) )</definedName>
    <definedName name="VERTCAT" comment="Concatenate arrays vertically">_xlfn.LAMBDA(_xlpm.matrixA,_xlpm.matrixB, _xlfn.LET( _xlpm.LinsA, IFERROR(ROWS(_xlpm.matrixA), 1), _xlpm.LinsB, IFERROR(ROWS(_xlpm.matrixB), 1), _xlpm.ColsA, IFERROR(COLUMNS(_xlpm.matrixA), 1), _xlpm.ColsB, IFERROR(COLUMNS(_xlpm.matrixB), 1), _xlpm.DataA, INDEX(_xlpm.matrixA, _xlfn.SEQUENCE(_xlpm.LinsA), _xlfn.SEQUENCE(1,MAX(_xlpm.ColsA,_xlpm.ColsB)) ), _xlpm.DataB, INDEX(_xlpm.matrixB, _xlfn.SEQUENCE(_xlpm.LinsB), _xlfn.SEQUENCE(1,MAX(_xlpm.ColsA,_xlpm.ColsB)) ), _xlpm.NumCols, COLUMNS(_xlpm.DataA), _xlpm.SeqCol, _xlfn.SEQUENCE( _xlpm.LinsA + _xlpm.LinsB ), _xlpm.SeqRow, _xlfn.SEQUENCE( 1, _xlpm.NumCols), _xlfn.IFS(_xlfn.ISOMITTED(_xlpm.matrixA), _xlpm.matrixB, _xlfn.ISOMITTED(_xlpm.matrixB), _xlpm.matrixA, TRUE, IF( _xlpm.SeqCol &lt;= _xlpm.LinsA, INDEX( _xlpm.DataA, _xlpm.SeqCol, _xlpm.SeqRow ), INDEX( _xlpm.DataB, _xlpm.SeqCol - _xlpm.LinsA, _xlpm.SeqRow ) ) ) ) )</definedName>
    <definedName name="ZEROS">_xlfn.LAMBDA(_xlpm.n,_xlop.m, _xlfn.LET(_xlpm.m, IF(_xlfn.ISOMITTED(_xlpm.m),_xlpm.n,IF(_xlpm.m=0,_xlpm.n,_xlpm.m)), _xlfn.MAKEARRAY(_xlpm.n, _xlpm.m,_xlfn.LAMBDA(_xlpm.lin,_xlpm.col,0))) )</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32" i="2" l="1" a="1"/>
  <c r="R32" i="2" s="1"/>
  <c r="I13" i="2" a="1"/>
  <c r="I13" i="2" s="1"/>
  <c r="H13" i="2" a="1"/>
  <c r="H13" i="2" s="1"/>
  <c r="K11" i="55" a="1"/>
  <c r="K11" i="55" s="1"/>
  <c r="K11" i="56" a="1"/>
  <c r="K11" i="56" s="1"/>
  <c r="J10" i="60" a="1"/>
  <c r="J10" i="60" s="1"/>
  <c r="I76" i="12" a="1"/>
  <c r="I76" i="12" s="1"/>
  <c r="L10" i="60" a="1"/>
  <c r="L10" i="60" s="1"/>
  <c r="N3" i="60"/>
  <c r="I107" i="12" a="1"/>
  <c r="I107" i="12" s="1"/>
  <c r="I106" i="12" a="1"/>
  <c r="I106" i="12" s="1"/>
  <c r="F76" i="12" a="1"/>
  <c r="F76" i="12" l="1"/>
  <c r="W35" i="2" a="1"/>
  <c r="W35" i="2" s="1"/>
  <c r="W38" i="2" a="1"/>
  <c r="W38" i="2" s="1"/>
  <c r="I91" i="12" a="1"/>
  <c r="I91" i="12" s="1"/>
  <c r="I90" i="12" a="1"/>
  <c r="I90" i="12" s="1"/>
  <c r="L41" i="2" a="1"/>
  <c r="L41" i="2" s="1"/>
  <c r="H41" i="2" a="1"/>
  <c r="H41" i="2" s="1"/>
  <c r="H26" i="2" a="1"/>
  <c r="H26" i="2" s="1"/>
  <c r="Y52" i="2" a="1"/>
  <c r="Y52" i="2" s="1"/>
  <c r="Y37" i="2" a="1"/>
  <c r="Y37" i="2" s="1"/>
  <c r="AB52" i="2" a="1"/>
  <c r="AB52" i="2" s="1"/>
  <c r="I26" i="2" a="1"/>
  <c r="I26" i="2" s="1"/>
  <c r="D19" i="2" a="1"/>
  <c r="D19" i="2" s="1"/>
  <c r="AB37" i="2" a="1"/>
  <c r="AB37" i="2" s="1"/>
  <c r="I105" i="12" l="1" a="1"/>
  <c r="I105" i="12" s="1"/>
  <c r="I104" i="12" a="1"/>
  <c r="I104" i="12" s="1"/>
  <c r="R19" i="2" a="1"/>
  <c r="R19" i="2" s="1"/>
  <c r="W41" i="2" a="1"/>
  <c r="W41" i="2" s="1"/>
  <c r="V41" i="2" a="1"/>
  <c r="V41" i="2" s="1"/>
  <c r="R41" i="2" a="1"/>
  <c r="R41" i="2" s="1"/>
  <c r="S41" i="2" a="1"/>
  <c r="S41" i="2" s="1"/>
  <c r="T16" i="59" a="1"/>
  <c r="T16" i="59" s="1"/>
  <c r="I68" i="12" a="1"/>
  <c r="I68" i="12" s="1"/>
  <c r="AD13" i="59" a="1"/>
  <c r="AD13" i="59" s="1"/>
  <c r="AC13" i="59" a="1"/>
  <c r="AC13" i="59" s="1"/>
  <c r="L16" i="59" a="1"/>
  <c r="L16" i="59" s="1"/>
  <c r="AE11" i="59" s="1" a="1"/>
  <c r="AE11" i="59" s="1"/>
  <c r="H16" i="59" a="1"/>
  <c r="H16" i="59" s="1"/>
  <c r="AC16" i="59" a="1"/>
  <c r="AC16" i="59" s="1"/>
  <c r="Y16" i="59" a="1"/>
  <c r="Y16" i="59" s="1"/>
  <c r="AD11" i="59" a="1"/>
  <c r="AD11" i="59" s="1"/>
  <c r="AC11" i="59" a="1"/>
  <c r="AC11" i="59" s="1"/>
  <c r="Z13" i="59" a="1"/>
  <c r="Z13" i="59" s="1"/>
  <c r="Y13" i="59" a="1"/>
  <c r="Y13" i="59" s="1"/>
  <c r="Z11" i="59" a="1"/>
  <c r="Z11" i="59" s="1"/>
  <c r="Y11" i="59" a="1"/>
  <c r="Y11" i="59" s="1"/>
  <c r="I67" i="12" a="1"/>
  <c r="I67" i="12" s="1"/>
  <c r="S14" i="57" a="1"/>
  <c r="S14" i="57" s="1"/>
  <c r="X14" i="57" a="1"/>
  <c r="X14" i="57" s="1"/>
  <c r="G15" i="57" a="1"/>
  <c r="G15" i="57" s="1"/>
  <c r="Y14" i="57" s="1" a="1"/>
  <c r="Y14" i="57" s="1"/>
  <c r="H14" i="57" a="1"/>
  <c r="H14" i="57" s="1"/>
  <c r="I15" i="57" s="1" a="1"/>
  <c r="I15" i="57" s="1"/>
  <c r="AA14" i="57" s="1" a="1"/>
  <c r="AA14" i="57" s="1"/>
  <c r="X11" i="57" a="1"/>
  <c r="X11" i="57" s="1"/>
  <c r="W14" i="47" a="1"/>
  <c r="W14" i="47" s="1"/>
  <c r="V14" i="47" a="1"/>
  <c r="V14" i="47" s="1"/>
  <c r="U14" i="47" a="1"/>
  <c r="U14" i="47" s="1"/>
  <c r="P14" i="47" a="1"/>
  <c r="P14" i="47" s="1"/>
  <c r="P15" i="49" a="1"/>
  <c r="P15" i="49" s="1"/>
  <c r="T15" i="49" a="1"/>
  <c r="T15" i="49" s="1"/>
  <c r="S15" i="49" a="1"/>
  <c r="S15" i="49" s="1"/>
  <c r="R26" i="2" a="1"/>
  <c r="R26" i="2" s="1"/>
  <c r="V32" i="2" a="1"/>
  <c r="V32" i="2" s="1"/>
  <c r="I18" i="30" a="1"/>
  <c r="I18" i="30" s="1"/>
  <c r="I18" i="20" a="1"/>
  <c r="I18" i="20" s="1"/>
  <c r="I11" i="30" a="1"/>
  <c r="I11" i="30" s="1"/>
  <c r="S32" i="2" a="1"/>
  <c r="S32" i="2" s="1"/>
  <c r="F67" i="12" a="1"/>
  <c r="F68" i="12" a="1"/>
  <c r="F68" i="12" l="1"/>
  <c r="AE13" i="59" a="1"/>
  <c r="AE13" i="59" s="1"/>
  <c r="AA13" i="59" a="1"/>
  <c r="AA13" i="59" s="1"/>
  <c r="AA11" i="59" a="1"/>
  <c r="AA11" i="59" s="1"/>
  <c r="Z14" i="57" a="1"/>
  <c r="Z14" i="57" s="1"/>
  <c r="F67" i="12"/>
  <c r="J16" i="57" a="1"/>
  <c r="J16" i="57" s="1"/>
  <c r="AA11" i="57" a="1"/>
  <c r="AA11" i="57" s="1"/>
  <c r="Y11" i="57" a="1"/>
  <c r="Y11" i="57" s="1"/>
  <c r="Z11" i="57" a="1"/>
  <c r="Z11" i="57" s="1"/>
  <c r="H17" i="49"/>
  <c r="H18" i="49"/>
  <c r="H19" i="49"/>
  <c r="H20" i="49"/>
  <c r="H21" i="49"/>
  <c r="H22" i="49"/>
  <c r="H23" i="49"/>
  <c r="H24" i="49"/>
  <c r="H25" i="49"/>
  <c r="H26" i="49"/>
  <c r="H27" i="49"/>
  <c r="H28" i="49"/>
  <c r="H29" i="49"/>
  <c r="H30" i="49"/>
  <c r="H31" i="49"/>
  <c r="H32" i="49"/>
  <c r="H33" i="49"/>
  <c r="H34" i="49"/>
  <c r="H35" i="49"/>
  <c r="H36" i="49"/>
  <c r="H37" i="49"/>
  <c r="H38" i="49"/>
  <c r="H39" i="49"/>
  <c r="H40" i="49"/>
  <c r="H41" i="49"/>
  <c r="H42" i="49"/>
  <c r="H43" i="49"/>
  <c r="H44" i="49"/>
  <c r="H45" i="49"/>
  <c r="H46" i="49"/>
  <c r="H47" i="49"/>
  <c r="H48" i="49"/>
  <c r="H49" i="49"/>
  <c r="H50" i="49"/>
  <c r="H51" i="49"/>
  <c r="H52" i="49"/>
  <c r="H53" i="49"/>
  <c r="H54" i="49"/>
  <c r="H55" i="49"/>
  <c r="H56" i="49"/>
  <c r="H57" i="49"/>
  <c r="H58" i="49"/>
  <c r="H59" i="49"/>
  <c r="H60" i="49"/>
  <c r="H61" i="49"/>
  <c r="H62" i="49"/>
  <c r="H63" i="49"/>
  <c r="H64" i="49"/>
  <c r="H65" i="49"/>
  <c r="H66" i="49"/>
  <c r="H67" i="49"/>
  <c r="H68" i="49"/>
  <c r="H69" i="49"/>
  <c r="H70" i="49"/>
  <c r="H71" i="49"/>
  <c r="H72" i="49"/>
  <c r="H73" i="49"/>
  <c r="H74" i="49"/>
  <c r="H75" i="49"/>
  <c r="H76" i="49"/>
  <c r="H77" i="49"/>
  <c r="H78" i="49"/>
  <c r="H79" i="49"/>
  <c r="H80" i="49"/>
  <c r="H81" i="49"/>
  <c r="H82" i="49"/>
  <c r="H83" i="49"/>
  <c r="H84" i="49"/>
  <c r="H85" i="49"/>
  <c r="H86" i="49"/>
  <c r="H87" i="49"/>
  <c r="H88" i="49"/>
  <c r="H89" i="49"/>
  <c r="H90" i="49"/>
  <c r="H91" i="49"/>
  <c r="H92" i="49"/>
  <c r="H93" i="49"/>
  <c r="H94" i="49"/>
  <c r="H95" i="49"/>
  <c r="H96" i="49"/>
  <c r="H97" i="49"/>
  <c r="H98" i="49"/>
  <c r="H99" i="49"/>
  <c r="H100" i="49"/>
  <c r="H101" i="49"/>
  <c r="H102" i="49"/>
  <c r="H103" i="49"/>
  <c r="H104" i="49"/>
  <c r="H105" i="49"/>
  <c r="H106" i="49"/>
  <c r="H107" i="49"/>
  <c r="H108" i="49"/>
  <c r="H109" i="49"/>
  <c r="H110" i="49"/>
  <c r="H111" i="49"/>
  <c r="H112" i="49"/>
  <c r="H113" i="49"/>
  <c r="H114" i="49"/>
  <c r="H115" i="49"/>
  <c r="H116" i="49"/>
  <c r="H117" i="49"/>
  <c r="H118" i="49"/>
  <c r="H119" i="49"/>
  <c r="H120" i="49"/>
  <c r="H121" i="49"/>
  <c r="H122" i="49"/>
  <c r="H123" i="49"/>
  <c r="H124" i="49"/>
  <c r="H125" i="49"/>
  <c r="H126" i="49"/>
  <c r="H127" i="49"/>
  <c r="H128" i="49"/>
  <c r="H129" i="49"/>
  <c r="H130" i="49"/>
  <c r="H131" i="49"/>
  <c r="H132" i="49"/>
  <c r="H133" i="49"/>
  <c r="H134" i="49"/>
  <c r="H135" i="49"/>
  <c r="H136" i="49"/>
  <c r="H137" i="49"/>
  <c r="H138" i="49"/>
  <c r="H139" i="49"/>
  <c r="H140" i="49"/>
  <c r="H141" i="49"/>
  <c r="H142" i="49"/>
  <c r="H143" i="49"/>
  <c r="H144" i="49"/>
  <c r="H145" i="49"/>
  <c r="H146" i="49"/>
  <c r="H147" i="49"/>
  <c r="H148" i="49"/>
  <c r="H149" i="49"/>
  <c r="H150" i="49"/>
  <c r="H151" i="49"/>
  <c r="H152" i="49"/>
  <c r="H153" i="49"/>
  <c r="H154" i="49"/>
  <c r="H155" i="49"/>
  <c r="H156" i="49"/>
  <c r="H157" i="49"/>
  <c r="H158" i="49"/>
  <c r="H159" i="49"/>
  <c r="H160" i="49"/>
  <c r="H161" i="49"/>
  <c r="H162" i="49"/>
  <c r="H163" i="49"/>
  <c r="H164" i="49"/>
  <c r="H165" i="49"/>
  <c r="H166" i="49"/>
  <c r="H167" i="49"/>
  <c r="H168" i="49"/>
  <c r="H169" i="49"/>
  <c r="H170" i="49"/>
  <c r="H171" i="49"/>
  <c r="H172" i="49"/>
  <c r="H173" i="49"/>
  <c r="H174" i="49"/>
  <c r="H175" i="49"/>
  <c r="H176" i="49"/>
  <c r="H177" i="49"/>
  <c r="H178" i="49"/>
  <c r="H179" i="49"/>
  <c r="H180" i="49"/>
  <c r="H181" i="49"/>
  <c r="H182" i="49"/>
  <c r="H183" i="49"/>
  <c r="H184" i="49"/>
  <c r="H185" i="49"/>
  <c r="H186" i="49"/>
  <c r="H187" i="49"/>
  <c r="H188" i="49"/>
  <c r="H189" i="49"/>
  <c r="H190" i="49"/>
  <c r="H191" i="49"/>
  <c r="H192" i="49"/>
  <c r="H193" i="49"/>
  <c r="H194" i="49"/>
  <c r="H195" i="49"/>
  <c r="H196" i="49"/>
  <c r="H197" i="49"/>
  <c r="H198" i="49"/>
  <c r="H199" i="49"/>
  <c r="H200" i="49"/>
  <c r="H201" i="49"/>
  <c r="H202" i="49"/>
  <c r="H203" i="49"/>
  <c r="H204" i="49"/>
  <c r="H205" i="49"/>
  <c r="H206" i="49"/>
  <c r="H207" i="49"/>
  <c r="H208" i="49"/>
  <c r="H209" i="49"/>
  <c r="H210" i="49"/>
  <c r="H211" i="49"/>
  <c r="H212" i="49"/>
  <c r="H213" i="49"/>
  <c r="H214" i="49"/>
  <c r="H215" i="49"/>
  <c r="H216" i="49"/>
  <c r="H217" i="49"/>
  <c r="H218" i="49"/>
  <c r="H219" i="49"/>
  <c r="H220" i="49"/>
  <c r="H221" i="49"/>
  <c r="H222" i="49"/>
  <c r="H223" i="49"/>
  <c r="H224" i="49"/>
  <c r="H225" i="49"/>
  <c r="H226" i="49"/>
  <c r="H227" i="49"/>
  <c r="H228" i="49"/>
  <c r="H229" i="49"/>
  <c r="H230" i="49"/>
  <c r="H231" i="49"/>
  <c r="H232" i="49"/>
  <c r="H233" i="49"/>
  <c r="H234" i="49"/>
  <c r="H235" i="49"/>
  <c r="H236" i="49"/>
  <c r="H237" i="49"/>
  <c r="H238" i="49"/>
  <c r="H239" i="49"/>
  <c r="H240" i="49"/>
  <c r="H241" i="49"/>
  <c r="H242" i="49"/>
  <c r="H243" i="49"/>
  <c r="H244" i="49"/>
  <c r="H245" i="49"/>
  <c r="H246" i="49"/>
  <c r="H247" i="49"/>
  <c r="H248" i="49"/>
  <c r="H249" i="49"/>
  <c r="H250" i="49"/>
  <c r="H251" i="49"/>
  <c r="H252" i="49"/>
  <c r="H253" i="49"/>
  <c r="H254" i="49"/>
  <c r="H16" i="49"/>
  <c r="AB14" i="57" l="1" a="1"/>
  <c r="AB14" i="57" s="1"/>
  <c r="K17" i="57" a="1"/>
  <c r="K17" i="57" s="1"/>
  <c r="AB11" i="57" a="1"/>
  <c r="AB11" i="57" s="1"/>
  <c r="N12" i="35" a="1"/>
  <c r="N12" i="35" s="1"/>
  <c r="P11" i="47" a="1"/>
  <c r="P11" i="47" s="1"/>
  <c r="BA21" i="1" a="1"/>
  <c r="BA21" i="1" s="1"/>
  <c r="BE6" i="1" a="1"/>
  <c r="BE6" i="1" s="1"/>
  <c r="BA6" i="1" a="1"/>
  <c r="BA6" i="1" s="1"/>
  <c r="AQ21" i="1" a="1"/>
  <c r="AQ21" i="1" s="1"/>
  <c r="AN21" i="1" a="1"/>
  <c r="AN21" i="1" s="1"/>
  <c r="AK21" i="1" a="1"/>
  <c r="AK21" i="1" s="1"/>
  <c r="AN6" i="1" a="1"/>
  <c r="AN6" i="1" s="1"/>
  <c r="AK6" i="1" a="1"/>
  <c r="AK6" i="1" s="1"/>
  <c r="AQ6" i="1" a="1"/>
  <c r="AQ6" i="1" s="1"/>
  <c r="I97" i="12" a="1"/>
  <c r="I97" i="12" s="1"/>
  <c r="V38" i="2" a="1"/>
  <c r="V38" i="2" s="1"/>
  <c r="I96" i="12" a="1"/>
  <c r="I96" i="12" s="1"/>
  <c r="V35" i="2" a="1"/>
  <c r="V35" i="2" s="1"/>
  <c r="I42" i="12" a="1"/>
  <c r="I42" i="12" s="1"/>
  <c r="K24" i="56" a="1"/>
  <c r="K24" i="56" s="1"/>
  <c r="G26" i="56"/>
  <c r="G13" i="56"/>
  <c r="I43" i="12" a="1"/>
  <c r="I43" i="12" s="1"/>
  <c r="G26" i="55"/>
  <c r="G13" i="55"/>
  <c r="K24" i="55" a="1"/>
  <c r="K24" i="55" s="1"/>
  <c r="I11" i="12" a="1"/>
  <c r="I11" i="12" s="1"/>
  <c r="AG41" i="2" a="1"/>
  <c r="AG41" i="2" s="1"/>
  <c r="AG34" i="2" a="1"/>
  <c r="AG34" i="2" s="1"/>
  <c r="AG26" i="2" a="1"/>
  <c r="AG26" i="2" s="1"/>
  <c r="AF19" i="2" a="1"/>
  <c r="AF19" i="2" s="1"/>
  <c r="Y34" i="2" a="1"/>
  <c r="Y34" i="2" s="1"/>
  <c r="Y31" i="2" a="1"/>
  <c r="Y31" i="2" s="1"/>
  <c r="Y28" i="2" a="1"/>
  <c r="Y28" i="2" s="1"/>
  <c r="Y25" i="2" a="1"/>
  <c r="Y25" i="2" s="1"/>
  <c r="Y22" i="2" a="1"/>
  <c r="Y22" i="2" s="1"/>
  <c r="Y19" i="2" a="1"/>
  <c r="Y19" i="2" s="1"/>
  <c r="V29" i="2" a="1"/>
  <c r="V29" i="2" s="1"/>
  <c r="V26" i="2" a="1"/>
  <c r="V26" i="2" s="1"/>
  <c r="V19" i="2" a="1"/>
  <c r="V19" i="2" s="1"/>
  <c r="H19" i="2" a="1"/>
  <c r="H19" i="2" s="1"/>
  <c r="A19" i="2" a="1"/>
  <c r="A19" i="2" s="1"/>
  <c r="I85" i="12" a="1"/>
  <c r="I85" i="12" s="1"/>
  <c r="I83" i="12" a="1"/>
  <c r="I83" i="12" s="1"/>
  <c r="AH34" i="2" a="1"/>
  <c r="AH34" i="2" s="1"/>
  <c r="AH41" i="2" a="1"/>
  <c r="AH41" i="2" s="1"/>
  <c r="AH26" i="2" a="1"/>
  <c r="AH26" i="2" s="1"/>
  <c r="I81" i="12" a="1"/>
  <c r="I81" i="12" s="1"/>
  <c r="I87" i="12" a="1"/>
  <c r="I87" i="12" s="1"/>
  <c r="L19" i="2" a="1"/>
  <c r="L19" i="2" s="1"/>
  <c r="H5" i="2" a="1"/>
  <c r="H5" i="2" s="1"/>
  <c r="F43" i="12" a="1"/>
  <c r="F42" i="12" a="1"/>
  <c r="AC14" i="57" l="1" a="1"/>
  <c r="AC14" i="57" s="1"/>
  <c r="AC11" i="57" a="1"/>
  <c r="AC11" i="57" s="1"/>
  <c r="F42" i="12"/>
  <c r="F43" i="12"/>
  <c r="I99" i="12" a="1"/>
  <c r="I99" i="12" s="1"/>
  <c r="Z34" i="2" a="1"/>
  <c r="Z34" i="2" s="1"/>
  <c r="I95" i="12" a="1"/>
  <c r="I95" i="12" s="1"/>
  <c r="I98" i="12" a="1"/>
  <c r="I98" i="12" s="1"/>
  <c r="I94" i="12" a="1"/>
  <c r="I94" i="12" s="1"/>
  <c r="I93" i="12" a="1"/>
  <c r="I93" i="12" s="1"/>
  <c r="I92" i="12" a="1"/>
  <c r="I92" i="12" s="1"/>
  <c r="I47" i="12" a="1"/>
  <c r="I47" i="12" s="1"/>
  <c r="M18" i="53" a="1"/>
  <c r="M18" i="53" s="1"/>
  <c r="M11" i="53" a="1"/>
  <c r="M11" i="53" s="1"/>
  <c r="M20" i="52" a="1"/>
  <c r="M20" i="52" s="1"/>
  <c r="M13" i="52" a="1"/>
  <c r="M13" i="52" s="1"/>
  <c r="I46" i="12" a="1"/>
  <c r="I46" i="12" s="1"/>
  <c r="I52" i="12" a="1"/>
  <c r="I52" i="12" s="1"/>
  <c r="BM6" i="1" a="1"/>
  <c r="BM6" i="1" s="1"/>
  <c r="S11" i="36" a="1"/>
  <c r="S11" i="36" s="1"/>
  <c r="N11" i="36" a="1"/>
  <c r="N11" i="36" s="1"/>
  <c r="S32" i="36" a="1"/>
  <c r="S32" i="36" s="1"/>
  <c r="N32" i="36" a="1"/>
  <c r="N32" i="36" s="1"/>
  <c r="S33" i="35" a="1"/>
  <c r="S33" i="35" s="1"/>
  <c r="N33" i="35" a="1"/>
  <c r="N33" i="35" s="1"/>
  <c r="J10" i="27" a="1"/>
  <c r="J10" i="27" s="1"/>
  <c r="J34" i="27" a="1"/>
  <c r="J34" i="27" s="1"/>
  <c r="S6" i="1" a="1"/>
  <c r="S6" i="1" s="1"/>
  <c r="AG21" i="1" a="1"/>
  <c r="AG21" i="1" s="1"/>
  <c r="W6" i="1" a="1"/>
  <c r="W6" i="1" s="1"/>
  <c r="Z6" i="1" a="1"/>
  <c r="Z6" i="1" s="1"/>
  <c r="AC6" i="1" a="1"/>
  <c r="AC6" i="1" s="1"/>
  <c r="AG6" i="1" a="1"/>
  <c r="AG6" i="1" s="1"/>
  <c r="I19" i="12" a="1"/>
  <c r="I19" i="12" s="1"/>
  <c r="CA21" i="1" a="1"/>
  <c r="CA21" i="1" s="1"/>
  <c r="CA6" i="1" a="1"/>
  <c r="CA6" i="1" s="1"/>
  <c r="S21" i="1" a="1"/>
  <c r="S21" i="1" s="1"/>
  <c r="E6" i="1" a="1"/>
  <c r="H6" i="1" a="1"/>
  <c r="H6" i="1" s="1"/>
  <c r="K6" i="1" a="1"/>
  <c r="K6" i="1" s="1"/>
  <c r="O6" i="1" a="1"/>
  <c r="O6" i="1" s="1"/>
  <c r="J10" i="14" a="1"/>
  <c r="J10" i="14" s="1"/>
  <c r="J37" i="14" a="1"/>
  <c r="J37" i="14" s="1"/>
  <c r="L8" i="34" a="1"/>
  <c r="L8" i="34" s="1"/>
  <c r="V11" i="47" a="1"/>
  <c r="V11" i="47" s="1"/>
  <c r="W11" i="47" a="1"/>
  <c r="W11" i="47" s="1"/>
  <c r="U11" i="47" a="1"/>
  <c r="U11" i="47" s="1"/>
  <c r="Q11" i="47" a="1"/>
  <c r="Q11" i="47" s="1"/>
  <c r="R11" i="47" a="1"/>
  <c r="R11" i="47" s="1"/>
  <c r="AT6" i="1" a="1"/>
  <c r="AT6" i="1" s="1"/>
  <c r="AW6" i="1" a="1"/>
  <c r="AW6" i="1" s="1"/>
  <c r="BM21" i="1" a="1"/>
  <c r="BM21" i="1" s="1"/>
  <c r="BI6" i="1" a="1"/>
  <c r="BI6" i="1" s="1"/>
  <c r="I66" i="12" a="1"/>
  <c r="I66" i="12" s="1"/>
  <c r="I65" i="12" a="1"/>
  <c r="I65" i="12" s="1"/>
  <c r="I64" i="12" a="1"/>
  <c r="I64" i="12" s="1"/>
  <c r="I63" i="12" a="1"/>
  <c r="I63" i="12" s="1"/>
  <c r="M9" i="50" a="1"/>
  <c r="M9" i="50" s="1"/>
  <c r="K9" i="50" a="1"/>
  <c r="K9" i="50" s="1"/>
  <c r="J13" i="48" a="1"/>
  <c r="J13" i="48" s="1"/>
  <c r="J9" i="28" a="1"/>
  <c r="J9" i="28" s="1"/>
  <c r="M13" i="48" a="1"/>
  <c r="M13" i="48" s="1"/>
  <c r="AW21" i="1" a="1"/>
  <c r="AW21" i="1" s="1"/>
  <c r="I53" i="12" a="1"/>
  <c r="I53" i="12" s="1"/>
  <c r="F46" i="12" a="1"/>
  <c r="F64" i="12" a="1"/>
  <c r="F63" i="12" a="1"/>
  <c r="F47" i="12" a="1"/>
  <c r="F66" i="12" a="1"/>
  <c r="F65" i="12" a="1"/>
  <c r="E6" i="1" l="1"/>
  <c r="Z28" i="2" a="1"/>
  <c r="Z28" i="2" s="1"/>
  <c r="Z31" i="2" a="1"/>
  <c r="Z31" i="2" s="1"/>
  <c r="Z22" i="2" a="1"/>
  <c r="Z22" i="2" s="1"/>
  <c r="Z25" i="2" a="1"/>
  <c r="Z25" i="2" s="1"/>
  <c r="Z19" i="2" a="1"/>
  <c r="Z19" i="2" s="1"/>
  <c r="F47" i="12"/>
  <c r="F46" i="12"/>
  <c r="F66" i="12"/>
  <c r="F65" i="12"/>
  <c r="F64" i="12"/>
  <c r="F63" i="12"/>
  <c r="BQ21" i="1" l="1" a="1"/>
  <c r="BQ21" i="1" s="1"/>
  <c r="BQ6" i="1" a="1"/>
  <c r="BQ6" i="1" s="1"/>
  <c r="BI21" i="1" a="1"/>
  <c r="BI21" i="1" s="1"/>
  <c r="BX6" i="1" a="1"/>
  <c r="BX6" i="1" s="1"/>
  <c r="BX21" i="1" a="1"/>
  <c r="BX21" i="1" s="1"/>
  <c r="I54" i="12" a="1"/>
  <c r="I54" i="12" s="1"/>
  <c r="O21" i="1" a="1"/>
  <c r="O21" i="1" s="1"/>
  <c r="J12" i="21" a="1"/>
  <c r="J12" i="21" s="1"/>
  <c r="I45" i="12" a="1"/>
  <c r="I45" i="12" s="1"/>
  <c r="I18" i="44" a="1"/>
  <c r="I18" i="44" s="1"/>
  <c r="I11" i="44" a="1"/>
  <c r="I11" i="44" s="1"/>
  <c r="F45" i="12" a="1"/>
  <c r="F45" i="12" l="1"/>
  <c r="J19" i="21" a="1"/>
  <c r="J19" i="21" s="1"/>
  <c r="I103" i="12" a="1"/>
  <c r="I103" i="12" s="1"/>
  <c r="I102" i="12" a="1"/>
  <c r="I102" i="12" s="1"/>
  <c r="I101" i="12" a="1"/>
  <c r="I101" i="12" s="1"/>
  <c r="I100" i="12" a="1"/>
  <c r="I100" i="12" s="1"/>
  <c r="I84" i="12" a="1"/>
  <c r="I84" i="12" s="1"/>
  <c r="I44" i="12" a="1"/>
  <c r="I44" i="12" s="1"/>
  <c r="I56" i="12" a="1"/>
  <c r="I56" i="12" s="1"/>
  <c r="F16" i="41"/>
  <c r="K11" i="41" s="1" a="1"/>
  <c r="K11" i="41" s="1"/>
  <c r="O11" i="40" a="1"/>
  <c r="O11" i="40" s="1"/>
  <c r="F44" i="12" a="1"/>
  <c r="F56" i="12" a="1"/>
  <c r="K19" i="41" l="1" a="1"/>
  <c r="K19" i="41" s="1"/>
  <c r="F44" i="12"/>
  <c r="F56" i="12"/>
  <c r="K11" i="40" a="1"/>
  <c r="K11" i="40" s="1"/>
  <c r="K25" i="40" a="1"/>
  <c r="K25" i="40" s="1"/>
  <c r="AC21" i="1" a="1"/>
  <c r="AC21" i="1" s="1"/>
  <c r="W21" i="1" a="1"/>
  <c r="W21" i="1" s="1"/>
  <c r="K21" i="1" a="1"/>
  <c r="K21" i="1" s="1"/>
  <c r="I82" i="12" a="1"/>
  <c r="I82" i="12" s="1"/>
  <c r="I75" i="12" a="1"/>
  <c r="I75" i="12" s="1"/>
  <c r="U8" i="34" a="1"/>
  <c r="U8" i="34" s="1"/>
  <c r="F75" i="12" a="1"/>
  <c r="F75" i="12" l="1"/>
  <c r="M10" i="37" a="1"/>
  <c r="M10" i="37" s="1"/>
  <c r="AB15" i="37" a="1"/>
  <c r="AB15" i="37" s="1"/>
  <c r="AA15" i="37" a="1"/>
  <c r="AA15" i="37" s="1"/>
  <c r="Z15" i="37" a="1"/>
  <c r="Z15" i="37" s="1"/>
  <c r="AB14" i="37" a="1"/>
  <c r="AB14" i="37" s="1"/>
  <c r="AA14" i="37" a="1"/>
  <c r="AA14" i="37" s="1"/>
  <c r="Z14" i="37" a="1"/>
  <c r="Z14" i="37" s="1"/>
  <c r="AB13" i="37" a="1"/>
  <c r="AB13" i="37" s="1"/>
  <c r="AA13" i="37" a="1"/>
  <c r="AA13" i="37" s="1"/>
  <c r="Z13" i="37" a="1"/>
  <c r="Z13" i="37" s="1"/>
  <c r="AB12" i="37" a="1"/>
  <c r="AB12" i="37" s="1"/>
  <c r="AA12" i="37" a="1"/>
  <c r="AA12" i="37" s="1"/>
  <c r="Z12" i="37" a="1"/>
  <c r="Z12" i="37" s="1"/>
  <c r="AB11" i="37" a="1"/>
  <c r="AB11" i="37" s="1"/>
  <c r="AA11" i="37" a="1"/>
  <c r="AA11" i="37" s="1"/>
  <c r="Z11" i="37" a="1"/>
  <c r="Z11" i="37" s="1"/>
  <c r="AB10" i="37" a="1"/>
  <c r="AB10" i="37" s="1"/>
  <c r="AA10" i="37" a="1"/>
  <c r="AA10" i="37" s="1"/>
  <c r="Z10" i="37" a="1"/>
  <c r="Z10" i="37" s="1"/>
  <c r="Y15" i="37" a="1"/>
  <c r="Y15" i="37" s="1"/>
  <c r="Y14" i="37" a="1"/>
  <c r="Y14" i="37" s="1"/>
  <c r="Y13" i="37" a="1"/>
  <c r="Y13" i="37" s="1"/>
  <c r="Y12" i="37" a="1"/>
  <c r="Y12" i="37" s="1"/>
  <c r="Y11" i="37" a="1"/>
  <c r="Y11" i="37" s="1"/>
  <c r="Y10" i="37" a="1"/>
  <c r="Y10" i="37" s="1"/>
  <c r="U10" i="37" a="1"/>
  <c r="U10" i="37" s="1"/>
  <c r="V10" i="37" a="1"/>
  <c r="V10" i="37" s="1"/>
  <c r="W10" i="37" a="1"/>
  <c r="W10" i="37" s="1"/>
  <c r="X10" i="37" a="1"/>
  <c r="X10" i="37" s="1"/>
  <c r="U11" i="37" a="1"/>
  <c r="U11" i="37" s="1"/>
  <c r="V11" i="37" a="1"/>
  <c r="V11" i="37" s="1"/>
  <c r="W11" i="37" a="1"/>
  <c r="W11" i="37" s="1"/>
  <c r="X11" i="37" a="1"/>
  <c r="X11" i="37" s="1"/>
  <c r="U12" i="37" a="1"/>
  <c r="U12" i="37" s="1"/>
  <c r="V12" i="37" a="1"/>
  <c r="V12" i="37" s="1"/>
  <c r="W12" i="37" a="1"/>
  <c r="W12" i="37" s="1"/>
  <c r="X12" i="37" a="1"/>
  <c r="X12" i="37" s="1"/>
  <c r="U13" i="37" a="1"/>
  <c r="U13" i="37" s="1"/>
  <c r="V13" i="37" a="1"/>
  <c r="V13" i="37" s="1"/>
  <c r="W13" i="37" a="1"/>
  <c r="W13" i="37" s="1"/>
  <c r="X13" i="37" a="1"/>
  <c r="X13" i="37" s="1"/>
  <c r="U14" i="37" a="1"/>
  <c r="U14" i="37" s="1"/>
  <c r="V14" i="37" a="1"/>
  <c r="V14" i="37" s="1"/>
  <c r="W14" i="37" a="1"/>
  <c r="W14" i="37" s="1"/>
  <c r="X14" i="37" a="1"/>
  <c r="X14" i="37" s="1"/>
  <c r="U15" i="37" a="1"/>
  <c r="U15" i="37" s="1"/>
  <c r="V15" i="37" a="1"/>
  <c r="V15" i="37" s="1"/>
  <c r="W15" i="37" a="1"/>
  <c r="W15" i="37" s="1"/>
  <c r="X15" i="37" a="1"/>
  <c r="X15" i="37" s="1"/>
  <c r="R15" i="37" a="1"/>
  <c r="R15" i="37" s="1"/>
  <c r="S15" i="37" a="1"/>
  <c r="S15" i="37" s="1"/>
  <c r="T15" i="37" a="1"/>
  <c r="T15" i="37" s="1"/>
  <c r="Q15" i="37" a="1"/>
  <c r="Q15" i="37" s="1"/>
  <c r="R14" i="37" a="1"/>
  <c r="R14" i="37" s="1"/>
  <c r="S14" i="37" a="1"/>
  <c r="S14" i="37" s="1"/>
  <c r="T14" i="37" a="1"/>
  <c r="T14" i="37" s="1"/>
  <c r="Q14" i="37" a="1"/>
  <c r="Q14" i="37" s="1"/>
  <c r="Q12" i="37" a="1"/>
  <c r="Q12" i="37" s="1"/>
  <c r="R13" i="37" a="1"/>
  <c r="R13" i="37" s="1"/>
  <c r="S13" i="37" a="1"/>
  <c r="S13" i="37" s="1"/>
  <c r="T13" i="37" a="1"/>
  <c r="T13" i="37" s="1"/>
  <c r="Q13" i="37" a="1"/>
  <c r="Q13" i="37" s="1"/>
  <c r="R12" i="37" a="1"/>
  <c r="R12" i="37" s="1"/>
  <c r="S12" i="37" a="1"/>
  <c r="S12" i="37" s="1"/>
  <c r="T12" i="37" a="1"/>
  <c r="T12" i="37" s="1"/>
  <c r="R11" i="37" a="1"/>
  <c r="R11" i="37" s="1"/>
  <c r="S11" i="37" a="1"/>
  <c r="S11" i="37" s="1"/>
  <c r="T11" i="37" a="1"/>
  <c r="T11" i="37" s="1"/>
  <c r="Q11" i="37" a="1"/>
  <c r="Q11" i="37" s="1"/>
  <c r="R10" i="37" a="1"/>
  <c r="R10" i="37" s="1"/>
  <c r="S10" i="37" a="1"/>
  <c r="S10" i="37" s="1"/>
  <c r="T10" i="37" a="1"/>
  <c r="T10" i="37" s="1"/>
  <c r="Q10" i="37" a="1"/>
  <c r="Q10" i="37" s="1"/>
  <c r="I74" i="12" a="1"/>
  <c r="I74" i="12" s="1"/>
  <c r="S12" i="35" a="1"/>
  <c r="S12" i="35" s="1"/>
  <c r="I73" i="12" a="1"/>
  <c r="I73" i="12" s="1"/>
  <c r="I72" i="12" a="1"/>
  <c r="I72" i="12" s="1"/>
  <c r="F74" i="12" a="1"/>
  <c r="F73" i="12" a="1"/>
  <c r="F72" i="12" a="1"/>
  <c r="F74" i="12" l="1"/>
  <c r="F73" i="12"/>
  <c r="F72" i="12"/>
  <c r="I71" i="12" a="1"/>
  <c r="I71" i="12" s="1"/>
  <c r="P8" i="31" a="1"/>
  <c r="P8" i="31" s="1"/>
  <c r="O8" i="31" a="1"/>
  <c r="O8" i="31" s="1"/>
  <c r="M8" i="31" a="1"/>
  <c r="M8" i="31" s="1"/>
  <c r="I39" i="12" l="1" a="1"/>
  <c r="I39" i="12" s="1"/>
  <c r="I70" i="12" a="1"/>
  <c r="I70" i="12" s="1"/>
  <c r="J8" i="29" a="1"/>
  <c r="J8" i="29" s="1"/>
  <c r="L8" i="29" a="1"/>
  <c r="L8" i="29" s="1"/>
  <c r="J21" i="28" a="1"/>
  <c r="J21" i="28" s="1"/>
  <c r="I61" i="12" a="1"/>
  <c r="I61" i="12" s="1"/>
  <c r="F58" i="26"/>
  <c r="F57" i="26"/>
  <c r="F56" i="26"/>
  <c r="F55" i="26"/>
  <c r="F54" i="26"/>
  <c r="F53" i="26"/>
  <c r="F52" i="26"/>
  <c r="F51" i="26"/>
  <c r="F50" i="26"/>
  <c r="F49" i="26"/>
  <c r="F48" i="26"/>
  <c r="F47" i="26"/>
  <c r="F46" i="26"/>
  <c r="F45" i="26"/>
  <c r="F44" i="26"/>
  <c r="F43" i="26"/>
  <c r="F42" i="26"/>
  <c r="F41" i="26"/>
  <c r="F40" i="26"/>
  <c r="F39" i="26"/>
  <c r="F38" i="26"/>
  <c r="F37" i="26"/>
  <c r="F36" i="26"/>
  <c r="F35" i="26"/>
  <c r="I35" i="26" s="1" a="1"/>
  <c r="I35" i="26" s="1"/>
  <c r="M9" i="25" a="1"/>
  <c r="M9" i="25" s="1"/>
  <c r="K9" i="25" a="1"/>
  <c r="K9" i="25" s="1"/>
  <c r="G10" i="25"/>
  <c r="G11" i="25"/>
  <c r="G12" i="25"/>
  <c r="G13" i="25"/>
  <c r="G14" i="25"/>
  <c r="G15" i="25"/>
  <c r="G16" i="25"/>
  <c r="G17" i="25"/>
  <c r="G18" i="25"/>
  <c r="G19" i="25"/>
  <c r="G20" i="25"/>
  <c r="G21" i="25"/>
  <c r="G22" i="25"/>
  <c r="G23" i="25"/>
  <c r="G24" i="25"/>
  <c r="G25" i="25"/>
  <c r="G26" i="25"/>
  <c r="G27" i="25"/>
  <c r="G28" i="25"/>
  <c r="G29" i="25"/>
  <c r="G30" i="25"/>
  <c r="G31" i="25"/>
  <c r="G32" i="25"/>
  <c r="G33" i="25"/>
  <c r="G34" i="25"/>
  <c r="G35" i="25"/>
  <c r="G36" i="25"/>
  <c r="G37" i="25"/>
  <c r="G38" i="25"/>
  <c r="G39" i="25"/>
  <c r="G40" i="25"/>
  <c r="G41" i="25"/>
  <c r="G42" i="25"/>
  <c r="G43" i="25"/>
  <c r="G44" i="25"/>
  <c r="G45" i="25"/>
  <c r="G46" i="25"/>
  <c r="G47" i="25"/>
  <c r="G48" i="25"/>
  <c r="G49" i="25"/>
  <c r="G50" i="25"/>
  <c r="G51" i="25"/>
  <c r="G52" i="25"/>
  <c r="G53" i="25"/>
  <c r="G54" i="25"/>
  <c r="G55" i="25"/>
  <c r="G56" i="25"/>
  <c r="G57" i="25"/>
  <c r="G58" i="25"/>
  <c r="G59" i="25"/>
  <c r="G60" i="25"/>
  <c r="G61" i="25"/>
  <c r="G62" i="25"/>
  <c r="G63" i="25"/>
  <c r="G64" i="25"/>
  <c r="G65" i="25"/>
  <c r="G66" i="25"/>
  <c r="G67" i="25"/>
  <c r="G68" i="25"/>
  <c r="G69" i="25"/>
  <c r="G70" i="25"/>
  <c r="G71" i="25"/>
  <c r="G72" i="25"/>
  <c r="G73" i="25"/>
  <c r="G74" i="25"/>
  <c r="G75" i="25"/>
  <c r="G76" i="25"/>
  <c r="G77" i="25"/>
  <c r="G78" i="25"/>
  <c r="G79" i="25"/>
  <c r="G80" i="25"/>
  <c r="G81" i="25"/>
  <c r="G82" i="25"/>
  <c r="G83" i="25"/>
  <c r="G84" i="25"/>
  <c r="G85" i="25"/>
  <c r="G86" i="25"/>
  <c r="G87" i="25"/>
  <c r="G88" i="25"/>
  <c r="G89" i="25"/>
  <c r="G90" i="25"/>
  <c r="G91" i="25"/>
  <c r="G92" i="25"/>
  <c r="G93" i="25"/>
  <c r="G94" i="25"/>
  <c r="G95" i="25"/>
  <c r="G96" i="25"/>
  <c r="G97" i="25"/>
  <c r="G98" i="25"/>
  <c r="G99" i="25"/>
  <c r="G100" i="25"/>
  <c r="G101" i="25"/>
  <c r="G102" i="25"/>
  <c r="G103" i="25"/>
  <c r="G104" i="25"/>
  <c r="G105" i="25"/>
  <c r="G106" i="25"/>
  <c r="G107" i="25"/>
  <c r="G108" i="25"/>
  <c r="G109" i="25"/>
  <c r="G110" i="25"/>
  <c r="G111" i="25"/>
  <c r="G112" i="25"/>
  <c r="G113" i="25"/>
  <c r="G114" i="25"/>
  <c r="G115" i="25"/>
  <c r="G116" i="25"/>
  <c r="G117" i="25"/>
  <c r="G118" i="25"/>
  <c r="G119" i="25"/>
  <c r="G120" i="25"/>
  <c r="G121" i="25"/>
  <c r="G122" i="25"/>
  <c r="G123" i="25"/>
  <c r="G124" i="25"/>
  <c r="G125" i="25"/>
  <c r="G126" i="25"/>
  <c r="G127" i="25"/>
  <c r="G128" i="25"/>
  <c r="G129" i="25"/>
  <c r="G130" i="25"/>
  <c r="G131" i="25"/>
  <c r="G132" i="25"/>
  <c r="G133" i="25"/>
  <c r="G134" i="25"/>
  <c r="G135" i="25"/>
  <c r="G136" i="25"/>
  <c r="G137" i="25"/>
  <c r="G138" i="25"/>
  <c r="G139" i="25"/>
  <c r="G140" i="25"/>
  <c r="G141" i="25"/>
  <c r="G142" i="25"/>
  <c r="G143" i="25"/>
  <c r="G144" i="25"/>
  <c r="G145" i="25"/>
  <c r="G146" i="25"/>
  <c r="G147" i="25"/>
  <c r="G148" i="25"/>
  <c r="G149" i="25"/>
  <c r="G150" i="25"/>
  <c r="G151" i="25"/>
  <c r="G152" i="25"/>
  <c r="G153" i="25"/>
  <c r="G154" i="25"/>
  <c r="G155" i="25"/>
  <c r="G156" i="25"/>
  <c r="G157" i="25"/>
  <c r="G158" i="25"/>
  <c r="G159" i="25"/>
  <c r="G160" i="25"/>
  <c r="G161" i="25"/>
  <c r="G162" i="25"/>
  <c r="G163" i="25"/>
  <c r="G164" i="25"/>
  <c r="G165" i="25"/>
  <c r="G166" i="25"/>
  <c r="G167" i="25"/>
  <c r="G168" i="25"/>
  <c r="G169" i="25"/>
  <c r="G170" i="25"/>
  <c r="G171" i="25"/>
  <c r="G172" i="25"/>
  <c r="G173" i="25"/>
  <c r="G174" i="25"/>
  <c r="G175" i="25"/>
  <c r="G176" i="25"/>
  <c r="G177" i="25"/>
  <c r="G178" i="25"/>
  <c r="G179" i="25"/>
  <c r="G180" i="25"/>
  <c r="G181" i="25"/>
  <c r="G182" i="25"/>
  <c r="G183" i="25"/>
  <c r="G184" i="25"/>
  <c r="G185" i="25"/>
  <c r="G186" i="25"/>
  <c r="G187" i="25"/>
  <c r="G188" i="25"/>
  <c r="G189" i="25"/>
  <c r="G190" i="25"/>
  <c r="G191" i="25"/>
  <c r="G192" i="25"/>
  <c r="G193" i="25"/>
  <c r="G194" i="25"/>
  <c r="G195" i="25"/>
  <c r="G196" i="25"/>
  <c r="G197" i="25"/>
  <c r="G198" i="25"/>
  <c r="G199" i="25"/>
  <c r="G200" i="25"/>
  <c r="G201" i="25"/>
  <c r="G202" i="25"/>
  <c r="G203" i="25"/>
  <c r="G204" i="25"/>
  <c r="G205" i="25"/>
  <c r="G206" i="25"/>
  <c r="G207" i="25"/>
  <c r="G208" i="25"/>
  <c r="G209" i="25"/>
  <c r="G210" i="25"/>
  <c r="G211" i="25"/>
  <c r="G212" i="25"/>
  <c r="G213" i="25"/>
  <c r="G214" i="25"/>
  <c r="G215" i="25"/>
  <c r="G216" i="25"/>
  <c r="G217" i="25"/>
  <c r="G218" i="25"/>
  <c r="G219" i="25"/>
  <c r="G220" i="25"/>
  <c r="G221" i="25"/>
  <c r="G222" i="25"/>
  <c r="G223" i="25"/>
  <c r="G224" i="25"/>
  <c r="G225" i="25"/>
  <c r="G226" i="25"/>
  <c r="G227" i="25"/>
  <c r="G228" i="25"/>
  <c r="G229" i="25"/>
  <c r="G230" i="25"/>
  <c r="G231" i="25"/>
  <c r="G232" i="25"/>
  <c r="G233" i="25"/>
  <c r="G234" i="25"/>
  <c r="G235" i="25"/>
  <c r="G236" i="25"/>
  <c r="G237" i="25"/>
  <c r="G238" i="25"/>
  <c r="G239" i="25"/>
  <c r="G240" i="25"/>
  <c r="G241" i="25"/>
  <c r="G242" i="25"/>
  <c r="G243" i="25"/>
  <c r="G244" i="25"/>
  <c r="G245" i="25"/>
  <c r="G246" i="25"/>
  <c r="G247" i="25"/>
  <c r="G9" i="25"/>
  <c r="F70" i="12" a="1"/>
  <c r="F61" i="12" a="1"/>
  <c r="F39" i="12" a="1"/>
  <c r="F71" i="12" a="1"/>
  <c r="F71" i="12" l="1"/>
  <c r="F39" i="12"/>
  <c r="F70" i="12"/>
  <c r="F61" i="12"/>
  <c r="J22" i="27" a="1"/>
  <c r="J22" i="27" s="1"/>
  <c r="I60" i="12" a="1"/>
  <c r="I60" i="12" s="1"/>
  <c r="I69" i="12" a="1"/>
  <c r="I69" i="12" s="1"/>
  <c r="K28" i="23" a="1"/>
  <c r="K28" i="23" s="1"/>
  <c r="K19" i="23" a="1"/>
  <c r="K19" i="23" s="1"/>
  <c r="K10" i="23" a="1"/>
  <c r="K10" i="23" s="1"/>
  <c r="I32" i="12" a="1"/>
  <c r="I32" i="12" s="1"/>
  <c r="I41" i="12" a="1"/>
  <c r="I41" i="12" s="1"/>
  <c r="I62" i="12" a="1"/>
  <c r="I62" i="12" s="1"/>
  <c r="F60" i="12" a="1"/>
  <c r="F62" i="12" a="1"/>
  <c r="F69" i="12" a="1"/>
  <c r="F60" i="12" l="1"/>
  <c r="F69" i="12"/>
  <c r="F62" i="12"/>
  <c r="F9" i="26"/>
  <c r="F10" i="26"/>
  <c r="F11" i="26"/>
  <c r="F12" i="26"/>
  <c r="F13" i="26"/>
  <c r="F14" i="26"/>
  <c r="F15" i="26"/>
  <c r="F16" i="26"/>
  <c r="F17" i="26"/>
  <c r="F18" i="26"/>
  <c r="F19" i="26"/>
  <c r="F20" i="26"/>
  <c r="F21" i="26"/>
  <c r="F22" i="26"/>
  <c r="F23" i="26"/>
  <c r="F24" i="26"/>
  <c r="F25" i="26"/>
  <c r="F26" i="26"/>
  <c r="F27" i="26"/>
  <c r="F28" i="26"/>
  <c r="F29" i="26"/>
  <c r="F30" i="26"/>
  <c r="F31" i="26"/>
  <c r="F8" i="26"/>
  <c r="I80" i="12" a="1"/>
  <c r="I80" i="12" s="1"/>
  <c r="I86" i="12" a="1"/>
  <c r="I86" i="12" s="1"/>
  <c r="W32" i="2" l="1" a="1"/>
  <c r="W32" i="2" s="1"/>
  <c r="W29" i="2" a="1"/>
  <c r="W29" i="2" s="1"/>
  <c r="W26" i="2" a="1"/>
  <c r="W26" i="2" s="1"/>
  <c r="S26" i="2" a="1"/>
  <c r="S26" i="2" s="1"/>
  <c r="W19" i="2" a="1"/>
  <c r="W19" i="2" s="1"/>
  <c r="I8" i="26" a="1"/>
  <c r="I8" i="26" s="1"/>
  <c r="S19" i="2" a="1"/>
  <c r="S19" i="2" s="1"/>
  <c r="K7" i="24" l="1" a="1"/>
  <c r="K7" i="24" s="1"/>
  <c r="G18" i="24"/>
  <c r="K17" i="24" s="1" a="1"/>
  <c r="K17" i="24" s="1"/>
  <c r="G8" i="24"/>
  <c r="F41" i="12" a="1"/>
  <c r="F41" i="12" l="1"/>
  <c r="I89" i="12" l="1" a="1"/>
  <c r="I89" i="12" s="1"/>
  <c r="I88" i="12" a="1"/>
  <c r="I88" i="12" s="1"/>
  <c r="I79" i="12" a="1"/>
  <c r="I79" i="12" s="1"/>
  <c r="I55" i="12" a="1"/>
  <c r="I55" i="12" s="1"/>
  <c r="I51" i="12" a="1"/>
  <c r="I51" i="12" s="1"/>
  <c r="I40" i="12" a="1"/>
  <c r="I40" i="12" s="1"/>
  <c r="I38" i="12" a="1"/>
  <c r="I38" i="12" s="1"/>
  <c r="I37" i="12" a="1"/>
  <c r="I37" i="12" s="1"/>
  <c r="I36" i="12" a="1"/>
  <c r="I36" i="12" s="1"/>
  <c r="I35" i="12" a="1"/>
  <c r="I35" i="12" s="1"/>
  <c r="I34" i="12" a="1"/>
  <c r="I34" i="12" s="1"/>
  <c r="I33" i="12" a="1"/>
  <c r="I33" i="12" s="1"/>
  <c r="I31" i="12" a="1"/>
  <c r="I31" i="12" s="1"/>
  <c r="I30" i="12" a="1"/>
  <c r="I30" i="12" s="1"/>
  <c r="I29" i="12" a="1"/>
  <c r="I29" i="12" s="1"/>
  <c r="I28" i="12" a="1"/>
  <c r="I28" i="12" s="1"/>
  <c r="I27" i="12" a="1"/>
  <c r="I27" i="12" s="1"/>
  <c r="I26" i="12" a="1"/>
  <c r="I26" i="12" s="1"/>
  <c r="I25" i="12" a="1"/>
  <c r="I25" i="12" s="1"/>
  <c r="I24" i="12" a="1"/>
  <c r="I24" i="12" s="1"/>
  <c r="I23" i="12" a="1"/>
  <c r="I23" i="12" s="1"/>
  <c r="I18" i="12" a="1"/>
  <c r="I18" i="12" s="1"/>
  <c r="I17" i="12" a="1"/>
  <c r="I17" i="12" s="1"/>
  <c r="I16" i="12" a="1"/>
  <c r="I16" i="12" s="1"/>
  <c r="I15" i="12" a="1"/>
  <c r="I15" i="12" s="1"/>
  <c r="I14" i="12" a="1"/>
  <c r="I14" i="12" s="1"/>
  <c r="I13" i="12" a="1"/>
  <c r="I13" i="12" s="1"/>
  <c r="I12" i="12" a="1"/>
  <c r="I12" i="12" s="1"/>
  <c r="K20" i="9" a="1"/>
  <c r="K20" i="9" s="1"/>
  <c r="K9" i="9" a="1"/>
  <c r="K9" i="9" s="1"/>
  <c r="J9" i="22" a="1"/>
  <c r="J9" i="22" s="1"/>
  <c r="J16" i="22" a="1"/>
  <c r="J16" i="22" s="1"/>
  <c r="BU21" i="1" a="1"/>
  <c r="BU21" i="1" s="1"/>
  <c r="BU6" i="1" a="1"/>
  <c r="BU6" i="1" s="1"/>
  <c r="I11" i="20" a="1"/>
  <c r="I11" i="20" s="1"/>
  <c r="BE21" i="1" a="1"/>
  <c r="O11" i="19" a="1"/>
  <c r="O11" i="19" s="1"/>
  <c r="H11" i="19" a="1"/>
  <c r="H11" i="19" s="1"/>
  <c r="Z21" i="1" a="1"/>
  <c r="Z21" i="1" s="1"/>
  <c r="J9" i="18" a="1"/>
  <c r="J9" i="18" s="1"/>
  <c r="J28" i="18" a="1"/>
  <c r="J28" i="18" s="1"/>
  <c r="J21" i="18" a="1"/>
  <c r="J21" i="18" s="1"/>
  <c r="J15" i="18" a="1"/>
  <c r="J15" i="18" s="1"/>
  <c r="J28" i="17" a="1"/>
  <c r="J28" i="17" s="1"/>
  <c r="J9" i="17" a="1"/>
  <c r="J9" i="17" s="1"/>
  <c r="J21" i="17" a="1"/>
  <c r="J21" i="17" s="1"/>
  <c r="J15" i="17" a="1"/>
  <c r="J15" i="17" s="1"/>
  <c r="F23" i="12" a="1"/>
  <c r="F34" i="12" a="1"/>
  <c r="F31" i="12" a="1"/>
  <c r="F36" i="12" a="1"/>
  <c r="F24" i="12" a="1"/>
  <c r="F29" i="12" a="1"/>
  <c r="F30" i="12" a="1"/>
  <c r="F26" i="12" a="1"/>
  <c r="F38" i="12" a="1"/>
  <c r="F40" i="12" a="1"/>
  <c r="F28" i="12" a="1"/>
  <c r="F33" i="12" a="1"/>
  <c r="F25" i="12" a="1"/>
  <c r="F35" i="12" a="1"/>
  <c r="F32" i="12" a="1"/>
  <c r="F27" i="12" a="1"/>
  <c r="F37" i="12" a="1"/>
  <c r="BE21" i="1" l="1"/>
  <c r="F40" i="12"/>
  <c r="F31" i="12"/>
  <c r="F30" i="12"/>
  <c r="F27" i="12"/>
  <c r="F37" i="12"/>
  <c r="F34" i="12"/>
  <c r="F26" i="12"/>
  <c r="F36" i="12"/>
  <c r="F28" i="12"/>
  <c r="F35" i="12"/>
  <c r="F33" i="12"/>
  <c r="F25" i="12"/>
  <c r="F38" i="12"/>
  <c r="F29" i="12"/>
  <c r="F32" i="12"/>
  <c r="F24" i="12"/>
  <c r="F23" i="12"/>
  <c r="AT21" i="1" a="1"/>
  <c r="AT21" i="1" s="1"/>
  <c r="J19" i="15" a="1"/>
  <c r="J19" i="15" s="1"/>
  <c r="J9" i="15" a="1"/>
  <c r="J9" i="15" s="1"/>
  <c r="B19" i="2" a="1"/>
  <c r="B19" i="2" s="1"/>
  <c r="J29" i="14" a="1"/>
  <c r="J29" i="14" s="1"/>
  <c r="L29" i="14" s="1" a="1"/>
  <c r="L29" i="14" s="1"/>
  <c r="J22" i="14" a="1"/>
  <c r="J22" i="14" s="1"/>
  <c r="J16" i="14" a="1"/>
  <c r="J16" i="14" s="1"/>
  <c r="J19" i="13" a="1"/>
  <c r="J19" i="13" s="1"/>
  <c r="J9" i="13" a="1"/>
  <c r="J9" i="13" s="1"/>
  <c r="K7" i="11" a="1"/>
  <c r="K7" i="11" s="1"/>
  <c r="K14" i="11" a="1"/>
  <c r="K14" i="11" s="1"/>
  <c r="K10" i="10" a="1"/>
  <c r="K10" i="10" s="1"/>
  <c r="K7" i="10" a="1"/>
  <c r="K7" i="10" s="1"/>
  <c r="J13" i="7" a="1"/>
  <c r="J13" i="7" s="1"/>
  <c r="J7" i="7" a="1"/>
  <c r="J7" i="7" s="1"/>
  <c r="J13" i="6" a="1"/>
  <c r="J13" i="6" s="1"/>
  <c r="J7" i="6" a="1"/>
  <c r="J7" i="6" s="1"/>
  <c r="K7" i="4" a="1"/>
  <c r="K7" i="4" s="1"/>
  <c r="K38" i="4" a="1"/>
  <c r="K38" i="4" s="1"/>
  <c r="K31" i="4" a="1"/>
  <c r="K31" i="4" s="1"/>
  <c r="K25" i="4" a="1"/>
  <c r="K25" i="4" s="1"/>
  <c r="K19" i="4" a="1"/>
  <c r="K19" i="4" s="1"/>
  <c r="K13" i="4" a="1"/>
  <c r="K13" i="4" s="1"/>
  <c r="H17" i="8" l="1" a="1"/>
  <c r="H17" i="8" s="1"/>
  <c r="H9" i="8" a="1"/>
  <c r="H9" i="8" s="1"/>
  <c r="H9" i="3" a="1"/>
  <c r="H9" i="3" s="1"/>
  <c r="H16" i="3" a="1"/>
  <c r="H16" i="3" s="1"/>
  <c r="H17" i="5" a="1"/>
  <c r="H17" i="5" s="1"/>
  <c r="H9" i="5" a="1"/>
  <c r="H9" i="5" s="1"/>
  <c r="E19" i="2" l="1" a="1"/>
  <c r="E19" i="2" s="1"/>
  <c r="H21" i="1" a="1"/>
  <c r="H21" i="1" s="1"/>
  <c r="E21" i="1" a="1"/>
  <c r="E21"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tc={69D6092B-5AD3-4BA5-8EC3-971B5270794C}</author>
  </authors>
  <commentList>
    <comment ref="Y21" authorId="0" shapeId="0" xr:uid="{69D6092B-5AD3-4BA5-8EC3-971B5270794C}">
      <text>
        <t>[Threaded comment]
Your version of Excel allows you to read this threaded comment; however, any edits to it will get removed if the file is opened in a newer version of Excel. Learn more: https://go.microsoft.com/fwlink/?linkid=870924
Comment:
    Excel's LINEST function calculates wrongly the ESS if the parameter CONSTANT is FALSE, but X still has a constant.</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7">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futureMetadata>
  <cellMetadata count="1">
    <bk>
      <rc t="1" v="0"/>
    </bk>
  </cellMetadata>
  <valueMetadata count="7">
    <bk>
      <rc t="2" v="0"/>
    </bk>
    <bk>
      <rc t="2" v="1"/>
    </bk>
    <bk>
      <rc t="2" v="2"/>
    </bk>
    <bk>
      <rc t="2" v="3"/>
    </bk>
    <bk>
      <rc t="2" v="4"/>
    </bk>
    <bk>
      <rc t="2" v="5"/>
    </bk>
    <bk>
      <rc t="2" v="6"/>
    </bk>
  </valueMetadata>
</metadata>
</file>

<file path=xl/sharedStrings.xml><?xml version="1.0" encoding="utf-8"?>
<sst xmlns="http://schemas.openxmlformats.org/spreadsheetml/2006/main" count="1252" uniqueCount="515">
  <si>
    <t>Lambda functions for matrix calculation</t>
  </si>
  <si>
    <t>x</t>
  </si>
  <si>
    <t>y</t>
  </si>
  <si>
    <t>z</t>
  </si>
  <si>
    <t>Data</t>
  </si>
  <si>
    <t>SLICE (example 1)</t>
  </si>
  <si>
    <t>SLICE (example 2: unbounded)</t>
  </si>
  <si>
    <t>LAMBDA functions</t>
  </si>
  <si>
    <t>LAMBDA functions incorporated as new Excel functions</t>
  </si>
  <si>
    <t>x,y [1:3] ; x,y [10:12]</t>
  </si>
  <si>
    <t>x, y [1:6] , z [7:12]</t>
  </si>
  <si>
    <t>Developed by Eduardo G. C. Amaral</t>
  </si>
  <si>
    <t>Source: https://github.com/edugca/xlMATRIX</t>
  </si>
  <si>
    <t>w</t>
  </si>
  <si>
    <t>EYE</t>
  </si>
  <si>
    <t>Parameters</t>
  </si>
  <si>
    <t>Description</t>
  </si>
  <si>
    <t>Example</t>
  </si>
  <si>
    <t>Dimension of the identity matrix</t>
  </si>
  <si>
    <t>Returns an identity matrix</t>
  </si>
  <si>
    <t>DIAG</t>
  </si>
  <si>
    <t>Returns the diagonal of a matrix</t>
  </si>
  <si>
    <t>matrix</t>
  </si>
  <si>
    <t>ZEROS</t>
  </si>
  <si>
    <t>Returns a matrix of zeros</t>
  </si>
  <si>
    <t>The matrix whose diagonal one wants to extract. If a vector, function returns a matrix with that vector as diagonal.</t>
  </si>
  <si>
    <t>k</t>
  </si>
  <si>
    <t>k=0 (default) is the main diagonal; k&gt;0 is above the main diagonal; k&lt;0 is below the main diagonal</t>
  </si>
  <si>
    <t>The matrix whose lower triangular part one wants to extract.</t>
  </si>
  <si>
    <t>k=0 (default); k&gt; or k&lt;0 returns the elements on and below the kth diagonal of the matrix.</t>
  </si>
  <si>
    <t>TRIL</t>
  </si>
  <si>
    <t>TRIU</t>
  </si>
  <si>
    <t>ONES</t>
  </si>
  <si>
    <t>Returns a matrix of ones</t>
  </si>
  <si>
    <t>Dimension of the matrix of zeros to be returned</t>
  </si>
  <si>
    <t>Dimension of the matrix of ones to be returned</t>
  </si>
  <si>
    <t>n</t>
  </si>
  <si>
    <t>m</t>
  </si>
  <si>
    <t>[m]</t>
  </si>
  <si>
    <t>Trims or expands (with zeros) the matrix so as it has m columns</t>
  </si>
  <si>
    <t>If provided, it sets the number of columns of the matrix</t>
  </si>
  <si>
    <t>VEC</t>
  </si>
  <si>
    <t>The matrix that will be turned into a vector.</t>
  </si>
  <si>
    <t>The matrix whose upper triangular part one wants to extract.</t>
  </si>
  <si>
    <t>K</t>
  </si>
  <si>
    <t>FLIPLR</t>
  </si>
  <si>
    <t>The array/matrix that will be flipped.</t>
  </si>
  <si>
    <t>FLIPUD</t>
  </si>
  <si>
    <t>Flip array up to down</t>
  </si>
  <si>
    <t>SLICE</t>
  </si>
  <si>
    <t>REPMAT</t>
  </si>
  <si>
    <t>Repeat copies of array</t>
  </si>
  <si>
    <t>Flip array left to right</t>
  </si>
  <si>
    <t>Returns the upper triangular part of a matrix</t>
  </si>
  <si>
    <t>Returns the lower triangular part of a matrix</t>
  </si>
  <si>
    <t>Matrix to be copied</t>
  </si>
  <si>
    <t>[n]</t>
  </si>
  <si>
    <t>Copies the matrix so as it has n rows of copies</t>
  </si>
  <si>
    <t>Copies the matrix so as it has m columns of copies</t>
  </si>
  <si>
    <t>History</t>
  </si>
  <si>
    <t>v. 0.1</t>
  </si>
  <si>
    <t>v. 0.2</t>
  </si>
  <si>
    <t>Functions REVERSEROWS and REVERSECOLS were renamed to FLIPUD and FLIPLR for consistency with MatLab names.</t>
  </si>
  <si>
    <t>First release.</t>
  </si>
  <si>
    <t>[direction]</t>
  </si>
  <si>
    <t>direction</t>
  </si>
  <si>
    <t>last</t>
  </si>
  <si>
    <t>Find indices of nonzero elements</t>
  </si>
  <si>
    <t>Returning the values</t>
  </si>
  <si>
    <t>General functions</t>
  </si>
  <si>
    <t>SAMPLE</t>
  </si>
  <si>
    <t>BLKDIAG</t>
  </si>
  <si>
    <t>Create a block diagonal matrix from existing matrices</t>
  </si>
  <si>
    <t>matrixA</t>
  </si>
  <si>
    <t>matrixB</t>
  </si>
  <si>
    <t>Matrix on the upper-left of the diagonal</t>
  </si>
  <si>
    <t>Matrix on the lower-right of the diagonal</t>
  </si>
  <si>
    <t>VERTCAT</t>
  </si>
  <si>
    <t>HORZCAT</t>
  </si>
  <si>
    <t>MatLab equivalent</t>
  </si>
  <si>
    <t>FIND</t>
  </si>
  <si>
    <t>Known differences</t>
  </si>
  <si>
    <t>xlFunction allows matrices with different number of columns</t>
  </si>
  <si>
    <t>xlFunction allows matrices with different number of rows</t>
  </si>
  <si>
    <t>VEC (add-on)</t>
  </si>
  <si>
    <t>NOZERO</t>
  </si>
  <si>
    <t>NOZERO (MatLab's FIND)</t>
  </si>
  <si>
    <t>ALL</t>
  </si>
  <si>
    <t>[dim]</t>
  </si>
  <si>
    <t>matrix to be tested</t>
  </si>
  <si>
    <t>Determine if all array elements are nonzero or true</t>
  </si>
  <si>
    <t>tests whether all elements along dimension dim are nonzero or logical 1 (true); default is "all" (all dimensions)</t>
  </si>
  <si>
    <t/>
  </si>
  <si>
    <t>ANY</t>
  </si>
  <si>
    <t>Determine if any array elements are nonzero</t>
  </si>
  <si>
    <t>tests whether any element along dimension dim is nonzero or logical 1 (true); default is "all" (all dimensions)</t>
  </si>
  <si>
    <t>M (example 1)</t>
  </si>
  <si>
    <t>M (example 2: unbounded)</t>
  </si>
  <si>
    <t>M</t>
  </si>
  <si>
    <t>SPLIT</t>
  </si>
  <si>
    <t>Main functions</t>
  </si>
  <si>
    <t>Other matrix functions</t>
  </si>
  <si>
    <t>Econometric functions</t>
  </si>
  <si>
    <t>OLS_COEFF</t>
  </si>
  <si>
    <t>OLS_FITTED</t>
  </si>
  <si>
    <t>OLS_RESIDUALS</t>
  </si>
  <si>
    <t>TEXTTOCHAR</t>
  </si>
  <si>
    <t>LINSPACE</t>
  </si>
  <si>
    <t>Generate linearly spaced vector</t>
  </si>
  <si>
    <t>Lower bound of the vector</t>
  </si>
  <si>
    <t>Upper bound of the vector</t>
  </si>
  <si>
    <t>Number of points</t>
  </si>
  <si>
    <t>lb</t>
  </si>
  <si>
    <t>ub</t>
  </si>
  <si>
    <t>LENGTH</t>
  </si>
  <si>
    <t>Length of largest array dimension</t>
  </si>
  <si>
    <t>matrix used for calculation</t>
  </si>
  <si>
    <t>Number of array elements</t>
  </si>
  <si>
    <t>NUMEL</t>
  </si>
  <si>
    <t>NNZ</t>
  </si>
  <si>
    <t>matrix whose nonzero elements will be counted</t>
  </si>
  <si>
    <t>sd</t>
  </si>
  <si>
    <t>fs</t>
  </si>
  <si>
    <t>Number of nonzero (nor FALSE) matrix elements</t>
  </si>
  <si>
    <t>RESHAPE</t>
  </si>
  <si>
    <t>Reshape array</t>
  </si>
  <si>
    <t>Number of rows</t>
  </si>
  <si>
    <t>Number of columns</t>
  </si>
  <si>
    <t>The matrix that will be reshaped.</t>
  </si>
  <si>
    <t>[rowsToCols]</t>
  </si>
  <si>
    <t>Boolean that tells whether individual rows should be transposed before reshape. Default is FALSE.</t>
  </si>
  <si>
    <t>rowsToCols</t>
  </si>
  <si>
    <t>Turns an array into a vector by piling up column or row values</t>
  </si>
  <si>
    <t>xlFunction has an additional parameter for transposing individual rows before reshaping</t>
  </si>
  <si>
    <t>Split strings at delimiters</t>
  </si>
  <si>
    <t>Turn a string into a vector of single characters</t>
  </si>
  <si>
    <t>Regress a vector on a matrix and return ordinary least squares coefficients</t>
  </si>
  <si>
    <t>Regress a vector on a matrix and return ordinary least squares fitted values</t>
  </si>
  <si>
    <t>Regress a vector on a matrix and return ordinary least squares residuals</t>
  </si>
  <si>
    <t>RMMISSING</t>
  </si>
  <si>
    <t>dim</t>
  </si>
  <si>
    <t>Specifies the dimension of the matrix to operate along; default is 1.</t>
  </si>
  <si>
    <t>Remove rows or columns with missing entries</t>
  </si>
  <si>
    <t>The matrix whose rows or columns with missing entries will be removed. Missing entries are empty cells or Excel errors, including #N/A.</t>
  </si>
  <si>
    <t>OLS_COEFF_STDEV</t>
  </si>
  <si>
    <t>OLS_VARCOV</t>
  </si>
  <si>
    <t>Regress a vector on a matrix and return the variance-covariance matrix of ordinary least squares coefficients</t>
  </si>
  <si>
    <t>String functions</t>
  </si>
  <si>
    <t>const</t>
  </si>
  <si>
    <t>Excel's OLS</t>
  </si>
  <si>
    <t>OLS Functions</t>
  </si>
  <si>
    <t>Functions STACK and SHELVE were renamed to VERTCAT and HORZCAT for consistency with MatLab names.</t>
  </si>
  <si>
    <t>Added functions OLS_COEFF, OLS_COEFF_STDEV, OLS_VARCOV, OLS_FITTED, and OLS_RESIDUALS.</t>
  </si>
  <si>
    <t>Added functions M, SLICE, VEC, SAMPLE, NOZERO, EYE, ZEROS, ONES, DIAG, TRIL, TRIU, FLIPLR, FLIPUD, REPMAT, RESHAPE, BLKDIAG, ALL, ANY, NNZ, LINSPACE, LENGTH, NUMEL, and RMMISSING.</t>
  </si>
  <si>
    <t>Added functions SPLIT and TEXTTOCHAR.</t>
  </si>
  <si>
    <t>To use any of these functions in your own spreadsheet, follow instructions on cell I10.
Note that auxiliary functions will be automatically copied as well.
Alternatively, go in the ribbon to Formula / Name Manager and copy all lambda formulas available there.</t>
  </si>
  <si>
    <r>
      <t xml:space="preserve">Copy the formulas you need to your spreadsheet and then delete them at your spreadsheet </t>
    </r>
    <r>
      <rPr>
        <b/>
        <sz val="11"/>
        <color rgb="FFFF0000"/>
        <rFont val="Calibri"/>
        <family val="2"/>
        <scheme val="minor"/>
      </rPr>
      <t>(#VALUE! Is OK!)</t>
    </r>
  </si>
  <si>
    <t>SEASADJ</t>
  </si>
  <si>
    <t>IBGE SA</t>
  </si>
  <si>
    <t>IBGE seasonal adjustment is more sophisticated</t>
  </si>
  <si>
    <t>dates</t>
  </si>
  <si>
    <t>DUMMYVAR</t>
  </si>
  <si>
    <t>categories</t>
  </si>
  <si>
    <t>[exclude]</t>
  </si>
  <si>
    <t>vector with categorical values, i.e. months of a date vector.</t>
  </si>
  <si>
    <t>exclude</t>
  </si>
  <si>
    <t>Create alphabetically ordered dummy variables from categorical ones</t>
  </si>
  <si>
    <t>index of the excluded categorical value. If TRUE, excludes the first alphabetically ordered category.</t>
  </si>
  <si>
    <t>xlFunction has an additional parameter for excluding a specific column</t>
  </si>
  <si>
    <t>values</t>
  </si>
  <si>
    <t>Vector of dates</t>
  </si>
  <si>
    <t>Vector of values</t>
  </si>
  <si>
    <t>Seasonally adjust a (stationarized) time series with seasonal dummies</t>
  </si>
  <si>
    <t>ADDCONST</t>
  </si>
  <si>
    <t>Add a column of ones to a matrix</t>
  </si>
  <si>
    <t>position</t>
  </si>
  <si>
    <t>[position]</t>
  </si>
  <si>
    <t>ADDTREND</t>
  </si>
  <si>
    <t>Add a column with a deterministic trend to a matrix</t>
  </si>
  <si>
    <t>position where the column vector with the deterministic trend should be inserted; if omitted equals 1</t>
  </si>
  <si>
    <t>matrix to be horizontally concatenated with a column vector with a deterministic trend</t>
  </si>
  <si>
    <t>IBGE NSA</t>
  </si>
  <si>
    <t>Brazil IP MoM%</t>
  </si>
  <si>
    <t>Source: IBGE (Table 3653)</t>
  </si>
  <si>
    <t>Added functions ADDCONST, ADDTREND, DUMMYVAR, and SEASADJ.</t>
  </si>
  <si>
    <t>v. 0.3</t>
  </si>
  <si>
    <t>power of the deterministic trend; if omitted equals 1</t>
  </si>
  <si>
    <t>power</t>
  </si>
  <si>
    <t>[nPower]</t>
  </si>
  <si>
    <t>v. 0.3.1</t>
  </si>
  <si>
    <t>Added parameter nPower to function ADDTREND.</t>
  </si>
  <si>
    <t>DETREND</t>
  </si>
  <si>
    <t>Detrend a time series</t>
  </si>
  <si>
    <t>nPower</t>
  </si>
  <si>
    <t>Power of the trend; if omitted equals 1</t>
  </si>
  <si>
    <t>SIZE</t>
  </si>
  <si>
    <t>dimension whose length is to be returned; if omitted, returns a row-vector with the length of each dimension in order</t>
  </si>
  <si>
    <t>v. 0.4</t>
  </si>
  <si>
    <t>HPFILTER</t>
  </si>
  <si>
    <t>Hodrick-Prescott filter for trend and cyclical components</t>
  </si>
  <si>
    <t>lambda</t>
  </si>
  <si>
    <t>smoothing</t>
  </si>
  <si>
    <t>Trend component smoothing parameter</t>
  </si>
  <si>
    <t>IBC-Br Seasonally Adjusted</t>
  </si>
  <si>
    <t>Source: BCB (SGS code = )</t>
  </si>
  <si>
    <t>trendCycle</t>
  </si>
  <si>
    <t>If "t" or omitted returns the trend. If "c" returns the cycle</t>
  </si>
  <si>
    <t>c</t>
  </si>
  <si>
    <t>t</t>
  </si>
  <si>
    <t>trend</t>
  </si>
  <si>
    <t>cycle</t>
  </si>
  <si>
    <t>Added functions DETREND, SIZE, and HPFILTER.</t>
  </si>
  <si>
    <t>ANOVA</t>
  </si>
  <si>
    <t>LAG</t>
  </si>
  <si>
    <t>Lag a vector</t>
  </si>
  <si>
    <t>[nLags]</t>
  </si>
  <si>
    <t>Lag shift. If omitted equals 1</t>
  </si>
  <si>
    <t>[fillWithNA]</t>
  </si>
  <si>
    <t>If omitted equals true</t>
  </si>
  <si>
    <t>nLags</t>
  </si>
  <si>
    <t>fillWithNA</t>
  </si>
  <si>
    <t>LEAD</t>
  </si>
  <si>
    <t>Lead a vector</t>
  </si>
  <si>
    <t>[nLeads]</t>
  </si>
  <si>
    <t>Lead shift. If omitted equals 1</t>
  </si>
  <si>
    <t>GRANGER</t>
  </si>
  <si>
    <t>Granger causality</t>
  </si>
  <si>
    <t>predicted</t>
  </si>
  <si>
    <t>predictors</t>
  </si>
  <si>
    <t>lags</t>
  </si>
  <si>
    <t>Source: BCB (SGS code = 24364)</t>
  </si>
  <si>
    <t>Industrial Production Seasonally Adjusted</t>
  </si>
  <si>
    <t>Source: IBGE via BCB (SGS code = 28503)</t>
  </si>
  <si>
    <t>Sales volume index in the retail sector - Hypermarkets and supermarkets - Brazil - Seasonally Adjusted</t>
  </si>
  <si>
    <t>Source: IBGE via BCB (28476)</t>
  </si>
  <si>
    <t>[allLags]</t>
  </si>
  <si>
    <t>allLags</t>
  </si>
  <si>
    <t>[allLeads]</t>
  </si>
  <si>
    <t>If TRUE returns a matrix with shifted leads from nLeads to 1; default is FALSE</t>
  </si>
  <si>
    <t>Date</t>
  </si>
  <si>
    <t>IBCBr</t>
  </si>
  <si>
    <t>Predicted</t>
  </si>
  <si>
    <t>Predictor</t>
  </si>
  <si>
    <t>IndProd</t>
  </si>
  <si>
    <t>Lags</t>
  </si>
  <si>
    <t>RetailSales</t>
  </si>
  <si>
    <t>Vector of predicted values</t>
  </si>
  <si>
    <t>Vector of predictor values</t>
  </si>
  <si>
    <t>Amount of lags to be tested</t>
  </si>
  <si>
    <t>If TRUE returns a matrix with shifted lags from 1 to nLAGS; default is FALSE</t>
  </si>
  <si>
    <t>[descending]</t>
  </si>
  <si>
    <t>descending</t>
  </si>
  <si>
    <t>returnPValue</t>
  </si>
  <si>
    <t>[returnPValue]</t>
  </si>
  <si>
    <t>A</t>
  </si>
  <si>
    <t>B</t>
  </si>
  <si>
    <t>C</t>
  </si>
  <si>
    <t>D</t>
  </si>
  <si>
    <t>E</t>
  </si>
  <si>
    <t>Lambda</t>
  </si>
  <si>
    <t>Named function</t>
  </si>
  <si>
    <t>groupNames</t>
  </si>
  <si>
    <t>groupVectors</t>
  </si>
  <si>
    <t>[significance]</t>
  </si>
  <si>
    <t>Vector of group names</t>
  </si>
  <si>
    <t>Matrix in which each column is a group vector</t>
  </si>
  <si>
    <t>Significance degree for the F Test. If omitted, equals 5%</t>
  </si>
  <si>
    <t>significance</t>
  </si>
  <si>
    <t>v. 0.5</t>
  </si>
  <si>
    <t>Added functions LAG, LEAD, GRANGER, and ANOVA.</t>
  </si>
  <si>
    <t>Analysis of variance (1 factor or one-way)</t>
  </si>
  <si>
    <t>Example taken from:</t>
  </si>
  <si>
    <t>https://consultglp.com/wp-content/uploads/2018/07/Using-Excel-functions-for-one-way-ANOVA.pdf</t>
  </si>
  <si>
    <t>If TRUE, reverses columns order; default is FALSE</t>
  </si>
  <si>
    <t>If TRUE (or omitted), returns the p-value. If FALSE, returns the F-statistic</t>
  </si>
  <si>
    <t>OLS_COEFF_TSTAT</t>
  </si>
  <si>
    <t>Regress a vector on a matrix and return the t-statistic of ordinary least squares coefficients</t>
  </si>
  <si>
    <t>Regress a vector on a matrix and return the standard deviation of ordinary least squares coefficients</t>
  </si>
  <si>
    <t>SLICE (example 3: patch)</t>
  </si>
  <si>
    <t>Function M now accepts references to negative positions (start counting from the last element) and also interprets "0" in the address as the first or the last element depending on whether it preceeds or not the ":".</t>
  </si>
  <si>
    <t>Extract or patch subarray using "[rLB:rUB,cLB:cUB]" notation</t>
  </si>
  <si>
    <t>COL1</t>
  </si>
  <si>
    <t>COL2</t>
  </si>
  <si>
    <t>COL3</t>
  </si>
  <si>
    <t>MULTIFILTER</t>
  </si>
  <si>
    <t>Function SPLIT now accepts delimeters with more than one character.</t>
  </si>
  <si>
    <t>array</t>
  </si>
  <si>
    <t>include</t>
  </si>
  <si>
    <t>[if_empty]</t>
  </si>
  <si>
    <t>Filter dataset based on (multiple) criteria passed as string</t>
  </si>
  <si>
    <t>The matrix whose rows will be filtered.</t>
  </si>
  <si>
    <t>[headers]</t>
  </si>
  <si>
    <t>The name of the columns of the array. If omitted, headers are set as the first row of [array] which is then excluded from the filtering rows.</t>
  </si>
  <si>
    <t>Value returned in case there are no filtered rows. If omitted, it returns #N/A.</t>
  </si>
  <si>
    <t>ab</t>
  </si>
  <si>
    <t>Criteria passed as string in the format [column name][operator][value], where [operator] is one of =, &lt;&gt;, &gt;, &gt;=, &lt;, or &lt;=. If [value] is a string, then it must be in-between double quotes, as "value" (it is not allowed to have double quotes in the middle of the string). Multiple criteria should be separated by ";".</t>
  </si>
  <si>
    <t>COL1="ab";COL2&gt;=200;COL3&lt;=2000</t>
  </si>
  <si>
    <t>No results!</t>
  </si>
  <si>
    <t>TEXTTOARRAY</t>
  </si>
  <si>
    <t>matrixText</t>
  </si>
  <si>
    <t>The text that represents a matrix.</t>
  </si>
  <si>
    <t>[lineChar]</t>
  </si>
  <si>
    <t>[colChar]</t>
  </si>
  <si>
    <t>The character that breaks the line of a matrix. If omitted, it is used Excel's locale character.</t>
  </si>
  <si>
    <t>The character that breaks the column of a matrix. If omitted, it is used Excel's locale character.</t>
  </si>
  <si>
    <t>;</t>
  </si>
  <si>
    <t>\</t>
  </si>
  <si>
    <t>v. 0.6</t>
  </si>
  <si>
    <t>xlMATRIX v. 0.6</t>
  </si>
  <si>
    <t>Return n indices, default is all. If no indices are found, returns #N/A.</t>
  </si>
  <si>
    <t>OLS_COEFF_PVALUE</t>
  </si>
  <si>
    <t>Regress a vector on a matrix and return the p-value of ordinary least squares coefficients</t>
  </si>
  <si>
    <t>OLS_LOGLIKELIHOOD</t>
  </si>
  <si>
    <t>OLS_AIC</t>
  </si>
  <si>
    <t>OLS_BIC</t>
  </si>
  <si>
    <t>Regress a vector on a matrix and return the log-likelihood of the regression</t>
  </si>
  <si>
    <t>Regress a vector on a matrix and return the Akaike information criterion of the regression</t>
  </si>
  <si>
    <t>Regress a vector on a matrix and return the Bayesian (Schwartz) information criterion of the regression</t>
  </si>
  <si>
    <t>OLS_OPTIMAL_LAG</t>
  </si>
  <si>
    <t>Regress a vector on its lags and a matrix and return the amount of lags which minimizes an information criterion</t>
  </si>
  <si>
    <t>Example 2</t>
  </si>
  <si>
    <t>Example 1</t>
  </si>
  <si>
    <t>COMPLEMENT</t>
  </si>
  <si>
    <t>[minInteger]</t>
  </si>
  <si>
    <t>[maxInteger]</t>
  </si>
  <si>
    <t>the largest integer of the range. If omitted, it is the largest value of the matrix</t>
  </si>
  <si>
    <t>the largest integer of the range. If omitted, it is the smallest value of the matrix</t>
  </si>
  <si>
    <t>matrix used for comparison</t>
  </si>
  <si>
    <t>Observations</t>
  </si>
  <si>
    <t>If all the integers in the range belong to the matrix, then the function returns #N/A</t>
  </si>
  <si>
    <t>SLICE (example 4: remove)</t>
  </si>
  <si>
    <t>M (example 3: patch)</t>
  </si>
  <si>
    <t>Function SLICE has a new parameter. The parameter "remove", which is a boolean that changes the behavior of the function so that indicated lines and columns are actually removed from the original matrix.</t>
  </si>
  <si>
    <t>Return the elements in a continuous range of integers that do not belong to a matrix</t>
  </si>
  <si>
    <t>Function NOZERO returns #N/A when there are no filtered results. In MatLab, the equivalent function returns an empty array.</t>
  </si>
  <si>
    <t>Convert a text that represents a matrix into an array</t>
  </si>
  <si>
    <t>REPLACEALL</t>
  </si>
  <si>
    <t>Replace all occurrences of any specified texts or chars</t>
  </si>
  <si>
    <t>SPLITALL</t>
  </si>
  <si>
    <t>Split strings at (multiple) delimiters</t>
  </si>
  <si>
    <t>a</t>
  </si>
  <si>
    <t>b</t>
  </si>
  <si>
    <t>STATIONARIZE</t>
  </si>
  <si>
    <t>Stationarize a vector</t>
  </si>
  <si>
    <t>[constant]</t>
  </si>
  <si>
    <t>[trend]</t>
  </si>
  <si>
    <t>constant</t>
  </si>
  <si>
    <t>DFTABLE</t>
  </si>
  <si>
    <t>Critical values for the (Augmented) Dicky-Fuller test</t>
  </si>
  <si>
    <t>sampleSize</t>
  </si>
  <si>
    <t>Obs:</t>
  </si>
  <si>
    <t>Significance</t>
  </si>
  <si>
    <t>Includes a constant in the test equation</t>
  </si>
  <si>
    <t>Includes a linear trend in the test. If omitted equals false. If true, constant must be true</t>
  </si>
  <si>
    <t>Values are approximations.</t>
  </si>
  <si>
    <t>Fixed bug in function ADDTREND. When parameter nPower was missing, the function returned a vector of ones.</t>
  </si>
  <si>
    <t>Number of observations</t>
  </si>
  <si>
    <t>nObs</t>
  </si>
  <si>
    <t>maxDiffs</t>
  </si>
  <si>
    <t>Ex1</t>
  </si>
  <si>
    <t>Ex2</t>
  </si>
  <si>
    <t>Ex3</t>
  </si>
  <si>
    <t>DIFF</t>
  </si>
  <si>
    <t>Differences between adjacent elements</t>
  </si>
  <si>
    <t>Times the operator should be applied to the vector. If omitted, it is 1</t>
  </si>
  <si>
    <t>Dimension along the operator should be applied. If omitted, it is 1</t>
  </si>
  <si>
    <t>Is Stationary?</t>
  </si>
  <si>
    <t>SPLITTWO</t>
  </si>
  <si>
    <t>Functions HORZCAT and VERTCAT now return the non-omitted matrix in case either matrixA or matrixB is omitted. Besides, concatenation of matrices with different number of rows or columns is done by filling exceeding cells with #REF! or #N/A.</t>
  </si>
  <si>
    <t>Includes a linear trend in the test. If omitted equals false. If true, constant must be true, otherwise returns #VALUE!</t>
  </si>
  <si>
    <t>Tests whether a vector is stationary according to the Dickey-Fuller test</t>
  </si>
  <si>
    <t>[automatic]</t>
  </si>
  <si>
    <t>If FALSE, uses constant and trend parameters. If AIC or BIC picks the specification that minimizes that information criterion and ignores constant and trend parameters.</t>
  </si>
  <si>
    <t>automatic</t>
  </si>
  <si>
    <t>Obs: Specification with information criteria: https://static.sys.kth.se/itm/wp/cesis/cesiswp213.pdf</t>
  </si>
  <si>
    <t>Maximum number of lags for the Augmented Dickey-Fuller test</t>
  </si>
  <si>
    <t>Function ANOVA code was slightly adjusted to this version changes to HORZCAT.</t>
  </si>
  <si>
    <t>[returnRowAndCol]</t>
  </si>
  <si>
    <t>If TRUE, returns results in two columns, where the first column is the row index and the second column is the column index. Default value is FALSE.</t>
  </si>
  <si>
    <t>returnRowAndCol</t>
  </si>
  <si>
    <t>first</t>
  </si>
  <si>
    <t>Function NOZERO has na additional parameter returnRowAndCol, which is a boolean that when TRUE the function returns two columns: row and column index.</t>
  </si>
  <si>
    <t>SLICE (example 5: byValue (allows wildcard))</t>
  </si>
  <si>
    <t>M (example 4: by values (allows wildcard))</t>
  </si>
  <si>
    <t>ISEMPTY</t>
  </si>
  <si>
    <t>Test for empty values (cells or not)</t>
  </si>
  <si>
    <t>Functions SLICE and M have a new parameter. The parameter "patch", which receives a matrix, induces the function to return the original matrix patched by the "patch" matrix in the address specified.</t>
  </si>
  <si>
    <t>Functions SLICE and M now accept matching texts for the matrix coordinates. That is, if instead of a number for lines and columns the user provides a text, then the function will search for that text in the first row/column and set its position as the coordinate.</t>
  </si>
  <si>
    <t>[header]</t>
  </si>
  <si>
    <t>header</t>
  </si>
  <si>
    <t>col A</t>
  </si>
  <si>
    <t>col B</t>
  </si>
  <si>
    <t>Function ADDCONST has a new parameter. The parameter "header" allows for the user to provide a header name for the column with the constants.</t>
  </si>
  <si>
    <t>[headerFirstRow]</t>
  </si>
  <si>
    <t>If TRUE, ignores first row and adds headers to the lag columns in the format of a suffix "_LAG#" to the variable name; default is FALSE.</t>
  </si>
  <si>
    <t>headerFirstRow</t>
  </si>
  <si>
    <t>IP</t>
  </si>
  <si>
    <t>Functions LAG and LEAD have a new parameter. The parameter "headerFirstRow" is a boolean which tells the function to ignore first row values of the input and add a header row to the output matrix.</t>
  </si>
  <si>
    <t>Split strings at two different delimiters; may return each delimeter position</t>
  </si>
  <si>
    <t>SORTRANGE</t>
  </si>
  <si>
    <t>range</t>
  </si>
  <si>
    <t>[sortRows]</t>
  </si>
  <si>
    <t>[asc]</t>
  </si>
  <si>
    <t>If TRUE (default) sorts in ascending order. If FALSE, sorts in descending order.</t>
  </si>
  <si>
    <t>sortRows</t>
  </si>
  <si>
    <t>asc</t>
  </si>
  <si>
    <t>If TRUE (default), sort columns of each row. If FALSE, sort rows of each column.</t>
  </si>
  <si>
    <t>Adapted from: https://www.linkedin.com/pulse/excel-lambda-sort-range-rows-columns-sergei-baklan/</t>
  </si>
  <si>
    <t>Sort each column or row of a range independently. Range may contain text values.</t>
  </si>
  <si>
    <t>ISUNIQUE</t>
  </si>
  <si>
    <t>Checks whether a value is unique in a range</t>
  </si>
  <si>
    <t>value</t>
  </si>
  <si>
    <t>ABC</t>
  </si>
  <si>
    <t>DEF</t>
  </si>
  <si>
    <t>value to be checked uniqueness</t>
  </si>
  <si>
    <t>If value is not in matrix, returns FALSE.</t>
  </si>
  <si>
    <t>OLS_R2</t>
  </si>
  <si>
    <t>OLS_STDEV</t>
  </si>
  <si>
    <t>Regress a vector on a matrix with OLS and return the standard deviation of the residuals</t>
  </si>
  <si>
    <t>OLS_ESS</t>
  </si>
  <si>
    <t>OLS_RSS</t>
  </si>
  <si>
    <t>Regress a vector on a matrix with OLS and return the squared sum of explained variation</t>
  </si>
  <si>
    <t>Regress a vector on a matrix with OLS and return the squared sum of residual variation</t>
  </si>
  <si>
    <t>Regress a vector on a matrix with OLS and return the determination coefficient</t>
  </si>
  <si>
    <t>OLS_TSS</t>
  </si>
  <si>
    <t>Regress a vector on a matrix with OLS and return the squared sum of total variation</t>
  </si>
  <si>
    <t>OLS_R2_ADJUSTED</t>
  </si>
  <si>
    <t>Regress a vector on a matrix with OLS and return the adjusted determination coefficient</t>
  </si>
  <si>
    <t>OLS_VARCOV_HAC</t>
  </si>
  <si>
    <t>OLS_COEFF_STDEV_HAC</t>
  </si>
  <si>
    <t>Regress a vector on a matrix and return the HAC variance-covariance matrix of ordinary least squares coefficients</t>
  </si>
  <si>
    <t>Regress a vector on a matrix and return the HAC standard deviation of ordinary least squares coefficients</t>
  </si>
  <si>
    <t>OLS_COEFF_TSTAT_HAC</t>
  </si>
  <si>
    <t>OLS_COEFF_PVALUE_HAC</t>
  </si>
  <si>
    <t>Regress a vector on a matrix and return the HAC t-statistic of ordinary least squares coefficients</t>
  </si>
  <si>
    <t>Functions OLS_ that allow for coefficients to be provided by the user now accept that these coefficients are passed as a row or as a column vector.</t>
  </si>
  <si>
    <t>GET</t>
  </si>
  <si>
    <t>GET (example 1)</t>
  </si>
  <si>
    <t>GET (example 2: patch)</t>
  </si>
  <si>
    <t>Remove rows or columns with outliers</t>
  </si>
  <si>
    <t>RMOUTLIERS</t>
  </si>
  <si>
    <t>method</t>
  </si>
  <si>
    <t>MAD</t>
  </si>
  <si>
    <t>The matrix whose rows or columns with outliers will be removed.</t>
  </si>
  <si>
    <t>The method for identifying an outlier. Only available is "MAD" = median absolute deviation.</t>
  </si>
  <si>
    <t>Lower-bound parameter for the outlier detection method.</t>
  </si>
  <si>
    <t>Upper-bound parameter for the outlier detection method.</t>
  </si>
  <si>
    <t>ISOUTLIER</t>
  </si>
  <si>
    <t>Detect outliers in a matrix</t>
  </si>
  <si>
    <t>The matrix whose rows or columns with outliers should be detected.</t>
  </si>
  <si>
    <t>OLS_FSTAT</t>
  </si>
  <si>
    <t>Regress a vector on a matrix with OLS and return the F-statistic</t>
  </si>
  <si>
    <t>OLS_FSTAT_PVALUE</t>
  </si>
  <si>
    <t>Regress a vector on a matrix with OLS and return the p-value of the F-statistic</t>
  </si>
  <si>
    <t>Turn an array into a vector by piling up column or row values</t>
  </si>
  <si>
    <t>Matrix of values.</t>
  </si>
  <si>
    <t>"first" or "last", default is "first".</t>
  </si>
  <si>
    <t>Draw a sample of rows or columns, with or without replacement</t>
  </si>
  <si>
    <t>Function SAMPLE had a parameter ("replacement") with misleading behavior. It was fixed.</t>
  </si>
  <si>
    <t>Concatenate arrays vertically (a limited version of Excel's VSTACK)</t>
  </si>
  <si>
    <t>Concatenate arrays horizontally (a limited version of Excel's HSTACK)</t>
  </si>
  <si>
    <t>GET (example 3: remove)</t>
  </si>
  <si>
    <t>Extract, patch, or remove the nth element of a vector or matrix</t>
  </si>
  <si>
    <t>Extract, patch, or remove subarray using [rLB:rUB,cLB:cUB] parameters</t>
  </si>
  <si>
    <t>SAMPLE (rows without replacement)</t>
  </si>
  <si>
    <t>SAMPLE (cols with replacement)</t>
  </si>
  <si>
    <t>if not omitted, adds this argument to the first row of the ones column.</t>
  </si>
  <si>
    <t>position where the column vector of ones should be inserted; if omitted equals 1.</t>
  </si>
  <si>
    <t>matrix to be horizontally concatenated with a column vector of ones.</t>
  </si>
  <si>
    <t>returnIntegrationOrder</t>
  </si>
  <si>
    <t>d(values)</t>
  </si>
  <si>
    <t>DIM</t>
  </si>
  <si>
    <t>DIM (MatLab's SIZE)</t>
  </si>
  <si>
    <t>Array length at specified dimension</t>
  </si>
  <si>
    <t>Function SIZE was renamed to DIM due to the fact that SIZE is a reserved word in Excel when English is set as language.</t>
  </si>
  <si>
    <t>IORDER</t>
  </si>
  <si>
    <t>Returns the integration order of a vector</t>
  </si>
  <si>
    <t>Ex4</t>
  </si>
  <si>
    <t>Ex5</t>
  </si>
  <si>
    <t>Ex6</t>
  </si>
  <si>
    <t>GDP</t>
  </si>
  <si>
    <t>Consumption</t>
  </si>
  <si>
    <t>Residuals</t>
  </si>
  <si>
    <t>Selic</t>
  </si>
  <si>
    <t>SFN rate</t>
  </si>
  <si>
    <t>Test whether two vectors are cointegrated (Engle–Granger method)</t>
  </si>
  <si>
    <t>valuesA</t>
  </si>
  <si>
    <t>valuesB</t>
  </si>
  <si>
    <t>First vector of values</t>
  </si>
  <si>
    <t>Second vector of values</t>
  </si>
  <si>
    <t>Obs: vectors must be integrated at the same order.</t>
  </si>
  <si>
    <t>OLS_LEVERAGE</t>
  </si>
  <si>
    <t>OLS_COOKS_DISTANCE</t>
  </si>
  <si>
    <t>Regress a vector on a matrix with OLS and return the leverage of each dependent variable observation</t>
  </si>
  <si>
    <t>Regress a vector on a matrix with OLS and return the Cook's distance of each dependent variable observation</t>
  </si>
  <si>
    <t>OLS_CONF_INTERVAL</t>
  </si>
  <si>
    <t>OLS_RESIDUALS_STD</t>
  </si>
  <si>
    <t>OLS_PRED_INTERVAL</t>
  </si>
  <si>
    <t>OLS_RESIDUALS_PARTIAL</t>
  </si>
  <si>
    <t>Regress a vector on a matrix and return ordinary least squares standardized residuals</t>
  </si>
  <si>
    <t>Regress a vector on a matrix and return the matrix of ordinary least squares partial residuals</t>
  </si>
  <si>
    <t>Regress a vector on a matrix with OLS and return the confidence interval around a given set of independent variables</t>
  </si>
  <si>
    <t>Regress a vector on a matrix with OLS and return the prediction interval around a given set of independent variables</t>
  </si>
  <si>
    <t>TSOPER</t>
  </si>
  <si>
    <t>Time series operation</t>
  </si>
  <si>
    <t>operation</t>
  </si>
  <si>
    <t>V%(3)</t>
  </si>
  <si>
    <t>Graph name</t>
  </si>
  <si>
    <t>String with the operation to be applied to the time series. Operations available are: V%(n), VA(n), MA(n), LAG(n), LEAD(n), IDX(refDate), B100(refDate), CR(n), V%ACC(refDate), and VAACC(refDate). Sucessive operations are separated by ";".</t>
  </si>
  <si>
    <t>Date: October 8th, 2022</t>
  </si>
  <si>
    <t>Other websites with inspiring material:
https://exceluser.com/
https://www.real-statistics.com/
https://www.youtube.com/c/NEDLeducation</t>
  </si>
  <si>
    <t>OLS functions</t>
  </si>
  <si>
    <t>ISSTATIONARY</t>
  </si>
  <si>
    <t>ISCOINTEGRATED</t>
  </si>
  <si>
    <t>Added functions GET, ISOUTLIER, RMOUTLIERS, ISEMPTY, MULTIFILTER, TEXTTOARRAY, REPLACEALL, SPLITTWO, SPLITALL, COMPLEMENT, DIFF, DFTABLE, ISSTATIONARY, STATIONARIZE, IORDER, ISCOINTEGRATED, TSOPER, OLS_COEFF_TSTAT, OLS_COEFF_TSTAT_HAC, OLS_COEFF_PVALUE, OLS_COEFF_PVALUE_HAC, OLS_STDEV, OLS_STDEV_HAC, OLS_ESS, OLS_RSS, OLS_TSS, OLS_FSTAT, OLS_FSTAT_PVALUE, OLS_R2, OLS_R2_ADJUSTED, OLS_LOGLIKELIHOOD, OLS_AIC, OLS_BIC, OLS_OPTIMAL_LAG, OLS_LEVERAGE, OLS_COOKS_DISTANCE, OLS_RESIDUALS_STD, OLS_RESIDUALS_PARTIAL, OLS_CONF_INTERVAL, and OLS_PRED_INTERVAL.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</si>
</sst>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9">
    <numFmt numFmtId="164" formatCode="0.0"/>
    <numFmt numFmtId="165" formatCode="0.000"/>
    <numFmt numFmtId="166" formatCode="[$-416]mmm\-yy;@"/>
    <numFmt numFmtId="167" formatCode="0.0000"/>
    <numFmt numFmtId="168" formatCode="0.0000000"/>
    <numFmt numFmtId="169" formatCode="0.000000"/>
    <numFmt numFmtId="170" formatCode="0.0%"/>
    <numFmt numFmtId="171" formatCode="0.00000E+00"/>
    <numFmt numFmtId="172" formatCode="0.0000000%"/>
  </numFmts>
  <fonts count="21" x14ac:knownFonts="1">
    <font>
      <sz val="11"/>
      <color theme="1"/>
      <name val="Calibri"/>
      <family val="2"/>
      <scheme val="minor"/>
    </font>
    <font>
      <sz val="10"/>
      <color theme="1"/>
      <name val="Arial"/>
      <family val="2"/>
    </font>
    <font>
      <sz val="12"/>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
      <b/>
      <sz val="18"/>
      <color theme="1"/>
      <name val="Calibri"/>
      <family val="2"/>
      <scheme val="minor"/>
    </font>
    <font>
      <sz val="12"/>
      <color theme="1"/>
      <name val="Calibri"/>
      <family val="2"/>
      <scheme val="minor"/>
    </font>
    <font>
      <sz val="11"/>
      <color rgb="FF3F3F76"/>
      <name val="Calibri"/>
      <family val="2"/>
      <scheme val="minor"/>
    </font>
    <font>
      <b/>
      <sz val="11"/>
      <color rgb="FF3F3F3F"/>
      <name val="Calibri"/>
      <family val="2"/>
      <scheme val="minor"/>
    </font>
    <font>
      <b/>
      <sz val="14"/>
      <color theme="1"/>
      <name val="Calibri"/>
      <family val="2"/>
      <scheme val="minor"/>
    </font>
    <font>
      <sz val="14"/>
      <color theme="1"/>
      <name val="Calibri"/>
      <family val="2"/>
      <scheme val="minor"/>
    </font>
    <font>
      <b/>
      <sz val="11"/>
      <name val="Calibri"/>
      <family val="2"/>
      <scheme val="minor"/>
    </font>
    <font>
      <b/>
      <sz val="11"/>
      <color rgb="FFFF0000"/>
      <name val="Calibri"/>
      <family val="2"/>
      <scheme val="minor"/>
    </font>
    <font>
      <b/>
      <sz val="11"/>
      <color rgb="FFFA7D00"/>
      <name val="Calibri"/>
      <family val="2"/>
      <scheme val="minor"/>
    </font>
    <font>
      <u/>
      <sz val="11"/>
      <color theme="10"/>
      <name val="Calibri"/>
      <family val="2"/>
      <scheme val="minor"/>
    </font>
    <font>
      <sz val="11"/>
      <color rgb="FFFF0000"/>
      <name val="Calibri"/>
      <family val="2"/>
      <scheme val="minor"/>
    </font>
    <font>
      <sz val="11"/>
      <color theme="1"/>
      <name val="Calibri"/>
      <family val="2"/>
      <scheme val="minor"/>
    </font>
    <font>
      <i/>
      <sz val="11"/>
      <color theme="1"/>
      <name val="Calibri"/>
      <family val="2"/>
      <scheme val="minor"/>
    </font>
    <font>
      <b/>
      <sz val="14"/>
      <name val="Calibri"/>
      <family val="2"/>
      <scheme val="minor"/>
    </font>
    <font>
      <sz val="14"/>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rgb="FFFFCC99"/>
      </patternFill>
    </fill>
    <fill>
      <patternFill patternType="solid">
        <fgColor rgb="FFF2F2F2"/>
      </patternFill>
    </fill>
    <fill>
      <patternFill patternType="solid">
        <fgColor theme="0" tint="-0.14999847407452621"/>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0" tint="-0.34998626667073579"/>
        <bgColor indexed="64"/>
      </patternFill>
    </fill>
  </fills>
  <borders count="11">
    <border>
      <left/>
      <right/>
      <top/>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3F3F3F"/>
      </left>
      <right/>
      <top style="thin">
        <color rgb="FF3F3F3F"/>
      </top>
      <bottom style="thin">
        <color rgb="FF3F3F3F"/>
      </bottom>
      <diagonal/>
    </border>
    <border>
      <left/>
      <right style="thin">
        <color rgb="FF3F3F3F"/>
      </right>
      <top style="thin">
        <color rgb="FF3F3F3F"/>
      </top>
      <bottom style="thin">
        <color rgb="FF3F3F3F"/>
      </bottom>
      <diagonal/>
    </border>
    <border>
      <left/>
      <right/>
      <top style="medium">
        <color auto="1"/>
      </top>
      <bottom style="thin">
        <color auto="1"/>
      </bottom>
      <diagonal/>
    </border>
    <border>
      <left/>
      <right/>
      <top/>
      <bottom style="medium">
        <color auto="1"/>
      </bottom>
      <diagonal/>
    </border>
    <border>
      <left style="thin">
        <color rgb="FF3F3F3F"/>
      </left>
      <right/>
      <top style="thin">
        <color rgb="FF7F7F7F"/>
      </top>
      <bottom style="thin">
        <color rgb="FF7F7F7F"/>
      </bottom>
      <diagonal/>
    </border>
    <border>
      <left/>
      <right/>
      <top style="thin">
        <color rgb="FF7F7F7F"/>
      </top>
      <bottom style="thin">
        <color rgb="FF7F7F7F"/>
      </bottom>
      <diagonal/>
    </border>
    <border>
      <left/>
      <right style="thin">
        <color rgb="FF7F7F7F"/>
      </right>
      <top style="thin">
        <color rgb="FF7F7F7F"/>
      </top>
      <bottom style="thin">
        <color rgb="FF7F7F7F"/>
      </bottom>
      <diagonal/>
    </border>
  </borders>
  <cellStyleXfs count="8">
    <xf numFmtId="0" fontId="0" fillId="0" borderId="0"/>
    <xf numFmtId="0" fontId="8" fillId="4" borderId="2" applyNumberFormat="0" applyAlignment="0" applyProtection="0"/>
    <xf numFmtId="0" fontId="9" fillId="5" borderId="3" applyNumberFormat="0" applyAlignment="0" applyProtection="0"/>
    <xf numFmtId="0" fontId="2" fillId="0" borderId="0"/>
    <xf numFmtId="0" fontId="14" fillId="5" borderId="2" applyNumberFormat="0" applyAlignment="0" applyProtection="0"/>
    <xf numFmtId="0" fontId="15" fillId="0" borderId="0" applyNumberFormat="0" applyFill="0" applyBorder="0" applyAlignment="0" applyProtection="0"/>
    <xf numFmtId="9" fontId="17" fillId="0" borderId="0" applyFont="0" applyFill="0" applyBorder="0" applyAlignment="0" applyProtection="0"/>
    <xf numFmtId="0" fontId="1" fillId="0" borderId="0"/>
  </cellStyleXfs>
  <cellXfs count="120">
    <xf numFmtId="0" fontId="0" fillId="0" borderId="0" xfId="0"/>
    <xf numFmtId="0" fontId="3" fillId="0" borderId="0" xfId="0" applyFont="1"/>
    <xf numFmtId="0" fontId="4" fillId="0" borderId="0" xfId="0" applyFont="1"/>
    <xf numFmtId="0" fontId="5" fillId="0" borderId="0" xfId="0" applyFont="1"/>
    <xf numFmtId="0" fontId="6" fillId="0" borderId="0" xfId="0" applyFont="1"/>
    <xf numFmtId="0" fontId="3" fillId="0" borderId="1" xfId="0" applyFont="1" applyBorder="1" applyAlignment="1">
      <alignment horizontal="center"/>
    </xf>
    <xf numFmtId="0" fontId="0" fillId="2" borderId="0" xfId="0" applyFill="1"/>
    <xf numFmtId="0" fontId="3" fillId="2" borderId="0" xfId="0" applyFont="1" applyFill="1"/>
    <xf numFmtId="0" fontId="3" fillId="0" borderId="1" xfId="0" applyFont="1" applyBorder="1" applyAlignment="1">
      <alignment horizontal="left"/>
    </xf>
    <xf numFmtId="0" fontId="7" fillId="0" borderId="0" xfId="0" applyFont="1"/>
    <xf numFmtId="0" fontId="0" fillId="3" borderId="0" xfId="0" applyFill="1"/>
    <xf numFmtId="164" fontId="0" fillId="3" borderId="0" xfId="0" applyNumberFormat="1" applyFill="1"/>
    <xf numFmtId="0" fontId="8" fillId="4" borderId="2" xfId="1"/>
    <xf numFmtId="0" fontId="9" fillId="5" borderId="3" xfId="2"/>
    <xf numFmtId="0" fontId="0" fillId="6" borderId="0" xfId="0" applyFill="1" applyAlignment="1">
      <alignment horizontal="center"/>
    </xf>
    <xf numFmtId="0" fontId="0" fillId="3" borderId="0" xfId="0" applyFill="1" applyAlignment="1">
      <alignment horizontal="center"/>
    </xf>
    <xf numFmtId="0" fontId="10" fillId="0" borderId="0" xfId="0" applyFont="1"/>
    <xf numFmtId="0" fontId="11" fillId="0" borderId="0" xfId="0" applyFont="1"/>
    <xf numFmtId="0" fontId="7" fillId="0" borderId="0" xfId="0" applyFont="1" applyAlignment="1">
      <alignment wrapText="1"/>
    </xf>
    <xf numFmtId="0" fontId="7" fillId="0" borderId="0" xfId="0" applyFont="1" applyAlignment="1">
      <alignment vertical="top"/>
    </xf>
    <xf numFmtId="0" fontId="7" fillId="0" borderId="0" xfId="0" applyFont="1" applyAlignment="1">
      <alignment vertical="top" wrapText="1"/>
    </xf>
    <xf numFmtId="0" fontId="0" fillId="0" borderId="0" xfId="0" applyAlignment="1">
      <alignment horizontal="center"/>
    </xf>
    <xf numFmtId="0" fontId="8" fillId="4" borderId="2" xfId="1" applyAlignment="1">
      <alignment horizontal="right"/>
    </xf>
    <xf numFmtId="0" fontId="2" fillId="0" borderId="0" xfId="0" applyFont="1" applyAlignment="1">
      <alignment vertical="top"/>
    </xf>
    <xf numFmtId="0" fontId="2" fillId="0" borderId="0" xfId="0" applyFont="1" applyAlignment="1">
      <alignment wrapText="1"/>
    </xf>
    <xf numFmtId="0" fontId="0" fillId="0" borderId="0" xfId="0" quotePrefix="1"/>
    <xf numFmtId="0" fontId="2" fillId="0" borderId="0" xfId="0" applyFont="1" applyAlignment="1">
      <alignment vertical="top" wrapText="1"/>
    </xf>
    <xf numFmtId="2" fontId="0" fillId="3" borderId="0" xfId="0" applyNumberFormat="1" applyFill="1" applyAlignment="1">
      <alignment horizontal="center"/>
    </xf>
    <xf numFmtId="1" fontId="0" fillId="3" borderId="0" xfId="0" applyNumberFormat="1" applyFill="1" applyAlignment="1">
      <alignment horizontal="center"/>
    </xf>
    <xf numFmtId="0" fontId="0" fillId="8" borderId="0" xfId="0" applyFill="1" applyAlignment="1">
      <alignment vertical="top" wrapText="1"/>
    </xf>
    <xf numFmtId="0" fontId="0" fillId="7" borderId="0" xfId="0" applyFill="1" applyAlignment="1">
      <alignment vertical="top" wrapText="1"/>
    </xf>
    <xf numFmtId="0" fontId="0" fillId="0" borderId="0" xfId="0" applyAlignment="1">
      <alignment vertical="top"/>
    </xf>
    <xf numFmtId="0" fontId="0" fillId="3" borderId="0" xfId="0" applyFill="1" applyAlignment="1">
      <alignment vertical="top"/>
    </xf>
    <xf numFmtId="0" fontId="12" fillId="2" borderId="0" xfId="0" applyFont="1" applyFill="1" applyAlignment="1">
      <alignment wrapText="1"/>
    </xf>
    <xf numFmtId="0" fontId="12" fillId="0" borderId="0" xfId="0" applyFont="1" applyAlignment="1">
      <alignment wrapText="1"/>
    </xf>
    <xf numFmtId="0" fontId="0" fillId="7" borderId="0" xfId="0" applyFill="1"/>
    <xf numFmtId="165" fontId="0" fillId="7" borderId="0" xfId="0" applyNumberFormat="1" applyFill="1"/>
    <xf numFmtId="164" fontId="0" fillId="7" borderId="0" xfId="0" applyNumberFormat="1" applyFill="1"/>
    <xf numFmtId="164" fontId="0" fillId="0" borderId="0" xfId="0" applyNumberFormat="1"/>
    <xf numFmtId="164" fontId="0" fillId="9" borderId="0" xfId="0" applyNumberFormat="1" applyFill="1"/>
    <xf numFmtId="11" fontId="0" fillId="9" borderId="0" xfId="0" applyNumberFormat="1" applyFill="1"/>
    <xf numFmtId="0" fontId="3" fillId="0" borderId="0" xfId="0" applyFont="1" applyAlignment="1">
      <alignment horizontal="left"/>
    </xf>
    <xf numFmtId="165" fontId="0" fillId="9" borderId="0" xfId="0" applyNumberFormat="1" applyFill="1"/>
    <xf numFmtId="165" fontId="0" fillId="0" borderId="0" xfId="0" applyNumberFormat="1"/>
    <xf numFmtId="0" fontId="2" fillId="0" borderId="0" xfId="0" applyFont="1"/>
    <xf numFmtId="166" fontId="8" fillId="4" borderId="2" xfId="1" applyNumberFormat="1"/>
    <xf numFmtId="0" fontId="14" fillId="5" borderId="2" xfId="4"/>
    <xf numFmtId="0" fontId="0" fillId="0" borderId="0" xfId="0" applyAlignment="1">
      <alignment vertical="top" wrapText="1"/>
    </xf>
    <xf numFmtId="0" fontId="8" fillId="4" borderId="2" xfId="1" applyNumberFormat="1"/>
    <xf numFmtId="0" fontId="9" fillId="5" borderId="3" xfId="2" applyAlignment="1">
      <alignment horizontal="center"/>
    </xf>
    <xf numFmtId="166" fontId="14" fillId="5" borderId="2" xfId="4" applyNumberFormat="1"/>
    <xf numFmtId="0" fontId="0" fillId="3" borderId="0" xfId="0" applyFill="1" applyAlignment="1">
      <alignment horizontal="left"/>
    </xf>
    <xf numFmtId="0" fontId="0" fillId="6" borderId="0" xfId="0" applyFill="1" applyAlignment="1">
      <alignment horizontal="left"/>
    </xf>
    <xf numFmtId="164" fontId="8" fillId="4" borderId="2" xfId="1" applyNumberFormat="1"/>
    <xf numFmtId="164" fontId="0" fillId="3" borderId="0" xfId="0" applyNumberFormat="1" applyFill="1" applyAlignment="1">
      <alignment horizontal="center"/>
    </xf>
    <xf numFmtId="1" fontId="8" fillId="4" borderId="2" xfId="1" applyNumberFormat="1"/>
    <xf numFmtId="0" fontId="15" fillId="0" borderId="0" xfId="5" applyAlignment="1">
      <alignment horizontal="left" vertical="top" wrapText="1"/>
    </xf>
    <xf numFmtId="0" fontId="16" fillId="0" borderId="0" xfId="0" applyFont="1"/>
    <xf numFmtId="0" fontId="16" fillId="6" borderId="0" xfId="0" applyFont="1" applyFill="1" applyAlignment="1">
      <alignment horizontal="center"/>
    </xf>
    <xf numFmtId="167" fontId="0" fillId="3" borderId="0" xfId="0" applyNumberFormat="1" applyFill="1" applyAlignment="1">
      <alignment horizontal="center"/>
    </xf>
    <xf numFmtId="168" fontId="0" fillId="3" borderId="0" xfId="0" applyNumberFormat="1" applyFill="1" applyAlignment="1">
      <alignment horizontal="center"/>
    </xf>
    <xf numFmtId="0" fontId="3" fillId="3" borderId="0" xfId="0" applyFont="1" applyFill="1" applyAlignment="1">
      <alignment horizontal="center"/>
    </xf>
    <xf numFmtId="164" fontId="0" fillId="0" borderId="0" xfId="0" applyNumberFormat="1" applyAlignment="1">
      <alignment horizontal="center"/>
    </xf>
    <xf numFmtId="165" fontId="0" fillId="3" borderId="0" xfId="0" applyNumberFormat="1" applyFill="1" applyAlignment="1">
      <alignment horizontal="center"/>
    </xf>
    <xf numFmtId="165" fontId="0" fillId="3" borderId="0" xfId="0" applyNumberFormat="1" applyFill="1"/>
    <xf numFmtId="1" fontId="0" fillId="3" borderId="0" xfId="0" applyNumberFormat="1" applyFill="1"/>
    <xf numFmtId="164" fontId="0" fillId="3" borderId="7" xfId="0" applyNumberFormat="1" applyFill="1" applyBorder="1"/>
    <xf numFmtId="0" fontId="0" fillId="3" borderId="7" xfId="0" applyFill="1" applyBorder="1"/>
    <xf numFmtId="0" fontId="0" fillId="3" borderId="7" xfId="0" applyFill="1" applyBorder="1" applyAlignment="1">
      <alignment horizontal="center"/>
    </xf>
    <xf numFmtId="165" fontId="0" fillId="3" borderId="7" xfId="0" applyNumberFormat="1" applyFill="1" applyBorder="1" applyAlignment="1">
      <alignment horizontal="center"/>
    </xf>
    <xf numFmtId="164" fontId="18" fillId="3" borderId="0" xfId="0" applyNumberFormat="1" applyFont="1" applyFill="1" applyAlignment="1">
      <alignment horizontal="center"/>
    </xf>
    <xf numFmtId="165" fontId="18" fillId="3" borderId="0" xfId="0" applyNumberFormat="1" applyFont="1" applyFill="1" applyAlignment="1">
      <alignment horizontal="center"/>
    </xf>
    <xf numFmtId="0" fontId="18" fillId="3" borderId="0" xfId="0" applyFont="1" applyFill="1" applyAlignment="1">
      <alignment horizontal="center"/>
    </xf>
    <xf numFmtId="164" fontId="18" fillId="3" borderId="6" xfId="0" applyNumberFormat="1" applyFont="1" applyFill="1" applyBorder="1" applyAlignment="1">
      <alignment horizontal="center"/>
    </xf>
    <xf numFmtId="1" fontId="18" fillId="3" borderId="6" xfId="0" applyNumberFormat="1" applyFont="1" applyFill="1" applyBorder="1" applyAlignment="1">
      <alignment horizontal="center"/>
    </xf>
    <xf numFmtId="169" fontId="18" fillId="3" borderId="6" xfId="0" applyNumberFormat="1" applyFont="1" applyFill="1" applyBorder="1" applyAlignment="1">
      <alignment horizontal="center"/>
    </xf>
    <xf numFmtId="0" fontId="18" fillId="3" borderId="6" xfId="0" applyFont="1" applyFill="1" applyBorder="1" applyAlignment="1">
      <alignment horizontal="center"/>
    </xf>
    <xf numFmtId="164" fontId="0" fillId="3" borderId="0" xfId="0" applyNumberFormat="1" applyFill="1" applyAlignment="1">
      <alignment horizontal="left"/>
    </xf>
    <xf numFmtId="164" fontId="0" fillId="3" borderId="7" xfId="0" applyNumberFormat="1" applyFill="1" applyBorder="1" applyAlignment="1">
      <alignment horizontal="left"/>
    </xf>
    <xf numFmtId="1" fontId="0" fillId="3" borderId="7" xfId="0" applyNumberFormat="1" applyFill="1" applyBorder="1"/>
    <xf numFmtId="0" fontId="8" fillId="4" borderId="2" xfId="1" applyAlignment="1">
      <alignment horizontal="center"/>
    </xf>
    <xf numFmtId="164" fontId="8" fillId="4" borderId="2" xfId="1" applyNumberFormat="1" applyAlignment="1">
      <alignment horizontal="center"/>
    </xf>
    <xf numFmtId="9" fontId="8" fillId="4" borderId="2" xfId="1" applyNumberFormat="1" applyAlignment="1">
      <alignment horizontal="center"/>
    </xf>
    <xf numFmtId="0" fontId="3" fillId="0" borderId="0" xfId="0" applyFont="1" applyAlignment="1">
      <alignment horizontal="right"/>
    </xf>
    <xf numFmtId="0" fontId="19" fillId="0" borderId="0" xfId="0" applyFont="1"/>
    <xf numFmtId="0" fontId="20" fillId="0" borderId="0" xfId="0" applyFont="1"/>
    <xf numFmtId="0" fontId="15" fillId="0" borderId="0" xfId="5"/>
    <xf numFmtId="169" fontId="0" fillId="3" borderId="0" xfId="0" applyNumberFormat="1" applyFill="1" applyAlignment="1">
      <alignment horizontal="center"/>
    </xf>
    <xf numFmtId="169" fontId="0" fillId="3" borderId="7" xfId="0" applyNumberFormat="1" applyFill="1" applyBorder="1" applyAlignment="1">
      <alignment horizontal="center"/>
    </xf>
    <xf numFmtId="165" fontId="0" fillId="3" borderId="7" xfId="0" applyNumberFormat="1" applyFill="1" applyBorder="1"/>
    <xf numFmtId="0" fontId="3" fillId="3" borderId="0" xfId="0" applyFont="1" applyFill="1" applyAlignment="1">
      <alignment horizontal="left"/>
    </xf>
    <xf numFmtId="170" fontId="0" fillId="0" borderId="0" xfId="6" applyNumberFormat="1" applyFont="1" applyFill="1" applyAlignment="1">
      <alignment horizontal="center"/>
    </xf>
    <xf numFmtId="0" fontId="0" fillId="0" borderId="0" xfId="0" quotePrefix="1" applyAlignment="1">
      <alignment wrapText="1"/>
    </xf>
    <xf numFmtId="2" fontId="8" fillId="4" borderId="2" xfId="1" applyNumberFormat="1"/>
    <xf numFmtId="0" fontId="4" fillId="0" borderId="0" xfId="0" applyFont="1" applyAlignment="1">
      <alignment vertical="top"/>
    </xf>
    <xf numFmtId="1" fontId="14" fillId="5" borderId="2" xfId="4" applyNumberFormat="1"/>
    <xf numFmtId="2" fontId="0" fillId="0" borderId="0" xfId="0" applyNumberFormat="1"/>
    <xf numFmtId="0" fontId="11" fillId="0" borderId="0" xfId="0" applyFont="1" applyAlignment="1">
      <alignment wrapText="1"/>
    </xf>
    <xf numFmtId="0" fontId="0" fillId="0" borderId="1" xfId="0" applyBorder="1"/>
    <xf numFmtId="171" fontId="0" fillId="9" borderId="0" xfId="0" applyNumberFormat="1" applyFill="1"/>
    <xf numFmtId="172" fontId="0" fillId="7" borderId="0" xfId="6" applyNumberFormat="1" applyFont="1" applyFill="1"/>
    <xf numFmtId="164" fontId="8" fillId="10" borderId="2" xfId="1" applyNumberFormat="1" applyFill="1"/>
    <xf numFmtId="164" fontId="8" fillId="6" borderId="2" xfId="1" applyNumberFormat="1" applyFill="1"/>
    <xf numFmtId="1" fontId="8" fillId="6" borderId="2" xfId="1" applyNumberFormat="1" applyFill="1"/>
    <xf numFmtId="14" fontId="14" fillId="5" borderId="2" xfId="4" applyNumberFormat="1"/>
    <xf numFmtId="0" fontId="0" fillId="3" borderId="0" xfId="0" quotePrefix="1" applyFill="1" applyAlignment="1">
      <alignment horizontal="center"/>
    </xf>
    <xf numFmtId="172" fontId="0" fillId="0" borderId="0" xfId="6" applyNumberFormat="1" applyFont="1"/>
    <xf numFmtId="170" fontId="0" fillId="3" borderId="0" xfId="6" applyNumberFormat="1" applyFont="1" applyFill="1" applyAlignment="1">
      <alignment horizontal="center"/>
    </xf>
    <xf numFmtId="0" fontId="3" fillId="3" borderId="0" xfId="0" applyFont="1" applyFill="1" applyAlignment="1">
      <alignment horizontal="right"/>
    </xf>
    <xf numFmtId="0" fontId="2" fillId="0" borderId="0" xfId="0" applyFont="1" applyAlignment="1">
      <alignment horizontal="left" vertical="top" wrapText="1"/>
    </xf>
    <xf numFmtId="0" fontId="4" fillId="0" borderId="0" xfId="0" applyFont="1" applyAlignment="1">
      <alignment horizontal="left" vertical="top" wrapText="1"/>
    </xf>
    <xf numFmtId="0" fontId="15" fillId="0" borderId="0" xfId="5" applyAlignment="1">
      <alignment horizontal="left" vertical="top" wrapText="1"/>
    </xf>
    <xf numFmtId="0" fontId="9" fillId="5" borderId="4" xfId="2" applyBorder="1" applyAlignment="1">
      <alignment horizontal="center"/>
    </xf>
    <xf numFmtId="0" fontId="9" fillId="5" borderId="5" xfId="2" applyBorder="1" applyAlignment="1">
      <alignment horizontal="center"/>
    </xf>
    <xf numFmtId="0" fontId="8" fillId="4" borderId="8" xfId="1" applyBorder="1" applyAlignment="1">
      <alignment horizontal="center"/>
    </xf>
    <xf numFmtId="0" fontId="8" fillId="4" borderId="9" xfId="1" applyBorder="1" applyAlignment="1">
      <alignment horizontal="center"/>
    </xf>
    <xf numFmtId="0" fontId="8" fillId="4" borderId="10" xfId="1" applyBorder="1" applyAlignment="1">
      <alignment horizontal="center"/>
    </xf>
    <xf numFmtId="0" fontId="8" fillId="4" borderId="2" xfId="1" applyAlignment="1">
      <alignment horizontal="center"/>
    </xf>
    <xf numFmtId="0" fontId="3" fillId="2" borderId="0" xfId="0" applyFont="1" applyFill="1" applyAlignment="1">
      <alignment horizontal="right"/>
    </xf>
    <xf numFmtId="0" fontId="0" fillId="6" borderId="0" xfId="0" applyFill="1"/>
  </cellXfs>
  <cellStyles count="8">
    <cellStyle name="Calculation" xfId="4" builtinId="22"/>
    <cellStyle name="Hyperlink" xfId="5" builtinId="8"/>
    <cellStyle name="Input" xfId="1" builtinId="20"/>
    <cellStyle name="Normal" xfId="0" builtinId="0"/>
    <cellStyle name="Normal 2" xfId="3" xr:uid="{2D409E80-94B7-4113-BD19-F4D0B37EE06E}"/>
    <cellStyle name="Normal 3" xfId="7" xr:uid="{7FBC1235-5E2A-4381-9C8B-3DA0318A7E35}"/>
    <cellStyle name="Output" xfId="2" builtinId="21"/>
    <cellStyle name="Percent" xfId="6" builtinId="5"/>
  </cellStyles>
  <dxfs count="1">
    <dxf>
      <fill>
        <patternFill>
          <bgColor theme="9" tint="0.59996337778862885"/>
        </patternFill>
      </fill>
    </dxf>
  </dxfs>
  <tableStyles count="1" defaultTableStyle="TableStyleMedium2" defaultPivotStyle="PivotStyleLight16">
    <tableStyle name="Invisible" pivot="0" table="0" count="0" xr9:uid="{EAB1178B-3905-417C-9B4C-68A3774C072F}"/>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tyles" Target="styles.xml"/><Relationship Id="rId55" Type="http://schemas.microsoft.com/office/2017/06/relationships/rdRichValueTypes" Target="richData/rdRichValueTyp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microsoft.com/office/2017/06/relationships/rdRichValue" Target="richData/rdrichvalue.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microsoft.com/office/2017/10/relationships/person" Target="persons/person.xml"/><Relationship Id="rId8" Type="http://schemas.openxmlformats.org/officeDocument/2006/relationships/worksheet" Target="worksheets/sheet8.xml"/><Relationship Id="rId51"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theme" Target="theme/theme1.xml"/><Relationship Id="rId57" Type="http://schemas.openxmlformats.org/officeDocument/2006/relationships/calcChain" Target="calcChain.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t-BR"/>
              <a:t>Original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Series1</c:v>
          </c:tx>
          <c:spPr>
            <a:ln w="12700" cap="rnd">
              <a:solidFill>
                <a:schemeClr val="accent1"/>
              </a:solidFill>
              <a:round/>
            </a:ln>
            <a:effectLst/>
          </c:spPr>
          <c:marker>
            <c:symbol val="none"/>
          </c:marker>
          <c:cat>
            <c:numRef>
              <c:f>STATIONARIZE!$E$14:$E$34</c:f>
              <c:numCache>
                <c:formatCode>0</c:formatCode>
                <c:ptCount val="2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numCache>
            </c:numRef>
          </c:cat>
          <c:val>
            <c:numRef>
              <c:f>STATIONARIZE!$F$14:$F$34</c:f>
              <c:numCache>
                <c:formatCode>0.0</c:formatCode>
                <c:ptCount val="21"/>
                <c:pt idx="0">
                  <c:v>72.400000000000006</c:v>
                </c:pt>
                <c:pt idx="1">
                  <c:v>69.7</c:v>
                </c:pt>
                <c:pt idx="2">
                  <c:v>77.400000000000006</c:v>
                </c:pt>
                <c:pt idx="3">
                  <c:v>79.599999999999994</c:v>
                </c:pt>
                <c:pt idx="4">
                  <c:v>80.400000000000006</c:v>
                </c:pt>
                <c:pt idx="5">
                  <c:v>77.5</c:v>
                </c:pt>
                <c:pt idx="6">
                  <c:v>83.3</c:v>
                </c:pt>
                <c:pt idx="7">
                  <c:v>83.6</c:v>
                </c:pt>
                <c:pt idx="8">
                  <c:v>82.1</c:v>
                </c:pt>
                <c:pt idx="9">
                  <c:v>89.2</c:v>
                </c:pt>
                <c:pt idx="10">
                  <c:v>83.9</c:v>
                </c:pt>
                <c:pt idx="11">
                  <c:v>74.599999999999994</c:v>
                </c:pt>
                <c:pt idx="12">
                  <c:v>74</c:v>
                </c:pt>
                <c:pt idx="13">
                  <c:v>71.8</c:v>
                </c:pt>
                <c:pt idx="14">
                  <c:v>77.400000000000006</c:v>
                </c:pt>
                <c:pt idx="15">
                  <c:v>76.5</c:v>
                </c:pt>
                <c:pt idx="16">
                  <c:v>79.7</c:v>
                </c:pt>
                <c:pt idx="17">
                  <c:v>76.3</c:v>
                </c:pt>
                <c:pt idx="18">
                  <c:v>81.3</c:v>
                </c:pt>
                <c:pt idx="19">
                  <c:v>81.599999999999994</c:v>
                </c:pt>
                <c:pt idx="20">
                  <c:v>85.7</c:v>
                </c:pt>
              </c:numCache>
            </c:numRef>
          </c:val>
          <c:smooth val="0"/>
          <c:extLst>
            <c:ext xmlns:c16="http://schemas.microsoft.com/office/drawing/2014/chart" uri="{C3380CC4-5D6E-409C-BE32-E72D297353CC}">
              <c16:uniqueId val="{00000000-2B80-4FB9-BDCF-E4E72684429F}"/>
            </c:ext>
          </c:extLst>
        </c:ser>
        <c:ser>
          <c:idx val="1"/>
          <c:order val="1"/>
          <c:tx>
            <c:v>Series2</c:v>
          </c:tx>
          <c:spPr>
            <a:ln w="28575" cap="rnd">
              <a:solidFill>
                <a:schemeClr val="accent2"/>
              </a:solidFill>
              <a:round/>
            </a:ln>
            <a:effectLst/>
          </c:spPr>
          <c:marker>
            <c:symbol val="none"/>
          </c:marker>
          <c:cat>
            <c:numRef>
              <c:f>STATIONARIZE!$E$14:$E$34</c:f>
              <c:numCache>
                <c:formatCode>0</c:formatCode>
                <c:ptCount val="2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numCache>
            </c:numRef>
          </c:cat>
          <c:val>
            <c:numRef>
              <c:f>STATIONARIZE!$G$14:$G$34</c:f>
              <c:numCache>
                <c:formatCode>0.0</c:formatCode>
                <c:ptCount val="21"/>
                <c:pt idx="0">
                  <c:v>72.400000000000006</c:v>
                </c:pt>
                <c:pt idx="1">
                  <c:v>72.664707558285698</c:v>
                </c:pt>
                <c:pt idx="2">
                  <c:v>73.187809811138379</c:v>
                </c:pt>
                <c:pt idx="3">
                  <c:v>74.425144252887847</c:v>
                </c:pt>
                <c:pt idx="4">
                  <c:v>75.66349800150536</c:v>
                </c:pt>
                <c:pt idx="5">
                  <c:v>76.84433743789036</c:v>
                </c:pt>
                <c:pt idx="6">
                  <c:v>77.942750874853147</c:v>
                </c:pt>
                <c:pt idx="7">
                  <c:v>79.080586052051743</c:v>
                </c:pt>
                <c:pt idx="8">
                  <c:v>80.615484402641044</c:v>
                </c:pt>
                <c:pt idx="9">
                  <c:v>81.79706859365686</c:v>
                </c:pt>
                <c:pt idx="10">
                  <c:v>82.815968182787913</c:v>
                </c:pt>
                <c:pt idx="11">
                  <c:v>84.854362902107667</c:v>
                </c:pt>
                <c:pt idx="12">
                  <c:v>86.332095321080672</c:v>
                </c:pt>
                <c:pt idx="13">
                  <c:v>88.420760101394237</c:v>
                </c:pt>
                <c:pt idx="14">
                  <c:v>89.887183071794396</c:v>
                </c:pt>
                <c:pt idx="15">
                  <c:v>92.060187045964199</c:v>
                </c:pt>
                <c:pt idx="16">
                  <c:v>94.345800264610688</c:v>
                </c:pt>
                <c:pt idx="17">
                  <c:v>97.02430865758042</c:v>
                </c:pt>
                <c:pt idx="18">
                  <c:v>99.351060349901942</c:v>
                </c:pt>
                <c:pt idx="19">
                  <c:v>101.36791696411855</c:v>
                </c:pt>
                <c:pt idx="20">
                  <c:v>103.79804955452634</c:v>
                </c:pt>
              </c:numCache>
            </c:numRef>
          </c:val>
          <c:smooth val="0"/>
          <c:extLst>
            <c:ext xmlns:c16="http://schemas.microsoft.com/office/drawing/2014/chart" uri="{C3380CC4-5D6E-409C-BE32-E72D297353CC}">
              <c16:uniqueId val="{00000001-2B80-4FB9-BDCF-E4E72684429F}"/>
            </c:ext>
          </c:extLst>
        </c:ser>
        <c:ser>
          <c:idx val="2"/>
          <c:order val="2"/>
          <c:tx>
            <c:v>Series3</c:v>
          </c:tx>
          <c:spPr>
            <a:ln w="28575" cap="rnd">
              <a:solidFill>
                <a:schemeClr val="accent3"/>
              </a:solidFill>
              <a:round/>
            </a:ln>
            <a:effectLst/>
          </c:spPr>
          <c:marker>
            <c:symbol val="none"/>
          </c:marker>
          <c:val>
            <c:numRef>
              <c:f>STATIONARIZE!$H$14:$H$34</c:f>
              <c:numCache>
                <c:formatCode>0.0</c:formatCode>
                <c:ptCount val="21"/>
                <c:pt idx="0">
                  <c:v>72.400000000000006</c:v>
                </c:pt>
                <c:pt idx="1">
                  <c:v>73.148465437328468</c:v>
                </c:pt>
                <c:pt idx="2">
                  <c:v>73.218001417436682</c:v>
                </c:pt>
                <c:pt idx="3">
                  <c:v>73.687344623910249</c:v>
                </c:pt>
                <c:pt idx="4">
                  <c:v>74.127531529290579</c:v>
                </c:pt>
                <c:pt idx="5">
                  <c:v>75.308987452543391</c:v>
                </c:pt>
                <c:pt idx="6">
                  <c:v>75.682993729837932</c:v>
                </c:pt>
                <c:pt idx="7">
                  <c:v>76.92665184859959</c:v>
                </c:pt>
                <c:pt idx="8">
                  <c:v>78.027810011846213</c:v>
                </c:pt>
                <c:pt idx="9">
                  <c:v>79.513147112754851</c:v>
                </c:pt>
                <c:pt idx="10">
                  <c:v>81.080740266297894</c:v>
                </c:pt>
                <c:pt idx="11">
                  <c:v>82.587966894685948</c:v>
                </c:pt>
                <c:pt idx="12">
                  <c:v>84.690286806318937</c:v>
                </c:pt>
                <c:pt idx="13">
                  <c:v>86.948279398813483</c:v>
                </c:pt>
                <c:pt idx="14">
                  <c:v>89.752357113510456</c:v>
                </c:pt>
                <c:pt idx="15">
                  <c:v>92.602223620321695</c:v>
                </c:pt>
                <c:pt idx="16">
                  <c:v>95.407499654503013</c:v>
                </c:pt>
                <c:pt idx="17">
                  <c:v>98.793510152682444</c:v>
                </c:pt>
                <c:pt idx="18">
                  <c:v>102.07989231797038</c:v>
                </c:pt>
                <c:pt idx="19">
                  <c:v>106.403255967616</c:v>
                </c:pt>
                <c:pt idx="20">
                  <c:v>110.45766179411709</c:v>
                </c:pt>
              </c:numCache>
            </c:numRef>
          </c:val>
          <c:smooth val="0"/>
          <c:extLst>
            <c:ext xmlns:c16="http://schemas.microsoft.com/office/drawing/2014/chart" uri="{C3380CC4-5D6E-409C-BE32-E72D297353CC}">
              <c16:uniqueId val="{00000000-81AD-4A9D-8836-383DA0629345}"/>
            </c:ext>
          </c:extLst>
        </c:ser>
        <c:dLbls>
          <c:showLegendKey val="0"/>
          <c:showVal val="0"/>
          <c:showCatName val="0"/>
          <c:showSerName val="0"/>
          <c:showPercent val="0"/>
          <c:showBubbleSize val="0"/>
        </c:dLbls>
        <c:smooth val="0"/>
        <c:axId val="2040515792"/>
        <c:axId val="2040519952"/>
      </c:lineChart>
      <c:catAx>
        <c:axId val="2040515792"/>
        <c:scaling>
          <c:orientation val="minMax"/>
        </c:scaling>
        <c:delete val="0"/>
        <c:axPos val="b"/>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0519952"/>
        <c:crosses val="autoZero"/>
        <c:auto val="1"/>
        <c:lblAlgn val="ctr"/>
        <c:lblOffset val="100"/>
        <c:noMultiLvlLbl val="1"/>
      </c:catAx>
      <c:valAx>
        <c:axId val="204051995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051579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8740157499999996" l="0.511811024" r="0.511811024" t="0.78740157499999996" header="0.31496062000000002" footer="0.3149606200000000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t-BR"/>
              <a:t>Stationarized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spPr>
            <a:ln w="28575" cap="rnd">
              <a:solidFill>
                <a:schemeClr val="accent2"/>
              </a:solidFill>
              <a:round/>
            </a:ln>
            <a:effectLst/>
          </c:spPr>
          <c:marker>
            <c:symbol val="none"/>
          </c:marker>
          <c:cat>
            <c:numRef>
              <c:f>STATIONARIZE!$E$14:$E$34</c:f>
              <c:numCache>
                <c:formatCode>0</c:formatCode>
                <c:ptCount val="2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numCache>
            </c:numRef>
          </c:cat>
          <c:val>
            <c:numRef>
              <c:f>STATIONARIZE!$U$14:$U$34</c:f>
              <c:numCache>
                <c:formatCode>0.0</c:formatCode>
                <c:ptCount val="21"/>
                <c:pt idx="0">
                  <c:v>-2.7000000000000028</c:v>
                </c:pt>
                <c:pt idx="1">
                  <c:v>7.7000000000000028</c:v>
                </c:pt>
                <c:pt idx="2">
                  <c:v>2.1999999999999886</c:v>
                </c:pt>
                <c:pt idx="3">
                  <c:v>0.80000000000001137</c:v>
                </c:pt>
                <c:pt idx="4">
                  <c:v>-2.9000000000000057</c:v>
                </c:pt>
                <c:pt idx="5">
                  <c:v>5.7999999999999972</c:v>
                </c:pt>
                <c:pt idx="6">
                  <c:v>0.29999999999999716</c:v>
                </c:pt>
                <c:pt idx="7">
                  <c:v>-1.5</c:v>
                </c:pt>
                <c:pt idx="8">
                  <c:v>7.1000000000000085</c:v>
                </c:pt>
                <c:pt idx="9">
                  <c:v>-5.2999999999999972</c:v>
                </c:pt>
                <c:pt idx="10">
                  <c:v>-9.3000000000000114</c:v>
                </c:pt>
                <c:pt idx="11">
                  <c:v>-0.59999999999999432</c:v>
                </c:pt>
                <c:pt idx="12">
                  <c:v>-2.2000000000000028</c:v>
                </c:pt>
                <c:pt idx="13">
                  <c:v>5.6000000000000085</c:v>
                </c:pt>
                <c:pt idx="14">
                  <c:v>-0.90000000000000568</c:v>
                </c:pt>
                <c:pt idx="15">
                  <c:v>3.2000000000000028</c:v>
                </c:pt>
                <c:pt idx="16">
                  <c:v>-3.4000000000000057</c:v>
                </c:pt>
                <c:pt idx="17">
                  <c:v>5</c:v>
                </c:pt>
                <c:pt idx="18">
                  <c:v>0.29999999999999716</c:v>
                </c:pt>
                <c:pt idx="19">
                  <c:v>4.1000000000000085</c:v>
                </c:pt>
                <c:pt idx="20">
                  <c:v>#N/A</c:v>
                </c:pt>
              </c:numCache>
            </c:numRef>
          </c:val>
          <c:smooth val="0"/>
          <c:extLst>
            <c:ext xmlns:c16="http://schemas.microsoft.com/office/drawing/2014/chart" uri="{C3380CC4-5D6E-409C-BE32-E72D297353CC}">
              <c16:uniqueId val="{00000001-B883-404E-AD08-932430E9CFAE}"/>
            </c:ext>
          </c:extLst>
        </c:ser>
        <c:dLbls>
          <c:showLegendKey val="0"/>
          <c:showVal val="0"/>
          <c:showCatName val="0"/>
          <c:showSerName val="0"/>
          <c:showPercent val="0"/>
          <c:showBubbleSize val="0"/>
        </c:dLbls>
        <c:marker val="1"/>
        <c:smooth val="0"/>
        <c:axId val="2040515792"/>
        <c:axId val="2040519952"/>
      </c:lineChart>
      <c:lineChart>
        <c:grouping val="standard"/>
        <c:varyColors val="0"/>
        <c:ser>
          <c:idx val="2"/>
          <c:order val="1"/>
          <c:spPr>
            <a:ln w="28575" cap="rnd">
              <a:solidFill>
                <a:schemeClr val="accent2"/>
              </a:solidFill>
              <a:round/>
            </a:ln>
            <a:effectLst/>
          </c:spPr>
          <c:marker>
            <c:symbol val="none"/>
          </c:marker>
          <c:cat>
            <c:numRef>
              <c:f>STATIONARIZE!$E$14:$E$34</c:f>
              <c:numCache>
                <c:formatCode>0</c:formatCode>
                <c:ptCount val="2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numCache>
            </c:numRef>
          </c:cat>
          <c:val>
            <c:numRef>
              <c:f>STATIONARIZE!$V$14:$V$34</c:f>
              <c:numCache>
                <c:formatCode>0.00</c:formatCode>
                <c:ptCount val="21"/>
                <c:pt idx="0" formatCode="0.0">
                  <c:v>0.26470755828569281</c:v>
                </c:pt>
                <c:pt idx="1">
                  <c:v>0.52310225285268075</c:v>
                </c:pt>
                <c:pt idx="2">
                  <c:v>1.2373344417494678</c:v>
                </c:pt>
                <c:pt idx="3">
                  <c:v>1.2383537486175129</c:v>
                </c:pt>
                <c:pt idx="4">
                  <c:v>1.1808394363849999</c:v>
                </c:pt>
                <c:pt idx="5">
                  <c:v>1.0984134369627867</c:v>
                </c:pt>
                <c:pt idx="6">
                  <c:v>1.1378351771985962</c:v>
                </c:pt>
                <c:pt idx="7">
                  <c:v>1.5348983505893017</c:v>
                </c:pt>
                <c:pt idx="8">
                  <c:v>1.1815841910158156</c:v>
                </c:pt>
                <c:pt idx="9">
                  <c:v>1.0188995891310526</c:v>
                </c:pt>
                <c:pt idx="10">
                  <c:v>2.0383947193197542</c:v>
                </c:pt>
                <c:pt idx="11">
                  <c:v>1.4777324189730052</c:v>
                </c:pt>
                <c:pt idx="12">
                  <c:v>2.0886647803135645</c:v>
                </c:pt>
                <c:pt idx="13">
                  <c:v>1.4664229704001599</c:v>
                </c:pt>
                <c:pt idx="14">
                  <c:v>2.1730039741698022</c:v>
                </c:pt>
                <c:pt idx="15">
                  <c:v>2.285613218646489</c:v>
                </c:pt>
                <c:pt idx="16">
                  <c:v>2.6785083929697322</c:v>
                </c:pt>
                <c:pt idx="17">
                  <c:v>2.3267516923215226</c:v>
                </c:pt>
                <c:pt idx="18">
                  <c:v>2.0168566142166071</c:v>
                </c:pt>
                <c:pt idx="19">
                  <c:v>2.4301325904077942</c:v>
                </c:pt>
                <c:pt idx="20">
                  <c:v>#N/A</c:v>
                </c:pt>
              </c:numCache>
            </c:numRef>
          </c:val>
          <c:smooth val="0"/>
          <c:extLst>
            <c:ext xmlns:c16="http://schemas.microsoft.com/office/drawing/2014/chart" uri="{C3380CC4-5D6E-409C-BE32-E72D297353CC}">
              <c16:uniqueId val="{00000002-B883-404E-AD08-932430E9CFAE}"/>
            </c:ext>
          </c:extLst>
        </c:ser>
        <c:ser>
          <c:idx val="0"/>
          <c:order val="2"/>
          <c:spPr>
            <a:ln w="28575" cap="rnd">
              <a:solidFill>
                <a:schemeClr val="accent3"/>
              </a:solidFill>
              <a:round/>
            </a:ln>
            <a:effectLst/>
          </c:spPr>
          <c:marker>
            <c:symbol val="none"/>
          </c:marker>
          <c:cat>
            <c:numRef>
              <c:f>STATIONARIZE!$E$14:$E$34</c:f>
              <c:numCache>
                <c:formatCode>0</c:formatCode>
                <c:ptCount val="2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numCache>
            </c:numRef>
          </c:cat>
          <c:val>
            <c:numRef>
              <c:f>STATIONARIZE!$W$14:$W$34</c:f>
              <c:numCache>
                <c:formatCode>0.00</c:formatCode>
                <c:ptCount val="21"/>
                <c:pt idx="0" formatCode="0.0">
                  <c:v>0.74846543732846271</c:v>
                </c:pt>
                <c:pt idx="1">
                  <c:v>6.953598010821338E-2</c:v>
                </c:pt>
                <c:pt idx="2">
                  <c:v>0.46934320647356742</c:v>
                </c:pt>
                <c:pt idx="3">
                  <c:v>0.44018690538032956</c:v>
                </c:pt>
                <c:pt idx="4">
                  <c:v>1.1814559232528126</c:v>
                </c:pt>
                <c:pt idx="5">
                  <c:v>0.37400627729454072</c:v>
                </c:pt>
                <c:pt idx="6">
                  <c:v>1.2436581187616582</c:v>
                </c:pt>
                <c:pt idx="7">
                  <c:v>1.1011581632466232</c:v>
                </c:pt>
                <c:pt idx="8">
                  <c:v>1.4853371009086374</c:v>
                </c:pt>
                <c:pt idx="9">
                  <c:v>1.5675931535430436</c:v>
                </c:pt>
                <c:pt idx="10">
                  <c:v>1.5072266283880538</c:v>
                </c:pt>
                <c:pt idx="11">
                  <c:v>2.1023199116329891</c:v>
                </c:pt>
                <c:pt idx="12">
                  <c:v>2.2579925924945456</c:v>
                </c:pt>
                <c:pt idx="13">
                  <c:v>2.8040777146969731</c:v>
                </c:pt>
                <c:pt idx="14">
                  <c:v>2.8498665068112388</c:v>
                </c:pt>
                <c:pt idx="15">
                  <c:v>2.8052760341813183</c:v>
                </c:pt>
                <c:pt idx="16">
                  <c:v>3.3860104981794308</c:v>
                </c:pt>
                <c:pt idx="17">
                  <c:v>3.2863821652879324</c:v>
                </c:pt>
                <c:pt idx="18">
                  <c:v>4.3233636496456285</c:v>
                </c:pt>
                <c:pt idx="19">
                  <c:v>4.0544058265010818</c:v>
                </c:pt>
                <c:pt idx="20">
                  <c:v>#N/A</c:v>
                </c:pt>
              </c:numCache>
            </c:numRef>
          </c:val>
          <c:smooth val="0"/>
          <c:extLst>
            <c:ext xmlns:c16="http://schemas.microsoft.com/office/drawing/2014/chart" uri="{C3380CC4-5D6E-409C-BE32-E72D297353CC}">
              <c16:uniqueId val="{00000000-0448-4E21-B92F-FE335DA8542D}"/>
            </c:ext>
          </c:extLst>
        </c:ser>
        <c:dLbls>
          <c:showLegendKey val="0"/>
          <c:showVal val="0"/>
          <c:showCatName val="0"/>
          <c:showSerName val="0"/>
          <c:showPercent val="0"/>
          <c:showBubbleSize val="0"/>
        </c:dLbls>
        <c:marker val="1"/>
        <c:smooth val="0"/>
        <c:axId val="1404022895"/>
        <c:axId val="1404033711"/>
      </c:lineChart>
      <c:catAx>
        <c:axId val="2040515792"/>
        <c:scaling>
          <c:orientation val="minMax"/>
        </c:scaling>
        <c:delete val="0"/>
        <c:axPos val="b"/>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0519952"/>
        <c:crosses val="autoZero"/>
        <c:auto val="1"/>
        <c:lblAlgn val="ctr"/>
        <c:lblOffset val="100"/>
        <c:noMultiLvlLbl val="1"/>
      </c:catAx>
      <c:valAx>
        <c:axId val="204051995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0515792"/>
        <c:crosses val="autoZero"/>
        <c:crossBetween val="between"/>
      </c:valAx>
      <c:valAx>
        <c:axId val="1404033711"/>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4022895"/>
        <c:crosses val="max"/>
        <c:crossBetween val="between"/>
      </c:valAx>
      <c:catAx>
        <c:axId val="1404022895"/>
        <c:scaling>
          <c:orientation val="minMax"/>
        </c:scaling>
        <c:delete val="1"/>
        <c:axPos val="b"/>
        <c:numFmt formatCode="0" sourceLinked="1"/>
        <c:majorTickMark val="out"/>
        <c:minorTickMark val="none"/>
        <c:tickLblPos val="nextTo"/>
        <c:crossAx val="1404033711"/>
        <c:crosses val="autoZero"/>
        <c:auto val="1"/>
        <c:lblAlgn val="ctr"/>
        <c:lblOffset val="100"/>
        <c:noMultiLvlLbl val="0"/>
      </c:cat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8740157499999996" l="0.511811024" r="0.511811024" t="0.78740157499999996" header="0.31496062000000002" footer="0.3149606200000000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ISSTATIONARY!$G$14</c:f>
              <c:strCache>
                <c:ptCount val="1"/>
                <c:pt idx="0">
                  <c:v>values</c:v>
                </c:pt>
              </c:strCache>
            </c:strRef>
          </c:tx>
          <c:spPr>
            <a:ln w="28575" cap="rnd">
              <a:solidFill>
                <a:schemeClr val="accent1"/>
              </a:solidFill>
              <a:round/>
            </a:ln>
            <a:effectLst/>
          </c:spPr>
          <c:marker>
            <c:symbol val="none"/>
          </c:marker>
          <c:val>
            <c:numRef>
              <c:f>ISSTATIONARY!$G$15:$G$254</c:f>
              <c:numCache>
                <c:formatCode>0.0</c:formatCode>
                <c:ptCount val="240"/>
                <c:pt idx="0">
                  <c:v>72.400000000000006</c:v>
                </c:pt>
                <c:pt idx="1">
                  <c:v>69.7</c:v>
                </c:pt>
                <c:pt idx="2">
                  <c:v>77.400000000000006</c:v>
                </c:pt>
                <c:pt idx="3">
                  <c:v>79.599999999999994</c:v>
                </c:pt>
                <c:pt idx="4">
                  <c:v>80.400000000000006</c:v>
                </c:pt>
                <c:pt idx="5">
                  <c:v>77.5</c:v>
                </c:pt>
                <c:pt idx="6">
                  <c:v>83.3</c:v>
                </c:pt>
                <c:pt idx="7">
                  <c:v>83.6</c:v>
                </c:pt>
                <c:pt idx="8">
                  <c:v>82.1</c:v>
                </c:pt>
                <c:pt idx="9">
                  <c:v>89.2</c:v>
                </c:pt>
                <c:pt idx="10">
                  <c:v>83.9</c:v>
                </c:pt>
                <c:pt idx="11">
                  <c:v>74.599999999999994</c:v>
                </c:pt>
                <c:pt idx="12">
                  <c:v>74</c:v>
                </c:pt>
                <c:pt idx="13">
                  <c:v>71.8</c:v>
                </c:pt>
                <c:pt idx="14">
                  <c:v>77.400000000000006</c:v>
                </c:pt>
                <c:pt idx="15">
                  <c:v>76.5</c:v>
                </c:pt>
                <c:pt idx="16">
                  <c:v>79.7</c:v>
                </c:pt>
                <c:pt idx="17">
                  <c:v>76.3</c:v>
                </c:pt>
                <c:pt idx="18">
                  <c:v>81.3</c:v>
                </c:pt>
                <c:pt idx="19">
                  <c:v>81.599999999999994</c:v>
                </c:pt>
                <c:pt idx="20">
                  <c:v>85.7</c:v>
                </c:pt>
                <c:pt idx="21">
                  <c:v>90</c:v>
                </c:pt>
                <c:pt idx="22">
                  <c:v>84.6</c:v>
                </c:pt>
                <c:pt idx="23">
                  <c:v>77.900000000000006</c:v>
                </c:pt>
                <c:pt idx="24">
                  <c:v>76.8</c:v>
                </c:pt>
                <c:pt idx="25">
                  <c:v>74</c:v>
                </c:pt>
                <c:pt idx="26">
                  <c:v>86.9</c:v>
                </c:pt>
                <c:pt idx="27">
                  <c:v>82.2</c:v>
                </c:pt>
                <c:pt idx="28">
                  <c:v>86.3</c:v>
                </c:pt>
                <c:pt idx="29">
                  <c:v>86.1</c:v>
                </c:pt>
                <c:pt idx="30">
                  <c:v>90.1</c:v>
                </c:pt>
                <c:pt idx="31">
                  <c:v>92.1</c:v>
                </c:pt>
                <c:pt idx="32">
                  <c:v>92.1</c:v>
                </c:pt>
                <c:pt idx="33">
                  <c:v>93.5</c:v>
                </c:pt>
                <c:pt idx="34">
                  <c:v>91.8</c:v>
                </c:pt>
                <c:pt idx="35">
                  <c:v>84.7</c:v>
                </c:pt>
                <c:pt idx="36">
                  <c:v>81</c:v>
                </c:pt>
                <c:pt idx="37">
                  <c:v>76.400000000000006</c:v>
                </c:pt>
                <c:pt idx="38">
                  <c:v>88</c:v>
                </c:pt>
                <c:pt idx="39">
                  <c:v>87</c:v>
                </c:pt>
                <c:pt idx="40">
                  <c:v>91.1</c:v>
                </c:pt>
                <c:pt idx="41">
                  <c:v>91.4</c:v>
                </c:pt>
                <c:pt idx="42">
                  <c:v>90.5</c:v>
                </c:pt>
                <c:pt idx="43">
                  <c:v>95.6</c:v>
                </c:pt>
                <c:pt idx="44">
                  <c:v>92</c:v>
                </c:pt>
                <c:pt idx="45">
                  <c:v>93.7</c:v>
                </c:pt>
                <c:pt idx="46">
                  <c:v>92.4</c:v>
                </c:pt>
                <c:pt idx="47">
                  <c:v>86.6</c:v>
                </c:pt>
                <c:pt idx="48">
                  <c:v>83.7</c:v>
                </c:pt>
                <c:pt idx="49">
                  <c:v>80.2</c:v>
                </c:pt>
                <c:pt idx="50">
                  <c:v>92.4</c:v>
                </c:pt>
                <c:pt idx="51">
                  <c:v>85.7</c:v>
                </c:pt>
                <c:pt idx="52">
                  <c:v>95.4</c:v>
                </c:pt>
                <c:pt idx="53">
                  <c:v>91.1</c:v>
                </c:pt>
                <c:pt idx="54">
                  <c:v>93.8</c:v>
                </c:pt>
                <c:pt idx="55">
                  <c:v>98.6</c:v>
                </c:pt>
                <c:pt idx="56">
                  <c:v>93.2</c:v>
                </c:pt>
                <c:pt idx="57">
                  <c:v>97.5</c:v>
                </c:pt>
                <c:pt idx="58">
                  <c:v>95.9</c:v>
                </c:pt>
                <c:pt idx="59">
                  <c:v>87</c:v>
                </c:pt>
                <c:pt idx="60">
                  <c:v>87</c:v>
                </c:pt>
                <c:pt idx="61">
                  <c:v>82.6</c:v>
                </c:pt>
                <c:pt idx="62">
                  <c:v>96.4</c:v>
                </c:pt>
                <c:pt idx="63">
                  <c:v>90.6</c:v>
                </c:pt>
                <c:pt idx="64">
                  <c:v>99.9</c:v>
                </c:pt>
                <c:pt idx="65">
                  <c:v>96.9</c:v>
                </c:pt>
                <c:pt idx="66">
                  <c:v>99.8</c:v>
                </c:pt>
                <c:pt idx="67">
                  <c:v>104.9</c:v>
                </c:pt>
                <c:pt idx="68">
                  <c:v>98.4</c:v>
                </c:pt>
                <c:pt idx="69">
                  <c:v>107.8</c:v>
                </c:pt>
                <c:pt idx="70">
                  <c:v>102.4</c:v>
                </c:pt>
                <c:pt idx="71">
                  <c:v>92.6</c:v>
                </c:pt>
                <c:pt idx="72">
                  <c:v>94.8</c:v>
                </c:pt>
                <c:pt idx="73">
                  <c:v>91.1</c:v>
                </c:pt>
                <c:pt idx="74">
                  <c:v>97.7</c:v>
                </c:pt>
                <c:pt idx="75">
                  <c:v>99.2</c:v>
                </c:pt>
                <c:pt idx="76">
                  <c:v>102.5</c:v>
                </c:pt>
                <c:pt idx="77">
                  <c:v>103.3</c:v>
                </c:pt>
                <c:pt idx="78">
                  <c:v>108.5</c:v>
                </c:pt>
                <c:pt idx="79">
                  <c:v>106.9</c:v>
                </c:pt>
                <c:pt idx="80">
                  <c:v>107.3</c:v>
                </c:pt>
                <c:pt idx="81">
                  <c:v>108.4</c:v>
                </c:pt>
                <c:pt idx="82">
                  <c:v>96.2</c:v>
                </c:pt>
                <c:pt idx="83">
                  <c:v>79.099999999999994</c:v>
                </c:pt>
                <c:pt idx="84">
                  <c:v>78.7</c:v>
                </c:pt>
                <c:pt idx="85">
                  <c:v>76.099999999999994</c:v>
                </c:pt>
                <c:pt idx="86">
                  <c:v>88.6</c:v>
                </c:pt>
                <c:pt idx="87">
                  <c:v>85.2</c:v>
                </c:pt>
                <c:pt idx="88">
                  <c:v>91.3</c:v>
                </c:pt>
                <c:pt idx="89">
                  <c:v>92.2</c:v>
                </c:pt>
                <c:pt idx="90">
                  <c:v>97.7</c:v>
                </c:pt>
                <c:pt idx="91">
                  <c:v>99.6</c:v>
                </c:pt>
                <c:pt idx="92">
                  <c:v>99.4</c:v>
                </c:pt>
                <c:pt idx="93">
                  <c:v>105.6</c:v>
                </c:pt>
                <c:pt idx="94">
                  <c:v>101.4</c:v>
                </c:pt>
                <c:pt idx="95">
                  <c:v>94.1</c:v>
                </c:pt>
                <c:pt idx="96">
                  <c:v>91.2</c:v>
                </c:pt>
                <c:pt idx="97">
                  <c:v>89</c:v>
                </c:pt>
                <c:pt idx="98">
                  <c:v>105.1</c:v>
                </c:pt>
                <c:pt idx="99">
                  <c:v>99.3</c:v>
                </c:pt>
                <c:pt idx="100">
                  <c:v>104.3</c:v>
                </c:pt>
                <c:pt idx="101">
                  <c:v>102.5</c:v>
                </c:pt>
                <c:pt idx="102">
                  <c:v>106.9</c:v>
                </c:pt>
                <c:pt idx="103">
                  <c:v>108.1</c:v>
                </c:pt>
                <c:pt idx="104">
                  <c:v>105.8</c:v>
                </c:pt>
                <c:pt idx="105">
                  <c:v>107.7</c:v>
                </c:pt>
                <c:pt idx="106">
                  <c:v>106.8</c:v>
                </c:pt>
                <c:pt idx="107">
                  <c:v>96.6</c:v>
                </c:pt>
                <c:pt idx="108">
                  <c:v>93.2</c:v>
                </c:pt>
                <c:pt idx="109">
                  <c:v>95.4</c:v>
                </c:pt>
                <c:pt idx="110">
                  <c:v>104.4</c:v>
                </c:pt>
                <c:pt idx="111">
                  <c:v>97.5</c:v>
                </c:pt>
                <c:pt idx="112">
                  <c:v>107.1</c:v>
                </c:pt>
                <c:pt idx="113">
                  <c:v>102.8</c:v>
                </c:pt>
                <c:pt idx="114">
                  <c:v>106.1</c:v>
                </c:pt>
                <c:pt idx="115">
                  <c:v>110.8</c:v>
                </c:pt>
                <c:pt idx="116">
                  <c:v>104.8</c:v>
                </c:pt>
                <c:pt idx="117">
                  <c:v>106.3</c:v>
                </c:pt>
                <c:pt idx="118">
                  <c:v>104.2</c:v>
                </c:pt>
                <c:pt idx="119">
                  <c:v>95.7</c:v>
                </c:pt>
                <c:pt idx="120">
                  <c:v>88.7</c:v>
                </c:pt>
                <c:pt idx="121">
                  <c:v>89.8</c:v>
                </c:pt>
                <c:pt idx="122">
                  <c:v>99.7</c:v>
                </c:pt>
                <c:pt idx="123">
                  <c:v>92.8</c:v>
                </c:pt>
                <c:pt idx="124">
                  <c:v>102.5</c:v>
                </c:pt>
                <c:pt idx="125">
                  <c:v>98.3</c:v>
                </c:pt>
                <c:pt idx="126">
                  <c:v>104.5</c:v>
                </c:pt>
                <c:pt idx="127">
                  <c:v>111.5</c:v>
                </c:pt>
                <c:pt idx="128">
                  <c:v>103.4</c:v>
                </c:pt>
                <c:pt idx="129">
                  <c:v>111.8</c:v>
                </c:pt>
                <c:pt idx="130">
                  <c:v>104.8</c:v>
                </c:pt>
                <c:pt idx="131">
                  <c:v>92.2</c:v>
                </c:pt>
                <c:pt idx="132">
                  <c:v>94.5</c:v>
                </c:pt>
                <c:pt idx="133">
                  <c:v>88.1</c:v>
                </c:pt>
                <c:pt idx="134">
                  <c:v>97.7</c:v>
                </c:pt>
                <c:pt idx="135">
                  <c:v>101.8</c:v>
                </c:pt>
                <c:pt idx="136">
                  <c:v>105</c:v>
                </c:pt>
                <c:pt idx="137">
                  <c:v>101.7</c:v>
                </c:pt>
                <c:pt idx="138">
                  <c:v>108</c:v>
                </c:pt>
                <c:pt idx="139">
                  <c:v>112</c:v>
                </c:pt>
                <c:pt idx="140">
                  <c:v>107.3</c:v>
                </c:pt>
                <c:pt idx="141">
                  <c:v>112.6</c:v>
                </c:pt>
                <c:pt idx="142">
                  <c:v>106.1</c:v>
                </c:pt>
                <c:pt idx="143">
                  <c:v>90.1</c:v>
                </c:pt>
                <c:pt idx="144">
                  <c:v>92.6</c:v>
                </c:pt>
                <c:pt idx="145">
                  <c:v>92.3</c:v>
                </c:pt>
                <c:pt idx="146">
                  <c:v>97.3</c:v>
                </c:pt>
                <c:pt idx="147">
                  <c:v>96</c:v>
                </c:pt>
                <c:pt idx="148">
                  <c:v>101.7</c:v>
                </c:pt>
                <c:pt idx="149">
                  <c:v>94.9</c:v>
                </c:pt>
                <c:pt idx="150">
                  <c:v>104.4</c:v>
                </c:pt>
                <c:pt idx="151">
                  <c:v>106.3</c:v>
                </c:pt>
                <c:pt idx="152">
                  <c:v>105.6</c:v>
                </c:pt>
                <c:pt idx="153">
                  <c:v>109.3</c:v>
                </c:pt>
                <c:pt idx="154">
                  <c:v>99.8</c:v>
                </c:pt>
                <c:pt idx="155">
                  <c:v>87.7</c:v>
                </c:pt>
                <c:pt idx="156">
                  <c:v>88.1</c:v>
                </c:pt>
                <c:pt idx="157">
                  <c:v>83.7</c:v>
                </c:pt>
                <c:pt idx="158">
                  <c:v>94.3</c:v>
                </c:pt>
                <c:pt idx="159">
                  <c:v>88.8</c:v>
                </c:pt>
                <c:pt idx="160">
                  <c:v>93.1</c:v>
                </c:pt>
                <c:pt idx="161">
                  <c:v>92.5</c:v>
                </c:pt>
                <c:pt idx="162">
                  <c:v>95.5</c:v>
                </c:pt>
                <c:pt idx="163">
                  <c:v>97.6</c:v>
                </c:pt>
                <c:pt idx="164">
                  <c:v>94.3</c:v>
                </c:pt>
                <c:pt idx="165">
                  <c:v>97.2</c:v>
                </c:pt>
                <c:pt idx="166">
                  <c:v>87.6</c:v>
                </c:pt>
                <c:pt idx="167">
                  <c:v>77.2</c:v>
                </c:pt>
                <c:pt idx="168">
                  <c:v>76.3</c:v>
                </c:pt>
                <c:pt idx="169">
                  <c:v>75.8</c:v>
                </c:pt>
                <c:pt idx="170">
                  <c:v>83.7</c:v>
                </c:pt>
                <c:pt idx="171">
                  <c:v>83</c:v>
                </c:pt>
                <c:pt idx="172">
                  <c:v>86.3</c:v>
                </c:pt>
                <c:pt idx="173">
                  <c:v>87.7</c:v>
                </c:pt>
                <c:pt idx="174">
                  <c:v>89.6</c:v>
                </c:pt>
                <c:pt idx="175">
                  <c:v>93</c:v>
                </c:pt>
                <c:pt idx="176">
                  <c:v>90.7</c:v>
                </c:pt>
                <c:pt idx="177">
                  <c:v>90.2</c:v>
                </c:pt>
                <c:pt idx="178">
                  <c:v>86.5</c:v>
                </c:pt>
                <c:pt idx="179">
                  <c:v>77.2</c:v>
                </c:pt>
                <c:pt idx="180">
                  <c:v>77.900000000000006</c:v>
                </c:pt>
                <c:pt idx="181">
                  <c:v>75.900000000000006</c:v>
                </c:pt>
                <c:pt idx="182">
                  <c:v>85.4</c:v>
                </c:pt>
                <c:pt idx="183">
                  <c:v>79.3</c:v>
                </c:pt>
                <c:pt idx="184">
                  <c:v>90.1</c:v>
                </c:pt>
                <c:pt idx="185">
                  <c:v>88.4</c:v>
                </c:pt>
                <c:pt idx="186">
                  <c:v>92.1</c:v>
                </c:pt>
                <c:pt idx="187">
                  <c:v>96.7</c:v>
                </c:pt>
                <c:pt idx="188">
                  <c:v>93</c:v>
                </c:pt>
                <c:pt idx="189">
                  <c:v>95.1</c:v>
                </c:pt>
                <c:pt idx="190">
                  <c:v>90.6</c:v>
                </c:pt>
                <c:pt idx="191">
                  <c:v>81</c:v>
                </c:pt>
                <c:pt idx="192">
                  <c:v>82.3</c:v>
                </c:pt>
                <c:pt idx="193">
                  <c:v>77.3</c:v>
                </c:pt>
                <c:pt idx="194">
                  <c:v>86.2</c:v>
                </c:pt>
                <c:pt idx="195">
                  <c:v>86.5</c:v>
                </c:pt>
                <c:pt idx="196">
                  <c:v>84.4</c:v>
                </c:pt>
                <c:pt idx="197">
                  <c:v>91.1</c:v>
                </c:pt>
                <c:pt idx="198">
                  <c:v>95.8</c:v>
                </c:pt>
                <c:pt idx="199">
                  <c:v>98.2</c:v>
                </c:pt>
                <c:pt idx="200">
                  <c:v>90.7</c:v>
                </c:pt>
                <c:pt idx="201">
                  <c:v>95.8</c:v>
                </c:pt>
                <c:pt idx="202">
                  <c:v>89.5</c:v>
                </c:pt>
                <c:pt idx="203">
                  <c:v>78</c:v>
                </c:pt>
                <c:pt idx="204">
                  <c:v>80.7</c:v>
                </c:pt>
                <c:pt idx="205">
                  <c:v>79.099999999999994</c:v>
                </c:pt>
                <c:pt idx="206">
                  <c:v>81</c:v>
                </c:pt>
                <c:pt idx="207">
                  <c:v>83.3</c:v>
                </c:pt>
                <c:pt idx="208">
                  <c:v>91</c:v>
                </c:pt>
                <c:pt idx="209">
                  <c:v>85.8</c:v>
                </c:pt>
                <c:pt idx="210">
                  <c:v>93.4</c:v>
                </c:pt>
                <c:pt idx="211">
                  <c:v>96.2</c:v>
                </c:pt>
                <c:pt idx="212">
                  <c:v>91.8</c:v>
                </c:pt>
                <c:pt idx="213">
                  <c:v>97</c:v>
                </c:pt>
                <c:pt idx="214">
                  <c:v>88</c:v>
                </c:pt>
                <c:pt idx="215">
                  <c:v>76.900000000000006</c:v>
                </c:pt>
                <c:pt idx="216">
                  <c:v>80</c:v>
                </c:pt>
                <c:pt idx="217">
                  <c:v>78.900000000000006</c:v>
                </c:pt>
                <c:pt idx="218">
                  <c:v>77.900000000000006</c:v>
                </c:pt>
                <c:pt idx="219">
                  <c:v>60.3</c:v>
                </c:pt>
                <c:pt idx="220">
                  <c:v>71.2</c:v>
                </c:pt>
                <c:pt idx="221">
                  <c:v>78.400000000000006</c:v>
                </c:pt>
                <c:pt idx="222">
                  <c:v>91</c:v>
                </c:pt>
                <c:pt idx="223">
                  <c:v>93.9</c:v>
                </c:pt>
                <c:pt idx="224">
                  <c:v>95.4</c:v>
                </c:pt>
                <c:pt idx="225">
                  <c:v>97.3</c:v>
                </c:pt>
                <c:pt idx="226">
                  <c:v>90.2</c:v>
                </c:pt>
                <c:pt idx="227">
                  <c:v>83.3</c:v>
                </c:pt>
                <c:pt idx="228">
                  <c:v>81.900000000000006</c:v>
                </c:pt>
                <c:pt idx="229">
                  <c:v>79.099999999999994</c:v>
                </c:pt>
                <c:pt idx="230">
                  <c:v>86.1</c:v>
                </c:pt>
                <c:pt idx="231">
                  <c:v>81.3</c:v>
                </c:pt>
                <c:pt idx="232">
                  <c:v>88.4</c:v>
                </c:pt>
                <c:pt idx="233">
                  <c:v>87.9</c:v>
                </c:pt>
                <c:pt idx="234">
                  <c:v>92.2</c:v>
                </c:pt>
                <c:pt idx="235">
                  <c:v>93.4</c:v>
                </c:pt>
                <c:pt idx="236">
                  <c:v>91.5</c:v>
                </c:pt>
                <c:pt idx="237">
                  <c:v>89.7</c:v>
                </c:pt>
                <c:pt idx="238">
                  <c:v>86.3</c:v>
                </c:pt>
                <c:pt idx="239">
                  <c:v>79.2</c:v>
                </c:pt>
              </c:numCache>
            </c:numRef>
          </c:val>
          <c:smooth val="0"/>
          <c:extLst>
            <c:ext xmlns:c16="http://schemas.microsoft.com/office/drawing/2014/chart" uri="{C3380CC4-5D6E-409C-BE32-E72D297353CC}">
              <c16:uniqueId val="{00000000-AF83-4283-9C80-C1B8E8FC64B9}"/>
            </c:ext>
          </c:extLst>
        </c:ser>
        <c:ser>
          <c:idx val="1"/>
          <c:order val="1"/>
          <c:tx>
            <c:strRef>
              <c:f>ISSTATIONARY!$H$14</c:f>
              <c:strCache>
                <c:ptCount val="1"/>
                <c:pt idx="0">
                  <c:v>d(values)</c:v>
                </c:pt>
              </c:strCache>
            </c:strRef>
          </c:tx>
          <c:spPr>
            <a:ln w="28575" cap="rnd">
              <a:solidFill>
                <a:schemeClr val="accent2"/>
              </a:solidFill>
              <a:round/>
            </a:ln>
            <a:effectLst/>
          </c:spPr>
          <c:marker>
            <c:symbol val="none"/>
          </c:marker>
          <c:val>
            <c:numRef>
              <c:f>ISSTATIONARY!$H$15:$H$254</c:f>
              <c:numCache>
                <c:formatCode>0.0</c:formatCode>
                <c:ptCount val="240"/>
                <c:pt idx="1">
                  <c:v>-2.7000000000000028</c:v>
                </c:pt>
                <c:pt idx="2">
                  <c:v>7.7000000000000028</c:v>
                </c:pt>
                <c:pt idx="3">
                  <c:v>2.1999999999999886</c:v>
                </c:pt>
                <c:pt idx="4">
                  <c:v>0.80000000000001137</c:v>
                </c:pt>
                <c:pt idx="5">
                  <c:v>-2.9000000000000057</c:v>
                </c:pt>
                <c:pt idx="6">
                  <c:v>5.7999999999999972</c:v>
                </c:pt>
                <c:pt idx="7">
                  <c:v>0.29999999999999716</c:v>
                </c:pt>
                <c:pt idx="8">
                  <c:v>-1.5</c:v>
                </c:pt>
                <c:pt idx="9">
                  <c:v>7.1000000000000085</c:v>
                </c:pt>
                <c:pt idx="10">
                  <c:v>-5.2999999999999972</c:v>
                </c:pt>
                <c:pt idx="11">
                  <c:v>-9.3000000000000114</c:v>
                </c:pt>
                <c:pt idx="12">
                  <c:v>-0.59999999999999432</c:v>
                </c:pt>
                <c:pt idx="13">
                  <c:v>-2.2000000000000028</c:v>
                </c:pt>
                <c:pt idx="14">
                  <c:v>5.6000000000000085</c:v>
                </c:pt>
                <c:pt idx="15">
                  <c:v>-0.90000000000000568</c:v>
                </c:pt>
                <c:pt idx="16">
                  <c:v>3.2000000000000028</c:v>
                </c:pt>
                <c:pt idx="17">
                  <c:v>-3.4000000000000057</c:v>
                </c:pt>
                <c:pt idx="18">
                  <c:v>5</c:v>
                </c:pt>
                <c:pt idx="19">
                  <c:v>0.29999999999999716</c:v>
                </c:pt>
                <c:pt idx="20">
                  <c:v>4.1000000000000085</c:v>
                </c:pt>
                <c:pt idx="21">
                  <c:v>4.2999999999999972</c:v>
                </c:pt>
                <c:pt idx="22">
                  <c:v>-5.4000000000000057</c:v>
                </c:pt>
                <c:pt idx="23">
                  <c:v>-6.6999999999999886</c:v>
                </c:pt>
                <c:pt idx="24">
                  <c:v>-1.1000000000000085</c:v>
                </c:pt>
                <c:pt idx="25">
                  <c:v>-2.7999999999999972</c:v>
                </c:pt>
                <c:pt idx="26">
                  <c:v>12.900000000000006</c:v>
                </c:pt>
                <c:pt idx="27">
                  <c:v>-4.7000000000000028</c:v>
                </c:pt>
                <c:pt idx="28">
                  <c:v>4.0999999999999943</c:v>
                </c:pt>
                <c:pt idx="29">
                  <c:v>-0.20000000000000284</c:v>
                </c:pt>
                <c:pt idx="30">
                  <c:v>4</c:v>
                </c:pt>
                <c:pt idx="31">
                  <c:v>2</c:v>
                </c:pt>
                <c:pt idx="32">
                  <c:v>0</c:v>
                </c:pt>
                <c:pt idx="33">
                  <c:v>1.4000000000000057</c:v>
                </c:pt>
                <c:pt idx="34">
                  <c:v>-1.7000000000000028</c:v>
                </c:pt>
                <c:pt idx="35">
                  <c:v>-7.0999999999999943</c:v>
                </c:pt>
                <c:pt idx="36">
                  <c:v>-3.7000000000000028</c:v>
                </c:pt>
                <c:pt idx="37">
                  <c:v>-4.5999999999999943</c:v>
                </c:pt>
                <c:pt idx="38">
                  <c:v>11.599999999999994</c:v>
                </c:pt>
                <c:pt idx="39">
                  <c:v>-1</c:v>
                </c:pt>
                <c:pt idx="40">
                  <c:v>4.0999999999999943</c:v>
                </c:pt>
                <c:pt idx="41">
                  <c:v>0.30000000000001137</c:v>
                </c:pt>
                <c:pt idx="42">
                  <c:v>-0.90000000000000568</c:v>
                </c:pt>
                <c:pt idx="43">
                  <c:v>5.0999999999999943</c:v>
                </c:pt>
                <c:pt idx="44">
                  <c:v>-3.5999999999999943</c:v>
                </c:pt>
                <c:pt idx="45">
                  <c:v>1.7000000000000028</c:v>
                </c:pt>
                <c:pt idx="46">
                  <c:v>-1.2999999999999972</c:v>
                </c:pt>
                <c:pt idx="47">
                  <c:v>-5.8000000000000114</c:v>
                </c:pt>
                <c:pt idx="48">
                  <c:v>-2.8999999999999915</c:v>
                </c:pt>
                <c:pt idx="49">
                  <c:v>-3.5</c:v>
                </c:pt>
                <c:pt idx="50">
                  <c:v>12.200000000000003</c:v>
                </c:pt>
                <c:pt idx="51">
                  <c:v>-6.7000000000000028</c:v>
                </c:pt>
                <c:pt idx="52">
                  <c:v>9.7000000000000028</c:v>
                </c:pt>
                <c:pt idx="53">
                  <c:v>-4.3000000000000114</c:v>
                </c:pt>
                <c:pt idx="54">
                  <c:v>2.7000000000000028</c:v>
                </c:pt>
                <c:pt idx="55">
                  <c:v>4.7999999999999972</c:v>
                </c:pt>
                <c:pt idx="56">
                  <c:v>-5.3999999999999915</c:v>
                </c:pt>
                <c:pt idx="57">
                  <c:v>4.2999999999999972</c:v>
                </c:pt>
                <c:pt idx="58">
                  <c:v>-1.5999999999999943</c:v>
                </c:pt>
                <c:pt idx="59">
                  <c:v>-8.9000000000000057</c:v>
                </c:pt>
                <c:pt idx="60">
                  <c:v>0</c:v>
                </c:pt>
                <c:pt idx="61">
                  <c:v>-4.4000000000000057</c:v>
                </c:pt>
                <c:pt idx="62">
                  <c:v>13.800000000000011</c:v>
                </c:pt>
                <c:pt idx="63">
                  <c:v>-5.8000000000000114</c:v>
                </c:pt>
                <c:pt idx="64">
                  <c:v>9.3000000000000114</c:v>
                </c:pt>
                <c:pt idx="65">
                  <c:v>-3</c:v>
                </c:pt>
                <c:pt idx="66">
                  <c:v>2.8999999999999915</c:v>
                </c:pt>
                <c:pt idx="67">
                  <c:v>5.1000000000000085</c:v>
                </c:pt>
                <c:pt idx="68">
                  <c:v>-6.5</c:v>
                </c:pt>
                <c:pt idx="69">
                  <c:v>9.3999999999999915</c:v>
                </c:pt>
                <c:pt idx="70">
                  <c:v>-5.3999999999999915</c:v>
                </c:pt>
                <c:pt idx="71">
                  <c:v>-9.8000000000000114</c:v>
                </c:pt>
                <c:pt idx="72">
                  <c:v>2.2000000000000028</c:v>
                </c:pt>
                <c:pt idx="73">
                  <c:v>-3.7000000000000028</c:v>
                </c:pt>
                <c:pt idx="74">
                  <c:v>6.6000000000000085</c:v>
                </c:pt>
                <c:pt idx="75">
                  <c:v>1.5</c:v>
                </c:pt>
                <c:pt idx="76">
                  <c:v>3.2999999999999972</c:v>
                </c:pt>
                <c:pt idx="77">
                  <c:v>0.79999999999999716</c:v>
                </c:pt>
                <c:pt idx="78">
                  <c:v>5.2000000000000028</c:v>
                </c:pt>
                <c:pt idx="79">
                  <c:v>-1.5999999999999943</c:v>
                </c:pt>
                <c:pt idx="80">
                  <c:v>0.39999999999999147</c:v>
                </c:pt>
                <c:pt idx="81">
                  <c:v>1.1000000000000085</c:v>
                </c:pt>
                <c:pt idx="82">
                  <c:v>-12.200000000000003</c:v>
                </c:pt>
                <c:pt idx="83">
                  <c:v>-17.100000000000009</c:v>
                </c:pt>
                <c:pt idx="84">
                  <c:v>-0.39999999999999147</c:v>
                </c:pt>
                <c:pt idx="85">
                  <c:v>-2.6000000000000085</c:v>
                </c:pt>
                <c:pt idx="86">
                  <c:v>12.5</c:v>
                </c:pt>
                <c:pt idx="87">
                  <c:v>-3.3999999999999915</c:v>
                </c:pt>
                <c:pt idx="88">
                  <c:v>6.0999999999999943</c:v>
                </c:pt>
                <c:pt idx="89">
                  <c:v>0.90000000000000568</c:v>
                </c:pt>
                <c:pt idx="90">
                  <c:v>5.5</c:v>
                </c:pt>
                <c:pt idx="91">
                  <c:v>1.8999999999999915</c:v>
                </c:pt>
                <c:pt idx="92">
                  <c:v>-0.19999999999998863</c:v>
                </c:pt>
                <c:pt idx="93">
                  <c:v>6.1999999999999886</c:v>
                </c:pt>
                <c:pt idx="94">
                  <c:v>-4.1999999999999886</c:v>
                </c:pt>
                <c:pt idx="95">
                  <c:v>-7.3000000000000114</c:v>
                </c:pt>
                <c:pt idx="96">
                  <c:v>-2.8999999999999915</c:v>
                </c:pt>
                <c:pt idx="97">
                  <c:v>-2.2000000000000028</c:v>
                </c:pt>
                <c:pt idx="98">
                  <c:v>16.099999999999994</c:v>
                </c:pt>
                <c:pt idx="99">
                  <c:v>-5.7999999999999972</c:v>
                </c:pt>
                <c:pt idx="100">
                  <c:v>5</c:v>
                </c:pt>
                <c:pt idx="101">
                  <c:v>-1.7999999999999972</c:v>
                </c:pt>
                <c:pt idx="102">
                  <c:v>4.4000000000000057</c:v>
                </c:pt>
                <c:pt idx="103">
                  <c:v>1.1999999999999886</c:v>
                </c:pt>
                <c:pt idx="104">
                  <c:v>-2.2999999999999972</c:v>
                </c:pt>
                <c:pt idx="105">
                  <c:v>1.9000000000000057</c:v>
                </c:pt>
                <c:pt idx="106">
                  <c:v>-0.90000000000000568</c:v>
                </c:pt>
                <c:pt idx="107">
                  <c:v>-10.200000000000003</c:v>
                </c:pt>
                <c:pt idx="108">
                  <c:v>-3.3999999999999915</c:v>
                </c:pt>
                <c:pt idx="109">
                  <c:v>2.2000000000000028</c:v>
                </c:pt>
                <c:pt idx="110">
                  <c:v>9</c:v>
                </c:pt>
                <c:pt idx="111">
                  <c:v>-6.9000000000000057</c:v>
                </c:pt>
                <c:pt idx="112">
                  <c:v>9.5999999999999943</c:v>
                </c:pt>
                <c:pt idx="113">
                  <c:v>-4.2999999999999972</c:v>
                </c:pt>
                <c:pt idx="114">
                  <c:v>3.2999999999999972</c:v>
                </c:pt>
                <c:pt idx="115">
                  <c:v>4.7000000000000028</c:v>
                </c:pt>
                <c:pt idx="116">
                  <c:v>-6</c:v>
                </c:pt>
                <c:pt idx="117">
                  <c:v>1.5</c:v>
                </c:pt>
                <c:pt idx="118">
                  <c:v>-2.0999999999999943</c:v>
                </c:pt>
                <c:pt idx="119">
                  <c:v>-8.5</c:v>
                </c:pt>
                <c:pt idx="120">
                  <c:v>-7</c:v>
                </c:pt>
                <c:pt idx="121">
                  <c:v>1.0999999999999943</c:v>
                </c:pt>
                <c:pt idx="122">
                  <c:v>9.9000000000000057</c:v>
                </c:pt>
                <c:pt idx="123">
                  <c:v>-6.9000000000000057</c:v>
                </c:pt>
                <c:pt idx="124">
                  <c:v>9.7000000000000028</c:v>
                </c:pt>
                <c:pt idx="125">
                  <c:v>-4.2000000000000028</c:v>
                </c:pt>
                <c:pt idx="126">
                  <c:v>6.2000000000000028</c:v>
                </c:pt>
                <c:pt idx="127">
                  <c:v>7</c:v>
                </c:pt>
                <c:pt idx="128">
                  <c:v>-8.0999999999999943</c:v>
                </c:pt>
                <c:pt idx="129">
                  <c:v>8.3999999999999915</c:v>
                </c:pt>
                <c:pt idx="130">
                  <c:v>-7</c:v>
                </c:pt>
                <c:pt idx="131">
                  <c:v>-12.599999999999994</c:v>
                </c:pt>
                <c:pt idx="132">
                  <c:v>2.2999999999999972</c:v>
                </c:pt>
                <c:pt idx="133">
                  <c:v>-6.4000000000000057</c:v>
                </c:pt>
                <c:pt idx="134">
                  <c:v>9.6000000000000085</c:v>
                </c:pt>
                <c:pt idx="135">
                  <c:v>4.0999999999999943</c:v>
                </c:pt>
                <c:pt idx="136">
                  <c:v>3.2000000000000028</c:v>
                </c:pt>
                <c:pt idx="137">
                  <c:v>-3.2999999999999972</c:v>
                </c:pt>
                <c:pt idx="138">
                  <c:v>6.2999999999999972</c:v>
                </c:pt>
                <c:pt idx="139">
                  <c:v>4</c:v>
                </c:pt>
                <c:pt idx="140">
                  <c:v>-4.7000000000000028</c:v>
                </c:pt>
                <c:pt idx="141">
                  <c:v>5.2999999999999972</c:v>
                </c:pt>
                <c:pt idx="142">
                  <c:v>-6.5</c:v>
                </c:pt>
                <c:pt idx="143">
                  <c:v>-16</c:v>
                </c:pt>
                <c:pt idx="144">
                  <c:v>2.5</c:v>
                </c:pt>
                <c:pt idx="145">
                  <c:v>-0.29999999999999716</c:v>
                </c:pt>
                <c:pt idx="146">
                  <c:v>5</c:v>
                </c:pt>
                <c:pt idx="147">
                  <c:v>-1.2999999999999972</c:v>
                </c:pt>
                <c:pt idx="148">
                  <c:v>5.7000000000000028</c:v>
                </c:pt>
                <c:pt idx="149">
                  <c:v>-6.7999999999999972</c:v>
                </c:pt>
                <c:pt idx="150">
                  <c:v>9.5</c:v>
                </c:pt>
                <c:pt idx="151">
                  <c:v>1.8999999999999915</c:v>
                </c:pt>
                <c:pt idx="152">
                  <c:v>-0.70000000000000284</c:v>
                </c:pt>
                <c:pt idx="153">
                  <c:v>3.7000000000000028</c:v>
                </c:pt>
                <c:pt idx="154">
                  <c:v>-9.5</c:v>
                </c:pt>
                <c:pt idx="155">
                  <c:v>-12.099999999999994</c:v>
                </c:pt>
                <c:pt idx="156">
                  <c:v>0.39999999999999147</c:v>
                </c:pt>
                <c:pt idx="157">
                  <c:v>-4.3999999999999915</c:v>
                </c:pt>
                <c:pt idx="158">
                  <c:v>10.599999999999994</c:v>
                </c:pt>
                <c:pt idx="159">
                  <c:v>-5.5</c:v>
                </c:pt>
                <c:pt idx="160">
                  <c:v>4.2999999999999972</c:v>
                </c:pt>
                <c:pt idx="161">
                  <c:v>-0.59999999999999432</c:v>
                </c:pt>
                <c:pt idx="162">
                  <c:v>3</c:v>
                </c:pt>
                <c:pt idx="163">
                  <c:v>2.0999999999999943</c:v>
                </c:pt>
                <c:pt idx="164">
                  <c:v>-3.2999999999999972</c:v>
                </c:pt>
                <c:pt idx="165">
                  <c:v>2.9000000000000057</c:v>
                </c:pt>
                <c:pt idx="166">
                  <c:v>-9.6000000000000085</c:v>
                </c:pt>
                <c:pt idx="167">
                  <c:v>-10.399999999999991</c:v>
                </c:pt>
                <c:pt idx="168">
                  <c:v>-0.90000000000000568</c:v>
                </c:pt>
                <c:pt idx="169">
                  <c:v>-0.5</c:v>
                </c:pt>
                <c:pt idx="170">
                  <c:v>7.9000000000000057</c:v>
                </c:pt>
                <c:pt idx="171">
                  <c:v>-0.70000000000000284</c:v>
                </c:pt>
                <c:pt idx="172">
                  <c:v>3.2999999999999972</c:v>
                </c:pt>
                <c:pt idx="173">
                  <c:v>1.4000000000000057</c:v>
                </c:pt>
                <c:pt idx="174">
                  <c:v>1.8999999999999915</c:v>
                </c:pt>
                <c:pt idx="175">
                  <c:v>3.4000000000000057</c:v>
                </c:pt>
                <c:pt idx="176">
                  <c:v>-2.2999999999999972</c:v>
                </c:pt>
                <c:pt idx="177">
                  <c:v>-0.5</c:v>
                </c:pt>
                <c:pt idx="178">
                  <c:v>-3.7000000000000028</c:v>
                </c:pt>
                <c:pt idx="179">
                  <c:v>-9.2999999999999972</c:v>
                </c:pt>
                <c:pt idx="180">
                  <c:v>0.70000000000000284</c:v>
                </c:pt>
                <c:pt idx="181">
                  <c:v>-2</c:v>
                </c:pt>
                <c:pt idx="182">
                  <c:v>9.5</c:v>
                </c:pt>
                <c:pt idx="183">
                  <c:v>-6.1000000000000085</c:v>
                </c:pt>
                <c:pt idx="184">
                  <c:v>10.799999999999997</c:v>
                </c:pt>
                <c:pt idx="185">
                  <c:v>-1.6999999999999886</c:v>
                </c:pt>
                <c:pt idx="186">
                  <c:v>3.6999999999999886</c:v>
                </c:pt>
                <c:pt idx="187">
                  <c:v>4.6000000000000085</c:v>
                </c:pt>
                <c:pt idx="188">
                  <c:v>-3.7000000000000028</c:v>
                </c:pt>
                <c:pt idx="189">
                  <c:v>2.0999999999999943</c:v>
                </c:pt>
                <c:pt idx="190">
                  <c:v>-4.5</c:v>
                </c:pt>
                <c:pt idx="191">
                  <c:v>-9.5999999999999943</c:v>
                </c:pt>
                <c:pt idx="192">
                  <c:v>1.2999999999999972</c:v>
                </c:pt>
                <c:pt idx="193">
                  <c:v>-5</c:v>
                </c:pt>
                <c:pt idx="194">
                  <c:v>8.9000000000000057</c:v>
                </c:pt>
                <c:pt idx="195">
                  <c:v>0.29999999999999716</c:v>
                </c:pt>
                <c:pt idx="196">
                  <c:v>-2.0999999999999943</c:v>
                </c:pt>
                <c:pt idx="197">
                  <c:v>6.6999999999999886</c:v>
                </c:pt>
                <c:pt idx="198">
                  <c:v>4.7000000000000028</c:v>
                </c:pt>
                <c:pt idx="199">
                  <c:v>2.4000000000000057</c:v>
                </c:pt>
                <c:pt idx="200">
                  <c:v>-7.5</c:v>
                </c:pt>
                <c:pt idx="201">
                  <c:v>5.0999999999999943</c:v>
                </c:pt>
                <c:pt idx="202">
                  <c:v>-6.2999999999999972</c:v>
                </c:pt>
                <c:pt idx="203">
                  <c:v>-11.5</c:v>
                </c:pt>
                <c:pt idx="204">
                  <c:v>2.7000000000000028</c:v>
                </c:pt>
                <c:pt idx="205">
                  <c:v>-1.6000000000000085</c:v>
                </c:pt>
                <c:pt idx="206">
                  <c:v>1.9000000000000057</c:v>
                </c:pt>
                <c:pt idx="207">
                  <c:v>2.2999999999999972</c:v>
                </c:pt>
                <c:pt idx="208">
                  <c:v>7.7000000000000028</c:v>
                </c:pt>
                <c:pt idx="209">
                  <c:v>-5.2000000000000028</c:v>
                </c:pt>
                <c:pt idx="210">
                  <c:v>7.6000000000000085</c:v>
                </c:pt>
                <c:pt idx="211">
                  <c:v>2.7999999999999972</c:v>
                </c:pt>
                <c:pt idx="212">
                  <c:v>-4.4000000000000057</c:v>
                </c:pt>
                <c:pt idx="213">
                  <c:v>5.2000000000000028</c:v>
                </c:pt>
                <c:pt idx="214">
                  <c:v>-9</c:v>
                </c:pt>
                <c:pt idx="215">
                  <c:v>-11.099999999999994</c:v>
                </c:pt>
                <c:pt idx="216">
                  <c:v>3.0999999999999943</c:v>
                </c:pt>
                <c:pt idx="217">
                  <c:v>-1.0999999999999943</c:v>
                </c:pt>
                <c:pt idx="218">
                  <c:v>-1</c:v>
                </c:pt>
                <c:pt idx="219">
                  <c:v>-17.600000000000009</c:v>
                </c:pt>
                <c:pt idx="220">
                  <c:v>10.900000000000006</c:v>
                </c:pt>
                <c:pt idx="221">
                  <c:v>7.2000000000000028</c:v>
                </c:pt>
                <c:pt idx="222">
                  <c:v>12.599999999999994</c:v>
                </c:pt>
                <c:pt idx="223">
                  <c:v>2.9000000000000057</c:v>
                </c:pt>
                <c:pt idx="224">
                  <c:v>1.5</c:v>
                </c:pt>
                <c:pt idx="225">
                  <c:v>1.8999999999999915</c:v>
                </c:pt>
                <c:pt idx="226">
                  <c:v>-7.0999999999999943</c:v>
                </c:pt>
                <c:pt idx="227">
                  <c:v>-6.9000000000000057</c:v>
                </c:pt>
                <c:pt idx="228">
                  <c:v>-1.3999999999999915</c:v>
                </c:pt>
                <c:pt idx="229">
                  <c:v>-2.8000000000000114</c:v>
                </c:pt>
                <c:pt idx="230">
                  <c:v>7</c:v>
                </c:pt>
                <c:pt idx="231">
                  <c:v>-4.7999999999999972</c:v>
                </c:pt>
                <c:pt idx="232">
                  <c:v>7.1000000000000085</c:v>
                </c:pt>
                <c:pt idx="233">
                  <c:v>-0.5</c:v>
                </c:pt>
                <c:pt idx="234">
                  <c:v>4.2999999999999972</c:v>
                </c:pt>
                <c:pt idx="235">
                  <c:v>1.2000000000000028</c:v>
                </c:pt>
                <c:pt idx="236">
                  <c:v>-1.9000000000000057</c:v>
                </c:pt>
                <c:pt idx="237">
                  <c:v>-1.7999999999999972</c:v>
                </c:pt>
                <c:pt idx="238">
                  <c:v>-3.4000000000000057</c:v>
                </c:pt>
                <c:pt idx="239">
                  <c:v>-7.0999999999999943</c:v>
                </c:pt>
              </c:numCache>
            </c:numRef>
          </c:val>
          <c:smooth val="0"/>
          <c:extLst>
            <c:ext xmlns:c16="http://schemas.microsoft.com/office/drawing/2014/chart" uri="{C3380CC4-5D6E-409C-BE32-E72D297353CC}">
              <c16:uniqueId val="{00000001-AF83-4283-9C80-C1B8E8FC64B9}"/>
            </c:ext>
          </c:extLst>
        </c:ser>
        <c:dLbls>
          <c:showLegendKey val="0"/>
          <c:showVal val="0"/>
          <c:showCatName val="0"/>
          <c:showSerName val="0"/>
          <c:showPercent val="0"/>
          <c:showBubbleSize val="0"/>
        </c:dLbls>
        <c:smooth val="0"/>
        <c:axId val="1123039919"/>
        <c:axId val="1123044079"/>
      </c:lineChart>
      <c:catAx>
        <c:axId val="1123039919"/>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044079"/>
        <c:crosses val="autoZero"/>
        <c:auto val="1"/>
        <c:lblAlgn val="ctr"/>
        <c:lblOffset val="100"/>
        <c:noMultiLvlLbl val="0"/>
      </c:catAx>
      <c:valAx>
        <c:axId val="1123044079"/>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039919"/>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t-BR"/>
              <a:t>Original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Series1</c:v>
          </c:tx>
          <c:spPr>
            <a:ln w="12700" cap="rnd">
              <a:solidFill>
                <a:schemeClr val="accent1"/>
              </a:solidFill>
              <a:round/>
            </a:ln>
            <a:effectLst/>
          </c:spPr>
          <c:marker>
            <c:symbol val="none"/>
          </c:marker>
          <c:cat>
            <c:numRef>
              <c:f>IORDER!$E$14:$E$34</c:f>
              <c:numCache>
                <c:formatCode>0</c:formatCode>
                <c:ptCount val="2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numCache>
            </c:numRef>
          </c:cat>
          <c:val>
            <c:numRef>
              <c:f>IORDER!$F$14:$F$34</c:f>
              <c:numCache>
                <c:formatCode>0.0</c:formatCode>
                <c:ptCount val="21"/>
                <c:pt idx="0">
                  <c:v>72.400000000000006</c:v>
                </c:pt>
                <c:pt idx="1">
                  <c:v>69.7</c:v>
                </c:pt>
                <c:pt idx="2">
                  <c:v>77.400000000000006</c:v>
                </c:pt>
                <c:pt idx="3">
                  <c:v>79.599999999999994</c:v>
                </c:pt>
                <c:pt idx="4">
                  <c:v>80.400000000000006</c:v>
                </c:pt>
                <c:pt idx="5">
                  <c:v>77.5</c:v>
                </c:pt>
                <c:pt idx="6">
                  <c:v>83.3</c:v>
                </c:pt>
                <c:pt idx="7">
                  <c:v>83.6</c:v>
                </c:pt>
                <c:pt idx="8">
                  <c:v>82.1</c:v>
                </c:pt>
                <c:pt idx="9">
                  <c:v>89.2</c:v>
                </c:pt>
                <c:pt idx="10">
                  <c:v>83.9</c:v>
                </c:pt>
                <c:pt idx="11">
                  <c:v>74.599999999999994</c:v>
                </c:pt>
                <c:pt idx="12">
                  <c:v>74</c:v>
                </c:pt>
                <c:pt idx="13">
                  <c:v>71.8</c:v>
                </c:pt>
                <c:pt idx="14">
                  <c:v>77.400000000000006</c:v>
                </c:pt>
                <c:pt idx="15">
                  <c:v>76.5</c:v>
                </c:pt>
                <c:pt idx="16">
                  <c:v>79.7</c:v>
                </c:pt>
                <c:pt idx="17">
                  <c:v>76.3</c:v>
                </c:pt>
                <c:pt idx="18">
                  <c:v>81.3</c:v>
                </c:pt>
                <c:pt idx="19">
                  <c:v>81.599999999999994</c:v>
                </c:pt>
                <c:pt idx="20">
                  <c:v>85.7</c:v>
                </c:pt>
              </c:numCache>
            </c:numRef>
          </c:val>
          <c:smooth val="0"/>
          <c:extLst>
            <c:ext xmlns:c16="http://schemas.microsoft.com/office/drawing/2014/chart" uri="{C3380CC4-5D6E-409C-BE32-E72D297353CC}">
              <c16:uniqueId val="{00000000-DE69-4C67-AF75-96A3D40EDD99}"/>
            </c:ext>
          </c:extLst>
        </c:ser>
        <c:ser>
          <c:idx val="1"/>
          <c:order val="1"/>
          <c:tx>
            <c:v>Series2</c:v>
          </c:tx>
          <c:spPr>
            <a:ln w="28575" cap="rnd">
              <a:solidFill>
                <a:schemeClr val="accent2"/>
              </a:solidFill>
              <a:round/>
            </a:ln>
            <a:effectLst/>
          </c:spPr>
          <c:marker>
            <c:symbol val="none"/>
          </c:marker>
          <c:cat>
            <c:numRef>
              <c:f>IORDER!$E$14:$E$34</c:f>
              <c:numCache>
                <c:formatCode>0</c:formatCode>
                <c:ptCount val="2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numCache>
            </c:numRef>
          </c:cat>
          <c:val>
            <c:numRef>
              <c:f>IORDER!$G$14:$G$34</c:f>
              <c:numCache>
                <c:formatCode>0.0</c:formatCode>
                <c:ptCount val="21"/>
                <c:pt idx="1">
                  <c:v>-2.7000000000000028</c:v>
                </c:pt>
                <c:pt idx="2">
                  <c:v>7.7000000000000028</c:v>
                </c:pt>
                <c:pt idx="3">
                  <c:v>2.1999999999999886</c:v>
                </c:pt>
                <c:pt idx="4">
                  <c:v>0.80000000000001137</c:v>
                </c:pt>
                <c:pt idx="5">
                  <c:v>-2.9000000000000057</c:v>
                </c:pt>
                <c:pt idx="6">
                  <c:v>5.7999999999999972</c:v>
                </c:pt>
                <c:pt idx="7">
                  <c:v>0.29999999999999716</c:v>
                </c:pt>
                <c:pt idx="8">
                  <c:v>-1.5</c:v>
                </c:pt>
                <c:pt idx="9">
                  <c:v>7.1000000000000085</c:v>
                </c:pt>
                <c:pt idx="10">
                  <c:v>-5.2999999999999972</c:v>
                </c:pt>
                <c:pt idx="11">
                  <c:v>-9.3000000000000114</c:v>
                </c:pt>
                <c:pt idx="12">
                  <c:v>-0.59999999999999432</c:v>
                </c:pt>
                <c:pt idx="13">
                  <c:v>-2.2000000000000028</c:v>
                </c:pt>
                <c:pt idx="14">
                  <c:v>5.6000000000000085</c:v>
                </c:pt>
                <c:pt idx="15">
                  <c:v>-0.90000000000000568</c:v>
                </c:pt>
                <c:pt idx="16">
                  <c:v>3.2000000000000028</c:v>
                </c:pt>
                <c:pt idx="17">
                  <c:v>-3.4000000000000057</c:v>
                </c:pt>
                <c:pt idx="18">
                  <c:v>5</c:v>
                </c:pt>
                <c:pt idx="19">
                  <c:v>0.29999999999999716</c:v>
                </c:pt>
                <c:pt idx="20">
                  <c:v>4.1000000000000085</c:v>
                </c:pt>
              </c:numCache>
            </c:numRef>
          </c:val>
          <c:smooth val="0"/>
          <c:extLst>
            <c:ext xmlns:c16="http://schemas.microsoft.com/office/drawing/2014/chart" uri="{C3380CC4-5D6E-409C-BE32-E72D297353CC}">
              <c16:uniqueId val="{00000001-DE69-4C67-AF75-96A3D40EDD99}"/>
            </c:ext>
          </c:extLst>
        </c:ser>
        <c:ser>
          <c:idx val="2"/>
          <c:order val="2"/>
          <c:tx>
            <c:v>Series3</c:v>
          </c:tx>
          <c:spPr>
            <a:ln w="28575" cap="rnd">
              <a:solidFill>
                <a:schemeClr val="accent3"/>
              </a:solidFill>
              <a:round/>
            </a:ln>
            <a:effectLst/>
          </c:spPr>
          <c:marker>
            <c:symbol val="none"/>
          </c:marker>
          <c:val>
            <c:numRef>
              <c:f>IORDER!$H$14:$H$34</c:f>
              <c:numCache>
                <c:formatCode>0.0</c:formatCode>
                <c:ptCount val="21"/>
                <c:pt idx="0">
                  <c:v>73.400000000000006</c:v>
                </c:pt>
                <c:pt idx="1">
                  <c:v>77.7</c:v>
                </c:pt>
                <c:pt idx="2">
                  <c:v>104.4</c:v>
                </c:pt>
                <c:pt idx="3">
                  <c:v>143.6</c:v>
                </c:pt>
                <c:pt idx="4">
                  <c:v>205.4</c:v>
                </c:pt>
                <c:pt idx="5">
                  <c:v>293.5</c:v>
                </c:pt>
                <c:pt idx="6">
                  <c:v>426.3</c:v>
                </c:pt>
                <c:pt idx="7">
                  <c:v>595.6</c:v>
                </c:pt>
                <c:pt idx="8">
                  <c:v>811.1</c:v>
                </c:pt>
                <c:pt idx="9">
                  <c:v>1089.2</c:v>
                </c:pt>
                <c:pt idx="10">
                  <c:v>1414.9</c:v>
                </c:pt>
                <c:pt idx="11">
                  <c:v>1802.6</c:v>
                </c:pt>
                <c:pt idx="12">
                  <c:v>2271</c:v>
                </c:pt>
                <c:pt idx="13">
                  <c:v>2815.8</c:v>
                </c:pt>
                <c:pt idx="14">
                  <c:v>3452.4</c:v>
                </c:pt>
                <c:pt idx="15">
                  <c:v>4172.5</c:v>
                </c:pt>
                <c:pt idx="16">
                  <c:v>4992.7</c:v>
                </c:pt>
                <c:pt idx="17">
                  <c:v>5908.3</c:v>
                </c:pt>
                <c:pt idx="18">
                  <c:v>6940.3</c:v>
                </c:pt>
                <c:pt idx="19">
                  <c:v>8081.6</c:v>
                </c:pt>
                <c:pt idx="20">
                  <c:v>9346.7000000000007</c:v>
                </c:pt>
              </c:numCache>
            </c:numRef>
          </c:val>
          <c:smooth val="0"/>
          <c:extLst>
            <c:ext xmlns:c16="http://schemas.microsoft.com/office/drawing/2014/chart" uri="{C3380CC4-5D6E-409C-BE32-E72D297353CC}">
              <c16:uniqueId val="{00000002-DE69-4C67-AF75-96A3D40EDD99}"/>
            </c:ext>
          </c:extLst>
        </c:ser>
        <c:dLbls>
          <c:showLegendKey val="0"/>
          <c:showVal val="0"/>
          <c:showCatName val="0"/>
          <c:showSerName val="0"/>
          <c:showPercent val="0"/>
          <c:showBubbleSize val="0"/>
        </c:dLbls>
        <c:smooth val="0"/>
        <c:axId val="2040515792"/>
        <c:axId val="2040519952"/>
      </c:lineChart>
      <c:catAx>
        <c:axId val="2040515792"/>
        <c:scaling>
          <c:orientation val="minMax"/>
        </c:scaling>
        <c:delete val="0"/>
        <c:axPos val="b"/>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0519952"/>
        <c:crosses val="autoZero"/>
        <c:auto val="1"/>
        <c:lblAlgn val="ctr"/>
        <c:lblOffset val="100"/>
        <c:noMultiLvlLbl val="1"/>
      </c:catAx>
      <c:valAx>
        <c:axId val="204051995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051579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8740157499999996" l="0.511811024" r="0.511811024" t="0.78740157499999996" header="0.31496062000000002" footer="0.3149606200000000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t-BR"/>
              <a:t>Stationarized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spPr>
            <a:ln w="28575" cap="rnd">
              <a:solidFill>
                <a:schemeClr val="accent2"/>
              </a:solidFill>
              <a:round/>
            </a:ln>
            <a:effectLst/>
          </c:spPr>
          <c:marker>
            <c:symbol val="none"/>
          </c:marker>
          <c:cat>
            <c:numRef>
              <c:f>IORDER!$E$14:$E$34</c:f>
              <c:numCache>
                <c:formatCode>0</c:formatCode>
                <c:ptCount val="2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numCache>
            </c:numRef>
          </c:cat>
          <c:val>
            <c:numRef>
              <c:f>IORDER!$X$14:$X$34</c:f>
              <c:numCache>
                <c:formatCode>0.0</c:formatCode>
                <c:ptCount val="21"/>
                <c:pt idx="0" formatCode="0">
                  <c:v>1</c:v>
                </c:pt>
              </c:numCache>
            </c:numRef>
          </c:val>
          <c:smooth val="0"/>
          <c:extLst>
            <c:ext xmlns:c16="http://schemas.microsoft.com/office/drawing/2014/chart" uri="{C3380CC4-5D6E-409C-BE32-E72D297353CC}">
              <c16:uniqueId val="{00000000-3539-4D66-B026-716D602CF1C5}"/>
            </c:ext>
          </c:extLst>
        </c:ser>
        <c:dLbls>
          <c:showLegendKey val="0"/>
          <c:showVal val="0"/>
          <c:showCatName val="0"/>
          <c:showSerName val="0"/>
          <c:showPercent val="0"/>
          <c:showBubbleSize val="0"/>
        </c:dLbls>
        <c:marker val="1"/>
        <c:smooth val="0"/>
        <c:axId val="2040515792"/>
        <c:axId val="2040519952"/>
      </c:lineChart>
      <c:lineChart>
        <c:grouping val="standard"/>
        <c:varyColors val="0"/>
        <c:ser>
          <c:idx val="2"/>
          <c:order val="1"/>
          <c:spPr>
            <a:ln w="28575" cap="rnd">
              <a:solidFill>
                <a:schemeClr val="accent2"/>
              </a:solidFill>
              <a:round/>
            </a:ln>
            <a:effectLst/>
          </c:spPr>
          <c:marker>
            <c:symbol val="none"/>
          </c:marker>
          <c:cat>
            <c:numRef>
              <c:f>IORDER!$E$14:$E$34</c:f>
              <c:numCache>
                <c:formatCode>0</c:formatCode>
                <c:ptCount val="2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numCache>
            </c:numRef>
          </c:cat>
          <c:val>
            <c:numRef>
              <c:f>IORDER!$Y$14:$Y$34</c:f>
              <c:numCache>
                <c:formatCode>0.00</c:formatCode>
                <c:ptCount val="21"/>
                <c:pt idx="0" formatCode="0">
                  <c:v>0</c:v>
                </c:pt>
              </c:numCache>
            </c:numRef>
          </c:val>
          <c:smooth val="0"/>
          <c:extLst>
            <c:ext xmlns:c16="http://schemas.microsoft.com/office/drawing/2014/chart" uri="{C3380CC4-5D6E-409C-BE32-E72D297353CC}">
              <c16:uniqueId val="{00000001-3539-4D66-B026-716D602CF1C5}"/>
            </c:ext>
          </c:extLst>
        </c:ser>
        <c:ser>
          <c:idx val="0"/>
          <c:order val="2"/>
          <c:spPr>
            <a:ln w="28575" cap="rnd">
              <a:solidFill>
                <a:schemeClr val="accent3"/>
              </a:solidFill>
              <a:round/>
            </a:ln>
            <a:effectLst/>
          </c:spPr>
          <c:marker>
            <c:symbol val="none"/>
          </c:marker>
          <c:cat>
            <c:numRef>
              <c:f>IORDER!$E$14:$E$34</c:f>
              <c:numCache>
                <c:formatCode>0</c:formatCode>
                <c:ptCount val="2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numCache>
            </c:numRef>
          </c:cat>
          <c:val>
            <c:numRef>
              <c:f>IORDER!$Z$14:$Z$34</c:f>
              <c:numCache>
                <c:formatCode>0.00</c:formatCode>
                <c:ptCount val="21"/>
                <c:pt idx="0" formatCode="0">
                  <c:v>3</c:v>
                </c:pt>
              </c:numCache>
            </c:numRef>
          </c:val>
          <c:smooth val="0"/>
          <c:extLst>
            <c:ext xmlns:c16="http://schemas.microsoft.com/office/drawing/2014/chart" uri="{C3380CC4-5D6E-409C-BE32-E72D297353CC}">
              <c16:uniqueId val="{00000002-3539-4D66-B026-716D602CF1C5}"/>
            </c:ext>
          </c:extLst>
        </c:ser>
        <c:dLbls>
          <c:showLegendKey val="0"/>
          <c:showVal val="0"/>
          <c:showCatName val="0"/>
          <c:showSerName val="0"/>
          <c:showPercent val="0"/>
          <c:showBubbleSize val="0"/>
        </c:dLbls>
        <c:marker val="1"/>
        <c:smooth val="0"/>
        <c:axId val="1404022895"/>
        <c:axId val="1404033711"/>
      </c:lineChart>
      <c:catAx>
        <c:axId val="2040515792"/>
        <c:scaling>
          <c:orientation val="minMax"/>
        </c:scaling>
        <c:delete val="0"/>
        <c:axPos val="b"/>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0519952"/>
        <c:crosses val="autoZero"/>
        <c:auto val="1"/>
        <c:lblAlgn val="ctr"/>
        <c:lblOffset val="100"/>
        <c:noMultiLvlLbl val="1"/>
      </c:catAx>
      <c:valAx>
        <c:axId val="204051995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0515792"/>
        <c:crosses val="autoZero"/>
        <c:crossBetween val="between"/>
      </c:valAx>
      <c:valAx>
        <c:axId val="140403371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4022895"/>
        <c:crosses val="max"/>
        <c:crossBetween val="between"/>
      </c:valAx>
      <c:catAx>
        <c:axId val="1404022895"/>
        <c:scaling>
          <c:orientation val="minMax"/>
        </c:scaling>
        <c:delete val="1"/>
        <c:axPos val="b"/>
        <c:numFmt formatCode="0" sourceLinked="1"/>
        <c:majorTickMark val="out"/>
        <c:minorTickMark val="none"/>
        <c:tickLblPos val="nextTo"/>
        <c:crossAx val="1404033711"/>
        <c:crosses val="autoZero"/>
        <c:auto val="1"/>
        <c:lblAlgn val="ctr"/>
        <c:lblOffset val="100"/>
        <c:noMultiLvlLbl val="0"/>
      </c:cat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8740157499999996" l="0.511811024" r="0.511811024" t="0.78740157499999996" header="0.31496062000000002" footer="0.31496062000000002"/>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t-BR"/>
              <a:t>Original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ISCOINTEGRATED!$F$15</c:f>
              <c:strCache>
                <c:ptCount val="1"/>
                <c:pt idx="0">
                  <c:v>GDP</c:v>
                </c:pt>
              </c:strCache>
            </c:strRef>
          </c:tx>
          <c:spPr>
            <a:ln w="12700" cap="rnd">
              <a:solidFill>
                <a:schemeClr val="accent1"/>
              </a:solidFill>
              <a:round/>
            </a:ln>
            <a:effectLst/>
          </c:spPr>
          <c:marker>
            <c:symbol val="none"/>
          </c:marker>
          <c:cat>
            <c:numRef>
              <c:f>ISCOINTEGRATED!$E$16:$E$121</c:f>
              <c:numCache>
                <c:formatCode>m/d/yyyy</c:formatCode>
                <c:ptCount val="106"/>
                <c:pt idx="0">
                  <c:v>35065</c:v>
                </c:pt>
                <c:pt idx="1">
                  <c:v>35156</c:v>
                </c:pt>
                <c:pt idx="2">
                  <c:v>35247</c:v>
                </c:pt>
                <c:pt idx="3">
                  <c:v>35339</c:v>
                </c:pt>
                <c:pt idx="4">
                  <c:v>35431</c:v>
                </c:pt>
                <c:pt idx="5">
                  <c:v>35521</c:v>
                </c:pt>
                <c:pt idx="6">
                  <c:v>35612</c:v>
                </c:pt>
                <c:pt idx="7">
                  <c:v>35704</c:v>
                </c:pt>
                <c:pt idx="8">
                  <c:v>35796</c:v>
                </c:pt>
                <c:pt idx="9">
                  <c:v>35886</c:v>
                </c:pt>
                <c:pt idx="10">
                  <c:v>35977</c:v>
                </c:pt>
                <c:pt idx="11">
                  <c:v>36069</c:v>
                </c:pt>
                <c:pt idx="12">
                  <c:v>36161</c:v>
                </c:pt>
                <c:pt idx="13">
                  <c:v>36251</c:v>
                </c:pt>
                <c:pt idx="14">
                  <c:v>36342</c:v>
                </c:pt>
                <c:pt idx="15">
                  <c:v>36434</c:v>
                </c:pt>
                <c:pt idx="16">
                  <c:v>36526</c:v>
                </c:pt>
                <c:pt idx="17">
                  <c:v>36617</c:v>
                </c:pt>
                <c:pt idx="18">
                  <c:v>36708</c:v>
                </c:pt>
                <c:pt idx="19">
                  <c:v>36800</c:v>
                </c:pt>
                <c:pt idx="20">
                  <c:v>36892</c:v>
                </c:pt>
                <c:pt idx="21">
                  <c:v>36982</c:v>
                </c:pt>
                <c:pt idx="22">
                  <c:v>37073</c:v>
                </c:pt>
                <c:pt idx="23">
                  <c:v>37165</c:v>
                </c:pt>
                <c:pt idx="24">
                  <c:v>37257</c:v>
                </c:pt>
                <c:pt idx="25">
                  <c:v>37347</c:v>
                </c:pt>
                <c:pt idx="26">
                  <c:v>37438</c:v>
                </c:pt>
                <c:pt idx="27">
                  <c:v>37530</c:v>
                </c:pt>
                <c:pt idx="28">
                  <c:v>37622</c:v>
                </c:pt>
                <c:pt idx="29">
                  <c:v>37712</c:v>
                </c:pt>
                <c:pt idx="30">
                  <c:v>37803</c:v>
                </c:pt>
                <c:pt idx="31">
                  <c:v>37895</c:v>
                </c:pt>
                <c:pt idx="32">
                  <c:v>37987</c:v>
                </c:pt>
                <c:pt idx="33">
                  <c:v>38078</c:v>
                </c:pt>
                <c:pt idx="34">
                  <c:v>38169</c:v>
                </c:pt>
                <c:pt idx="35">
                  <c:v>38261</c:v>
                </c:pt>
                <c:pt idx="36">
                  <c:v>38353</c:v>
                </c:pt>
                <c:pt idx="37">
                  <c:v>38443</c:v>
                </c:pt>
                <c:pt idx="38">
                  <c:v>38534</c:v>
                </c:pt>
                <c:pt idx="39">
                  <c:v>38626</c:v>
                </c:pt>
                <c:pt idx="40">
                  <c:v>38718</c:v>
                </c:pt>
                <c:pt idx="41">
                  <c:v>38808</c:v>
                </c:pt>
                <c:pt idx="42">
                  <c:v>38899</c:v>
                </c:pt>
                <c:pt idx="43">
                  <c:v>38991</c:v>
                </c:pt>
                <c:pt idx="44">
                  <c:v>39083</c:v>
                </c:pt>
                <c:pt idx="45">
                  <c:v>39173</c:v>
                </c:pt>
                <c:pt idx="46">
                  <c:v>39264</c:v>
                </c:pt>
                <c:pt idx="47">
                  <c:v>39356</c:v>
                </c:pt>
                <c:pt idx="48">
                  <c:v>39448</c:v>
                </c:pt>
                <c:pt idx="49">
                  <c:v>39539</c:v>
                </c:pt>
                <c:pt idx="50">
                  <c:v>39630</c:v>
                </c:pt>
                <c:pt idx="51">
                  <c:v>39722</c:v>
                </c:pt>
                <c:pt idx="52">
                  <c:v>39814</c:v>
                </c:pt>
                <c:pt idx="53">
                  <c:v>39904</c:v>
                </c:pt>
                <c:pt idx="54">
                  <c:v>39995</c:v>
                </c:pt>
                <c:pt idx="55">
                  <c:v>40087</c:v>
                </c:pt>
                <c:pt idx="56">
                  <c:v>40179</c:v>
                </c:pt>
                <c:pt idx="57">
                  <c:v>40269</c:v>
                </c:pt>
                <c:pt idx="58">
                  <c:v>40360</c:v>
                </c:pt>
                <c:pt idx="59">
                  <c:v>40452</c:v>
                </c:pt>
                <c:pt idx="60">
                  <c:v>40544</c:v>
                </c:pt>
                <c:pt idx="61">
                  <c:v>40634</c:v>
                </c:pt>
                <c:pt idx="62">
                  <c:v>40725</c:v>
                </c:pt>
                <c:pt idx="63">
                  <c:v>40817</c:v>
                </c:pt>
                <c:pt idx="64">
                  <c:v>40909</c:v>
                </c:pt>
                <c:pt idx="65">
                  <c:v>41000</c:v>
                </c:pt>
                <c:pt idx="66">
                  <c:v>41091</c:v>
                </c:pt>
                <c:pt idx="67">
                  <c:v>41183</c:v>
                </c:pt>
                <c:pt idx="68">
                  <c:v>41275</c:v>
                </c:pt>
                <c:pt idx="69">
                  <c:v>41365</c:v>
                </c:pt>
                <c:pt idx="70">
                  <c:v>41456</c:v>
                </c:pt>
                <c:pt idx="71">
                  <c:v>41548</c:v>
                </c:pt>
                <c:pt idx="72">
                  <c:v>41640</c:v>
                </c:pt>
                <c:pt idx="73">
                  <c:v>41730</c:v>
                </c:pt>
                <c:pt idx="74">
                  <c:v>41821</c:v>
                </c:pt>
                <c:pt idx="75">
                  <c:v>41913</c:v>
                </c:pt>
                <c:pt idx="76">
                  <c:v>42005</c:v>
                </c:pt>
                <c:pt idx="77">
                  <c:v>42095</c:v>
                </c:pt>
                <c:pt idx="78">
                  <c:v>42186</c:v>
                </c:pt>
                <c:pt idx="79">
                  <c:v>42278</c:v>
                </c:pt>
                <c:pt idx="80">
                  <c:v>42370</c:v>
                </c:pt>
                <c:pt idx="81">
                  <c:v>42461</c:v>
                </c:pt>
                <c:pt idx="82">
                  <c:v>42552</c:v>
                </c:pt>
                <c:pt idx="83">
                  <c:v>42644</c:v>
                </c:pt>
                <c:pt idx="84">
                  <c:v>42736</c:v>
                </c:pt>
                <c:pt idx="85">
                  <c:v>42826</c:v>
                </c:pt>
                <c:pt idx="86">
                  <c:v>42917</c:v>
                </c:pt>
                <c:pt idx="87">
                  <c:v>43009</c:v>
                </c:pt>
                <c:pt idx="88">
                  <c:v>43101</c:v>
                </c:pt>
                <c:pt idx="89">
                  <c:v>43191</c:v>
                </c:pt>
                <c:pt idx="90">
                  <c:v>43282</c:v>
                </c:pt>
                <c:pt idx="91">
                  <c:v>43374</c:v>
                </c:pt>
                <c:pt idx="92">
                  <c:v>43466</c:v>
                </c:pt>
                <c:pt idx="93">
                  <c:v>43556</c:v>
                </c:pt>
                <c:pt idx="94">
                  <c:v>43647</c:v>
                </c:pt>
                <c:pt idx="95">
                  <c:v>43739</c:v>
                </c:pt>
                <c:pt idx="96">
                  <c:v>43831</c:v>
                </c:pt>
                <c:pt idx="97">
                  <c:v>43922</c:v>
                </c:pt>
                <c:pt idx="98">
                  <c:v>44013</c:v>
                </c:pt>
                <c:pt idx="99">
                  <c:v>44105</c:v>
                </c:pt>
                <c:pt idx="100">
                  <c:v>44197</c:v>
                </c:pt>
                <c:pt idx="101">
                  <c:v>44287</c:v>
                </c:pt>
                <c:pt idx="102">
                  <c:v>44378</c:v>
                </c:pt>
                <c:pt idx="103">
                  <c:v>44470</c:v>
                </c:pt>
                <c:pt idx="104">
                  <c:v>44562</c:v>
                </c:pt>
                <c:pt idx="105">
                  <c:v>44652</c:v>
                </c:pt>
              </c:numCache>
            </c:numRef>
          </c:cat>
          <c:val>
            <c:numRef>
              <c:f>ISCOINTEGRATED!$F$16:$F$121</c:f>
              <c:numCache>
                <c:formatCode>0.0</c:formatCode>
                <c:ptCount val="106"/>
                <c:pt idx="0">
                  <c:v>175528</c:v>
                </c:pt>
                <c:pt idx="1">
                  <c:v>177502</c:v>
                </c:pt>
                <c:pt idx="2">
                  <c:v>184128</c:v>
                </c:pt>
                <c:pt idx="3">
                  <c:v>182357</c:v>
                </c:pt>
                <c:pt idx="4">
                  <c:v>184248</c:v>
                </c:pt>
                <c:pt idx="5">
                  <c:v>185273</c:v>
                </c:pt>
                <c:pt idx="6">
                  <c:v>187587</c:v>
                </c:pt>
                <c:pt idx="7">
                  <c:v>189150</c:v>
                </c:pt>
                <c:pt idx="8">
                  <c:v>185427</c:v>
                </c:pt>
                <c:pt idx="9">
                  <c:v>188539</c:v>
                </c:pt>
                <c:pt idx="10">
                  <c:v>188547</c:v>
                </c:pt>
                <c:pt idx="11">
                  <c:v>186374</c:v>
                </c:pt>
                <c:pt idx="12">
                  <c:v>186713</c:v>
                </c:pt>
                <c:pt idx="13">
                  <c:v>187665</c:v>
                </c:pt>
                <c:pt idx="14">
                  <c:v>187707</c:v>
                </c:pt>
                <c:pt idx="15">
                  <c:v>190360</c:v>
                </c:pt>
                <c:pt idx="16">
                  <c:v>192374</c:v>
                </c:pt>
                <c:pt idx="17">
                  <c:v>195058</c:v>
                </c:pt>
                <c:pt idx="18">
                  <c:v>197337</c:v>
                </c:pt>
                <c:pt idx="19">
                  <c:v>199746</c:v>
                </c:pt>
                <c:pt idx="20">
                  <c:v>200577</c:v>
                </c:pt>
                <c:pt idx="21">
                  <c:v>199542</c:v>
                </c:pt>
                <c:pt idx="22">
                  <c:v>198477</c:v>
                </c:pt>
                <c:pt idx="23">
                  <c:v>197956</c:v>
                </c:pt>
                <c:pt idx="24">
                  <c:v>202731</c:v>
                </c:pt>
                <c:pt idx="25">
                  <c:v>203437</c:v>
                </c:pt>
                <c:pt idx="26">
                  <c:v>206179</c:v>
                </c:pt>
                <c:pt idx="27">
                  <c:v>208262</c:v>
                </c:pt>
                <c:pt idx="28">
                  <c:v>207329</c:v>
                </c:pt>
                <c:pt idx="29">
                  <c:v>205607</c:v>
                </c:pt>
                <c:pt idx="30">
                  <c:v>207530</c:v>
                </c:pt>
                <c:pt idx="31">
                  <c:v>209685</c:v>
                </c:pt>
                <c:pt idx="32">
                  <c:v>212590</c:v>
                </c:pt>
                <c:pt idx="33">
                  <c:v>218480</c:v>
                </c:pt>
                <c:pt idx="34">
                  <c:v>221209</c:v>
                </c:pt>
                <c:pt idx="35">
                  <c:v>222910</c:v>
                </c:pt>
                <c:pt idx="36">
                  <c:v>224747</c:v>
                </c:pt>
                <c:pt idx="37">
                  <c:v>227413</c:v>
                </c:pt>
                <c:pt idx="38">
                  <c:v>225926</c:v>
                </c:pt>
                <c:pt idx="39">
                  <c:v>228736</c:v>
                </c:pt>
                <c:pt idx="40">
                  <c:v>232628</c:v>
                </c:pt>
                <c:pt idx="41">
                  <c:v>233263</c:v>
                </c:pt>
                <c:pt idx="42">
                  <c:v>237002</c:v>
                </c:pt>
                <c:pt idx="43">
                  <c:v>239834</c:v>
                </c:pt>
                <c:pt idx="44">
                  <c:v>244548</c:v>
                </c:pt>
                <c:pt idx="45">
                  <c:v>248523</c:v>
                </c:pt>
                <c:pt idx="46">
                  <c:v>250953</c:v>
                </c:pt>
                <c:pt idx="47">
                  <c:v>254918</c:v>
                </c:pt>
                <c:pt idx="48">
                  <c:v>258056</c:v>
                </c:pt>
                <c:pt idx="49">
                  <c:v>263463</c:v>
                </c:pt>
                <c:pt idx="50">
                  <c:v>267615</c:v>
                </c:pt>
                <c:pt idx="51">
                  <c:v>257534</c:v>
                </c:pt>
                <c:pt idx="52">
                  <c:v>253940</c:v>
                </c:pt>
                <c:pt idx="53">
                  <c:v>258488</c:v>
                </c:pt>
                <c:pt idx="54">
                  <c:v>264566</c:v>
                </c:pt>
                <c:pt idx="55">
                  <c:v>271334</c:v>
                </c:pt>
                <c:pt idx="56">
                  <c:v>277127</c:v>
                </c:pt>
                <c:pt idx="57">
                  <c:v>280479</c:v>
                </c:pt>
                <c:pt idx="58">
                  <c:v>283006</c:v>
                </c:pt>
                <c:pt idx="59">
                  <c:v>286939</c:v>
                </c:pt>
                <c:pt idx="60">
                  <c:v>291050</c:v>
                </c:pt>
                <c:pt idx="61">
                  <c:v>293790</c:v>
                </c:pt>
                <c:pt idx="62">
                  <c:v>293200</c:v>
                </c:pt>
                <c:pt idx="63">
                  <c:v>295631</c:v>
                </c:pt>
                <c:pt idx="64">
                  <c:v>291791</c:v>
                </c:pt>
                <c:pt idx="65">
                  <c:v>296859</c:v>
                </c:pt>
                <c:pt idx="66">
                  <c:v>301930</c:v>
                </c:pt>
                <c:pt idx="67">
                  <c:v>301992</c:v>
                </c:pt>
                <c:pt idx="68">
                  <c:v>303650</c:v>
                </c:pt>
                <c:pt idx="69">
                  <c:v>308049</c:v>
                </c:pt>
                <c:pt idx="70">
                  <c:v>309415</c:v>
                </c:pt>
                <c:pt idx="71">
                  <c:v>309812</c:v>
                </c:pt>
                <c:pt idx="72">
                  <c:v>312525</c:v>
                </c:pt>
                <c:pt idx="73">
                  <c:v>307822</c:v>
                </c:pt>
                <c:pt idx="74">
                  <c:v>307733</c:v>
                </c:pt>
                <c:pt idx="75">
                  <c:v>309305</c:v>
                </c:pt>
                <c:pt idx="76">
                  <c:v>306840</c:v>
                </c:pt>
                <c:pt idx="77">
                  <c:v>299543</c:v>
                </c:pt>
                <c:pt idx="78">
                  <c:v>294788</c:v>
                </c:pt>
                <c:pt idx="79">
                  <c:v>292448</c:v>
                </c:pt>
                <c:pt idx="80">
                  <c:v>288021</c:v>
                </c:pt>
                <c:pt idx="81">
                  <c:v>289087</c:v>
                </c:pt>
                <c:pt idx="82">
                  <c:v>287640</c:v>
                </c:pt>
                <c:pt idx="83">
                  <c:v>287013</c:v>
                </c:pt>
                <c:pt idx="84">
                  <c:v>290171</c:v>
                </c:pt>
                <c:pt idx="85">
                  <c:v>292416</c:v>
                </c:pt>
                <c:pt idx="86">
                  <c:v>293328</c:v>
                </c:pt>
                <c:pt idx="87">
                  <c:v>294518</c:v>
                </c:pt>
                <c:pt idx="88">
                  <c:v>296385</c:v>
                </c:pt>
                <c:pt idx="89">
                  <c:v>296231</c:v>
                </c:pt>
                <c:pt idx="90">
                  <c:v>299292</c:v>
                </c:pt>
                <c:pt idx="91">
                  <c:v>298262</c:v>
                </c:pt>
                <c:pt idx="92">
                  <c:v>299482</c:v>
                </c:pt>
                <c:pt idx="93">
                  <c:v>301159</c:v>
                </c:pt>
                <c:pt idx="94">
                  <c:v>301480</c:v>
                </c:pt>
                <c:pt idx="95">
                  <c:v>302539</c:v>
                </c:pt>
                <c:pt idx="96">
                  <c:v>295396</c:v>
                </c:pt>
                <c:pt idx="97">
                  <c:v>268915</c:v>
                </c:pt>
                <c:pt idx="98">
                  <c:v>290404</c:v>
                </c:pt>
                <c:pt idx="99">
                  <c:v>299623</c:v>
                </c:pt>
                <c:pt idx="100">
                  <c:v>302823</c:v>
                </c:pt>
                <c:pt idx="101">
                  <c:v>301977</c:v>
                </c:pt>
                <c:pt idx="102">
                  <c:v>302157</c:v>
                </c:pt>
                <c:pt idx="103">
                  <c:v>304498</c:v>
                </c:pt>
                <c:pt idx="104">
                  <c:v>307915</c:v>
                </c:pt>
                <c:pt idx="105">
                  <c:v>311711</c:v>
                </c:pt>
              </c:numCache>
            </c:numRef>
          </c:val>
          <c:smooth val="0"/>
          <c:extLst>
            <c:ext xmlns:c16="http://schemas.microsoft.com/office/drawing/2014/chart" uri="{C3380CC4-5D6E-409C-BE32-E72D297353CC}">
              <c16:uniqueId val="{00000000-5C44-4BC4-B9A2-E07E8B826D6D}"/>
            </c:ext>
          </c:extLst>
        </c:ser>
        <c:ser>
          <c:idx val="1"/>
          <c:order val="1"/>
          <c:tx>
            <c:strRef>
              <c:f>ISCOINTEGRATED!$G$15</c:f>
              <c:strCache>
                <c:ptCount val="1"/>
                <c:pt idx="0">
                  <c:v>Consumption</c:v>
                </c:pt>
              </c:strCache>
            </c:strRef>
          </c:tx>
          <c:spPr>
            <a:ln w="28575" cap="rnd">
              <a:solidFill>
                <a:schemeClr val="accent2"/>
              </a:solidFill>
              <a:round/>
            </a:ln>
            <a:effectLst/>
          </c:spPr>
          <c:marker>
            <c:symbol val="none"/>
          </c:marker>
          <c:cat>
            <c:numRef>
              <c:f>ISCOINTEGRATED!$E$16:$E$121</c:f>
              <c:numCache>
                <c:formatCode>m/d/yyyy</c:formatCode>
                <c:ptCount val="106"/>
                <c:pt idx="0">
                  <c:v>35065</c:v>
                </c:pt>
                <c:pt idx="1">
                  <c:v>35156</c:v>
                </c:pt>
                <c:pt idx="2">
                  <c:v>35247</c:v>
                </c:pt>
                <c:pt idx="3">
                  <c:v>35339</c:v>
                </c:pt>
                <c:pt idx="4">
                  <c:v>35431</c:v>
                </c:pt>
                <c:pt idx="5">
                  <c:v>35521</c:v>
                </c:pt>
                <c:pt idx="6">
                  <c:v>35612</c:v>
                </c:pt>
                <c:pt idx="7">
                  <c:v>35704</c:v>
                </c:pt>
                <c:pt idx="8">
                  <c:v>35796</c:v>
                </c:pt>
                <c:pt idx="9">
                  <c:v>35886</c:v>
                </c:pt>
                <c:pt idx="10">
                  <c:v>35977</c:v>
                </c:pt>
                <c:pt idx="11">
                  <c:v>36069</c:v>
                </c:pt>
                <c:pt idx="12">
                  <c:v>36161</c:v>
                </c:pt>
                <c:pt idx="13">
                  <c:v>36251</c:v>
                </c:pt>
                <c:pt idx="14">
                  <c:v>36342</c:v>
                </c:pt>
                <c:pt idx="15">
                  <c:v>36434</c:v>
                </c:pt>
                <c:pt idx="16">
                  <c:v>36526</c:v>
                </c:pt>
                <c:pt idx="17">
                  <c:v>36617</c:v>
                </c:pt>
                <c:pt idx="18">
                  <c:v>36708</c:v>
                </c:pt>
                <c:pt idx="19">
                  <c:v>36800</c:v>
                </c:pt>
                <c:pt idx="20">
                  <c:v>36892</c:v>
                </c:pt>
                <c:pt idx="21">
                  <c:v>36982</c:v>
                </c:pt>
                <c:pt idx="22">
                  <c:v>37073</c:v>
                </c:pt>
                <c:pt idx="23">
                  <c:v>37165</c:v>
                </c:pt>
                <c:pt idx="24">
                  <c:v>37257</c:v>
                </c:pt>
                <c:pt idx="25">
                  <c:v>37347</c:v>
                </c:pt>
                <c:pt idx="26">
                  <c:v>37438</c:v>
                </c:pt>
                <c:pt idx="27">
                  <c:v>37530</c:v>
                </c:pt>
                <c:pt idx="28">
                  <c:v>37622</c:v>
                </c:pt>
                <c:pt idx="29">
                  <c:v>37712</c:v>
                </c:pt>
                <c:pt idx="30">
                  <c:v>37803</c:v>
                </c:pt>
                <c:pt idx="31">
                  <c:v>37895</c:v>
                </c:pt>
                <c:pt idx="32">
                  <c:v>37987</c:v>
                </c:pt>
                <c:pt idx="33">
                  <c:v>38078</c:v>
                </c:pt>
                <c:pt idx="34">
                  <c:v>38169</c:v>
                </c:pt>
                <c:pt idx="35">
                  <c:v>38261</c:v>
                </c:pt>
                <c:pt idx="36">
                  <c:v>38353</c:v>
                </c:pt>
                <c:pt idx="37">
                  <c:v>38443</c:v>
                </c:pt>
                <c:pt idx="38">
                  <c:v>38534</c:v>
                </c:pt>
                <c:pt idx="39">
                  <c:v>38626</c:v>
                </c:pt>
                <c:pt idx="40">
                  <c:v>38718</c:v>
                </c:pt>
                <c:pt idx="41">
                  <c:v>38808</c:v>
                </c:pt>
                <c:pt idx="42">
                  <c:v>38899</c:v>
                </c:pt>
                <c:pt idx="43">
                  <c:v>38991</c:v>
                </c:pt>
                <c:pt idx="44">
                  <c:v>39083</c:v>
                </c:pt>
                <c:pt idx="45">
                  <c:v>39173</c:v>
                </c:pt>
                <c:pt idx="46">
                  <c:v>39264</c:v>
                </c:pt>
                <c:pt idx="47">
                  <c:v>39356</c:v>
                </c:pt>
                <c:pt idx="48">
                  <c:v>39448</c:v>
                </c:pt>
                <c:pt idx="49">
                  <c:v>39539</c:v>
                </c:pt>
                <c:pt idx="50">
                  <c:v>39630</c:v>
                </c:pt>
                <c:pt idx="51">
                  <c:v>39722</c:v>
                </c:pt>
                <c:pt idx="52">
                  <c:v>39814</c:v>
                </c:pt>
                <c:pt idx="53">
                  <c:v>39904</c:v>
                </c:pt>
                <c:pt idx="54">
                  <c:v>39995</c:v>
                </c:pt>
                <c:pt idx="55">
                  <c:v>40087</c:v>
                </c:pt>
                <c:pt idx="56">
                  <c:v>40179</c:v>
                </c:pt>
                <c:pt idx="57">
                  <c:v>40269</c:v>
                </c:pt>
                <c:pt idx="58">
                  <c:v>40360</c:v>
                </c:pt>
                <c:pt idx="59">
                  <c:v>40452</c:v>
                </c:pt>
                <c:pt idx="60">
                  <c:v>40544</c:v>
                </c:pt>
                <c:pt idx="61">
                  <c:v>40634</c:v>
                </c:pt>
                <c:pt idx="62">
                  <c:v>40725</c:v>
                </c:pt>
                <c:pt idx="63">
                  <c:v>40817</c:v>
                </c:pt>
                <c:pt idx="64">
                  <c:v>40909</c:v>
                </c:pt>
                <c:pt idx="65">
                  <c:v>41000</c:v>
                </c:pt>
                <c:pt idx="66">
                  <c:v>41091</c:v>
                </c:pt>
                <c:pt idx="67">
                  <c:v>41183</c:v>
                </c:pt>
                <c:pt idx="68">
                  <c:v>41275</c:v>
                </c:pt>
                <c:pt idx="69">
                  <c:v>41365</c:v>
                </c:pt>
                <c:pt idx="70">
                  <c:v>41456</c:v>
                </c:pt>
                <c:pt idx="71">
                  <c:v>41548</c:v>
                </c:pt>
                <c:pt idx="72">
                  <c:v>41640</c:v>
                </c:pt>
                <c:pt idx="73">
                  <c:v>41730</c:v>
                </c:pt>
                <c:pt idx="74">
                  <c:v>41821</c:v>
                </c:pt>
                <c:pt idx="75">
                  <c:v>41913</c:v>
                </c:pt>
                <c:pt idx="76">
                  <c:v>42005</c:v>
                </c:pt>
                <c:pt idx="77">
                  <c:v>42095</c:v>
                </c:pt>
                <c:pt idx="78">
                  <c:v>42186</c:v>
                </c:pt>
                <c:pt idx="79">
                  <c:v>42278</c:v>
                </c:pt>
                <c:pt idx="80">
                  <c:v>42370</c:v>
                </c:pt>
                <c:pt idx="81">
                  <c:v>42461</c:v>
                </c:pt>
                <c:pt idx="82">
                  <c:v>42552</c:v>
                </c:pt>
                <c:pt idx="83">
                  <c:v>42644</c:v>
                </c:pt>
                <c:pt idx="84">
                  <c:v>42736</c:v>
                </c:pt>
                <c:pt idx="85">
                  <c:v>42826</c:v>
                </c:pt>
                <c:pt idx="86">
                  <c:v>42917</c:v>
                </c:pt>
                <c:pt idx="87">
                  <c:v>43009</c:v>
                </c:pt>
                <c:pt idx="88">
                  <c:v>43101</c:v>
                </c:pt>
                <c:pt idx="89">
                  <c:v>43191</c:v>
                </c:pt>
                <c:pt idx="90">
                  <c:v>43282</c:v>
                </c:pt>
                <c:pt idx="91">
                  <c:v>43374</c:v>
                </c:pt>
                <c:pt idx="92">
                  <c:v>43466</c:v>
                </c:pt>
                <c:pt idx="93">
                  <c:v>43556</c:v>
                </c:pt>
                <c:pt idx="94">
                  <c:v>43647</c:v>
                </c:pt>
                <c:pt idx="95">
                  <c:v>43739</c:v>
                </c:pt>
                <c:pt idx="96">
                  <c:v>43831</c:v>
                </c:pt>
                <c:pt idx="97">
                  <c:v>43922</c:v>
                </c:pt>
                <c:pt idx="98">
                  <c:v>44013</c:v>
                </c:pt>
                <c:pt idx="99">
                  <c:v>44105</c:v>
                </c:pt>
                <c:pt idx="100">
                  <c:v>44197</c:v>
                </c:pt>
                <c:pt idx="101">
                  <c:v>44287</c:v>
                </c:pt>
                <c:pt idx="102">
                  <c:v>44378</c:v>
                </c:pt>
                <c:pt idx="103">
                  <c:v>44470</c:v>
                </c:pt>
                <c:pt idx="104">
                  <c:v>44562</c:v>
                </c:pt>
                <c:pt idx="105">
                  <c:v>44652</c:v>
                </c:pt>
              </c:numCache>
            </c:numRef>
          </c:cat>
          <c:val>
            <c:numRef>
              <c:f>ISCOINTEGRATED!$G$16:$G$121</c:f>
              <c:numCache>
                <c:formatCode>0.0</c:formatCode>
                <c:ptCount val="106"/>
                <c:pt idx="0">
                  <c:v>110899</c:v>
                </c:pt>
                <c:pt idx="1">
                  <c:v>113427</c:v>
                </c:pt>
                <c:pt idx="2">
                  <c:v>116861</c:v>
                </c:pt>
                <c:pt idx="3">
                  <c:v>122759</c:v>
                </c:pt>
                <c:pt idx="4">
                  <c:v>119659</c:v>
                </c:pt>
                <c:pt idx="5">
                  <c:v>120224</c:v>
                </c:pt>
                <c:pt idx="6">
                  <c:v>119282</c:v>
                </c:pt>
                <c:pt idx="7">
                  <c:v>119244</c:v>
                </c:pt>
                <c:pt idx="8">
                  <c:v>119078</c:v>
                </c:pt>
                <c:pt idx="9">
                  <c:v>118897</c:v>
                </c:pt>
                <c:pt idx="10">
                  <c:v>119368</c:v>
                </c:pt>
                <c:pt idx="11">
                  <c:v>117666</c:v>
                </c:pt>
                <c:pt idx="12">
                  <c:v>117950</c:v>
                </c:pt>
                <c:pt idx="13">
                  <c:v>118127</c:v>
                </c:pt>
                <c:pt idx="14">
                  <c:v>119301</c:v>
                </c:pt>
                <c:pt idx="15">
                  <c:v>121311</c:v>
                </c:pt>
                <c:pt idx="16">
                  <c:v>121439</c:v>
                </c:pt>
                <c:pt idx="17">
                  <c:v>123093</c:v>
                </c:pt>
                <c:pt idx="18">
                  <c:v>125087</c:v>
                </c:pt>
                <c:pt idx="19">
                  <c:v>126257</c:v>
                </c:pt>
                <c:pt idx="20">
                  <c:v>126235</c:v>
                </c:pt>
                <c:pt idx="21">
                  <c:v>126890</c:v>
                </c:pt>
                <c:pt idx="22">
                  <c:v>122915</c:v>
                </c:pt>
                <c:pt idx="23">
                  <c:v>123882</c:v>
                </c:pt>
                <c:pt idx="24">
                  <c:v>126457</c:v>
                </c:pt>
                <c:pt idx="25">
                  <c:v>127792</c:v>
                </c:pt>
                <c:pt idx="26">
                  <c:v>126346</c:v>
                </c:pt>
                <c:pt idx="27">
                  <c:v>125845</c:v>
                </c:pt>
                <c:pt idx="28">
                  <c:v>126385</c:v>
                </c:pt>
                <c:pt idx="29">
                  <c:v>125199</c:v>
                </c:pt>
                <c:pt idx="30">
                  <c:v>125492</c:v>
                </c:pt>
                <c:pt idx="31">
                  <c:v>126554</c:v>
                </c:pt>
                <c:pt idx="32">
                  <c:v>127481</c:v>
                </c:pt>
                <c:pt idx="33">
                  <c:v>129113</c:v>
                </c:pt>
                <c:pt idx="34">
                  <c:v>131668</c:v>
                </c:pt>
                <c:pt idx="35">
                  <c:v>134910</c:v>
                </c:pt>
                <c:pt idx="36">
                  <c:v>134255</c:v>
                </c:pt>
                <c:pt idx="37">
                  <c:v>135298</c:v>
                </c:pt>
                <c:pt idx="38">
                  <c:v>137416</c:v>
                </c:pt>
                <c:pt idx="39">
                  <c:v>139408</c:v>
                </c:pt>
                <c:pt idx="40">
                  <c:v>140918</c:v>
                </c:pt>
                <c:pt idx="41">
                  <c:v>143104</c:v>
                </c:pt>
                <c:pt idx="42">
                  <c:v>144584</c:v>
                </c:pt>
                <c:pt idx="43">
                  <c:v>146671</c:v>
                </c:pt>
                <c:pt idx="44">
                  <c:v>149916</c:v>
                </c:pt>
                <c:pt idx="45">
                  <c:v>151883</c:v>
                </c:pt>
                <c:pt idx="46">
                  <c:v>152842</c:v>
                </c:pt>
                <c:pt idx="47">
                  <c:v>157284</c:v>
                </c:pt>
                <c:pt idx="48">
                  <c:v>160679</c:v>
                </c:pt>
                <c:pt idx="49">
                  <c:v>162514</c:v>
                </c:pt>
                <c:pt idx="50">
                  <c:v>165550</c:v>
                </c:pt>
                <c:pt idx="51">
                  <c:v>162886</c:v>
                </c:pt>
                <c:pt idx="52">
                  <c:v>164299</c:v>
                </c:pt>
                <c:pt idx="53">
                  <c:v>169014</c:v>
                </c:pt>
                <c:pt idx="54">
                  <c:v>172926</c:v>
                </c:pt>
                <c:pt idx="55">
                  <c:v>174170</c:v>
                </c:pt>
                <c:pt idx="56">
                  <c:v>176537</c:v>
                </c:pt>
                <c:pt idx="57">
                  <c:v>178218</c:v>
                </c:pt>
                <c:pt idx="58">
                  <c:v>182109</c:v>
                </c:pt>
                <c:pt idx="59">
                  <c:v>185966</c:v>
                </c:pt>
                <c:pt idx="60">
                  <c:v>187699</c:v>
                </c:pt>
                <c:pt idx="61">
                  <c:v>190212</c:v>
                </c:pt>
                <c:pt idx="62">
                  <c:v>189488</c:v>
                </c:pt>
                <c:pt idx="63">
                  <c:v>190477</c:v>
                </c:pt>
                <c:pt idx="64">
                  <c:v>193125</c:v>
                </c:pt>
                <c:pt idx="65">
                  <c:v>194617</c:v>
                </c:pt>
                <c:pt idx="66">
                  <c:v>197195</c:v>
                </c:pt>
                <c:pt idx="67">
                  <c:v>199345</c:v>
                </c:pt>
                <c:pt idx="68">
                  <c:v>200312</c:v>
                </c:pt>
                <c:pt idx="69">
                  <c:v>202908</c:v>
                </c:pt>
                <c:pt idx="70">
                  <c:v>204254</c:v>
                </c:pt>
                <c:pt idx="71">
                  <c:v>204060</c:v>
                </c:pt>
                <c:pt idx="72">
                  <c:v>207390</c:v>
                </c:pt>
                <c:pt idx="73">
                  <c:v>206268</c:v>
                </c:pt>
                <c:pt idx="74">
                  <c:v>206575</c:v>
                </c:pt>
                <c:pt idx="75">
                  <c:v>209584</c:v>
                </c:pt>
                <c:pt idx="76">
                  <c:v>206003</c:v>
                </c:pt>
                <c:pt idx="77">
                  <c:v>202079</c:v>
                </c:pt>
                <c:pt idx="78">
                  <c:v>198448</c:v>
                </c:pt>
                <c:pt idx="79">
                  <c:v>196912</c:v>
                </c:pt>
                <c:pt idx="80">
                  <c:v>194431</c:v>
                </c:pt>
                <c:pt idx="81">
                  <c:v>193295</c:v>
                </c:pt>
                <c:pt idx="82">
                  <c:v>192681</c:v>
                </c:pt>
                <c:pt idx="83">
                  <c:v>191993</c:v>
                </c:pt>
                <c:pt idx="84">
                  <c:v>193424</c:v>
                </c:pt>
                <c:pt idx="85">
                  <c:v>196608</c:v>
                </c:pt>
                <c:pt idx="86">
                  <c:v>198577</c:v>
                </c:pt>
                <c:pt idx="87">
                  <c:v>198797</c:v>
                </c:pt>
                <c:pt idx="88">
                  <c:v>200553</c:v>
                </c:pt>
                <c:pt idx="89">
                  <c:v>201053</c:v>
                </c:pt>
                <c:pt idx="90">
                  <c:v>202323</c:v>
                </c:pt>
                <c:pt idx="91">
                  <c:v>202195</c:v>
                </c:pt>
                <c:pt idx="92">
                  <c:v>205674</c:v>
                </c:pt>
                <c:pt idx="93">
                  <c:v>206556</c:v>
                </c:pt>
                <c:pt idx="94">
                  <c:v>207474</c:v>
                </c:pt>
                <c:pt idx="95">
                  <c:v>207375</c:v>
                </c:pt>
                <c:pt idx="96">
                  <c:v>204776</c:v>
                </c:pt>
                <c:pt idx="97">
                  <c:v>181601</c:v>
                </c:pt>
                <c:pt idx="98">
                  <c:v>194704</c:v>
                </c:pt>
                <c:pt idx="99">
                  <c:v>200720</c:v>
                </c:pt>
                <c:pt idx="100">
                  <c:v>201441</c:v>
                </c:pt>
                <c:pt idx="101">
                  <c:v>200796</c:v>
                </c:pt>
                <c:pt idx="102">
                  <c:v>202890</c:v>
                </c:pt>
                <c:pt idx="103">
                  <c:v>204883</c:v>
                </c:pt>
                <c:pt idx="104">
                  <c:v>205962</c:v>
                </c:pt>
                <c:pt idx="105">
                  <c:v>211400</c:v>
                </c:pt>
              </c:numCache>
            </c:numRef>
          </c:val>
          <c:smooth val="0"/>
          <c:extLst>
            <c:ext xmlns:c16="http://schemas.microsoft.com/office/drawing/2014/chart" uri="{C3380CC4-5D6E-409C-BE32-E72D297353CC}">
              <c16:uniqueId val="{00000001-5C44-4BC4-B9A2-E07E8B826D6D}"/>
            </c:ext>
          </c:extLst>
        </c:ser>
        <c:dLbls>
          <c:showLegendKey val="0"/>
          <c:showVal val="0"/>
          <c:showCatName val="0"/>
          <c:showSerName val="0"/>
          <c:showPercent val="0"/>
          <c:showBubbleSize val="0"/>
        </c:dLbls>
        <c:smooth val="0"/>
        <c:axId val="2040515792"/>
        <c:axId val="2040519952"/>
      </c:lineChart>
      <c:dateAx>
        <c:axId val="2040515792"/>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0519952"/>
        <c:crosses val="autoZero"/>
        <c:auto val="1"/>
        <c:lblOffset val="100"/>
        <c:baseTimeUnit val="months"/>
      </c:dateAx>
      <c:valAx>
        <c:axId val="204051995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051579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8740157499999996" l="0.511811024" r="0.511811024" t="0.78740157499999996" header="0.31496062000000002" footer="0.31496062000000002"/>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t-BR"/>
              <a:t>Residuals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spPr>
            <a:ln w="28575" cap="rnd">
              <a:solidFill>
                <a:schemeClr val="accent2"/>
              </a:solidFill>
              <a:round/>
            </a:ln>
            <a:effectLst/>
          </c:spPr>
          <c:marker>
            <c:symbol val="none"/>
          </c:marker>
          <c:cat>
            <c:strRef>
              <c:f>ISCOINTEGRATED!$E$15:$E$121</c:f>
              <c:strCache>
                <c:ptCount val="107"/>
                <c:pt idx="0">
                  <c:v>t</c:v>
                </c:pt>
                <c:pt idx="1">
                  <c:v>1/1/1996</c:v>
                </c:pt>
                <c:pt idx="2">
                  <c:v>4/1/1996</c:v>
                </c:pt>
                <c:pt idx="3">
                  <c:v>7/1/1996</c:v>
                </c:pt>
                <c:pt idx="4">
                  <c:v>10/1/1996</c:v>
                </c:pt>
                <c:pt idx="5">
                  <c:v>1/1/1997</c:v>
                </c:pt>
                <c:pt idx="6">
                  <c:v>4/1/1997</c:v>
                </c:pt>
                <c:pt idx="7">
                  <c:v>7/1/1997</c:v>
                </c:pt>
                <c:pt idx="8">
                  <c:v>10/1/1997</c:v>
                </c:pt>
                <c:pt idx="9">
                  <c:v>1/1/1998</c:v>
                </c:pt>
                <c:pt idx="10">
                  <c:v>4/1/1998</c:v>
                </c:pt>
                <c:pt idx="11">
                  <c:v>7/1/1998</c:v>
                </c:pt>
                <c:pt idx="12">
                  <c:v>10/1/1998</c:v>
                </c:pt>
                <c:pt idx="13">
                  <c:v>1/1/1999</c:v>
                </c:pt>
                <c:pt idx="14">
                  <c:v>4/1/1999</c:v>
                </c:pt>
                <c:pt idx="15">
                  <c:v>7/1/1999</c:v>
                </c:pt>
                <c:pt idx="16">
                  <c:v>10/1/1999</c:v>
                </c:pt>
                <c:pt idx="17">
                  <c:v>1/1/2000</c:v>
                </c:pt>
                <c:pt idx="18">
                  <c:v>4/1/2000</c:v>
                </c:pt>
                <c:pt idx="19">
                  <c:v>7/1/2000</c:v>
                </c:pt>
                <c:pt idx="20">
                  <c:v>10/1/2000</c:v>
                </c:pt>
                <c:pt idx="21">
                  <c:v>1/1/2001</c:v>
                </c:pt>
                <c:pt idx="22">
                  <c:v>4/1/2001</c:v>
                </c:pt>
                <c:pt idx="23">
                  <c:v>7/1/2001</c:v>
                </c:pt>
                <c:pt idx="24">
                  <c:v>10/1/2001</c:v>
                </c:pt>
                <c:pt idx="25">
                  <c:v>1/1/2002</c:v>
                </c:pt>
                <c:pt idx="26">
                  <c:v>4/1/2002</c:v>
                </c:pt>
                <c:pt idx="27">
                  <c:v>7/1/2002</c:v>
                </c:pt>
                <c:pt idx="28">
                  <c:v>10/1/2002</c:v>
                </c:pt>
                <c:pt idx="29">
                  <c:v>1/1/2003</c:v>
                </c:pt>
                <c:pt idx="30">
                  <c:v>4/1/2003</c:v>
                </c:pt>
                <c:pt idx="31">
                  <c:v>7/1/2003</c:v>
                </c:pt>
                <c:pt idx="32">
                  <c:v>10/1/2003</c:v>
                </c:pt>
                <c:pt idx="33">
                  <c:v>1/1/2004</c:v>
                </c:pt>
                <c:pt idx="34">
                  <c:v>4/1/2004</c:v>
                </c:pt>
                <c:pt idx="35">
                  <c:v>7/1/2004</c:v>
                </c:pt>
                <c:pt idx="36">
                  <c:v>10/1/2004</c:v>
                </c:pt>
                <c:pt idx="37">
                  <c:v>1/1/2005</c:v>
                </c:pt>
                <c:pt idx="38">
                  <c:v>4/1/2005</c:v>
                </c:pt>
                <c:pt idx="39">
                  <c:v>7/1/2005</c:v>
                </c:pt>
                <c:pt idx="40">
                  <c:v>10/1/2005</c:v>
                </c:pt>
                <c:pt idx="41">
                  <c:v>1/1/2006</c:v>
                </c:pt>
                <c:pt idx="42">
                  <c:v>4/1/2006</c:v>
                </c:pt>
                <c:pt idx="43">
                  <c:v>7/1/2006</c:v>
                </c:pt>
                <c:pt idx="44">
                  <c:v>10/1/2006</c:v>
                </c:pt>
                <c:pt idx="45">
                  <c:v>1/1/2007</c:v>
                </c:pt>
                <c:pt idx="46">
                  <c:v>4/1/2007</c:v>
                </c:pt>
                <c:pt idx="47">
                  <c:v>7/1/2007</c:v>
                </c:pt>
                <c:pt idx="48">
                  <c:v>10/1/2007</c:v>
                </c:pt>
                <c:pt idx="49">
                  <c:v>1/1/2008</c:v>
                </c:pt>
                <c:pt idx="50">
                  <c:v>4/1/2008</c:v>
                </c:pt>
                <c:pt idx="51">
                  <c:v>7/1/2008</c:v>
                </c:pt>
                <c:pt idx="52">
                  <c:v>10/1/2008</c:v>
                </c:pt>
                <c:pt idx="53">
                  <c:v>1/1/2009</c:v>
                </c:pt>
                <c:pt idx="54">
                  <c:v>4/1/2009</c:v>
                </c:pt>
                <c:pt idx="55">
                  <c:v>7/1/2009</c:v>
                </c:pt>
                <c:pt idx="56">
                  <c:v>10/1/2009</c:v>
                </c:pt>
                <c:pt idx="57">
                  <c:v>1/1/2010</c:v>
                </c:pt>
                <c:pt idx="58">
                  <c:v>4/1/2010</c:v>
                </c:pt>
                <c:pt idx="59">
                  <c:v>7/1/2010</c:v>
                </c:pt>
                <c:pt idx="60">
                  <c:v>10/1/2010</c:v>
                </c:pt>
                <c:pt idx="61">
                  <c:v>1/1/2011</c:v>
                </c:pt>
                <c:pt idx="62">
                  <c:v>4/1/2011</c:v>
                </c:pt>
                <c:pt idx="63">
                  <c:v>7/1/2011</c:v>
                </c:pt>
                <c:pt idx="64">
                  <c:v>10/1/2011</c:v>
                </c:pt>
                <c:pt idx="65">
                  <c:v>1/1/2012</c:v>
                </c:pt>
                <c:pt idx="66">
                  <c:v>4/1/2012</c:v>
                </c:pt>
                <c:pt idx="67">
                  <c:v>7/1/2012</c:v>
                </c:pt>
                <c:pt idx="68">
                  <c:v>10/1/2012</c:v>
                </c:pt>
                <c:pt idx="69">
                  <c:v>1/1/2013</c:v>
                </c:pt>
                <c:pt idx="70">
                  <c:v>4/1/2013</c:v>
                </c:pt>
                <c:pt idx="71">
                  <c:v>7/1/2013</c:v>
                </c:pt>
                <c:pt idx="72">
                  <c:v>10/1/2013</c:v>
                </c:pt>
                <c:pt idx="73">
                  <c:v>1/1/2014</c:v>
                </c:pt>
                <c:pt idx="74">
                  <c:v>4/1/2014</c:v>
                </c:pt>
                <c:pt idx="75">
                  <c:v>7/1/2014</c:v>
                </c:pt>
                <c:pt idx="76">
                  <c:v>10/1/2014</c:v>
                </c:pt>
                <c:pt idx="77">
                  <c:v>1/1/2015</c:v>
                </c:pt>
                <c:pt idx="78">
                  <c:v>4/1/2015</c:v>
                </c:pt>
                <c:pt idx="79">
                  <c:v>7/1/2015</c:v>
                </c:pt>
                <c:pt idx="80">
                  <c:v>10/1/2015</c:v>
                </c:pt>
                <c:pt idx="81">
                  <c:v>1/1/2016</c:v>
                </c:pt>
                <c:pt idx="82">
                  <c:v>4/1/2016</c:v>
                </c:pt>
                <c:pt idx="83">
                  <c:v>7/1/2016</c:v>
                </c:pt>
                <c:pt idx="84">
                  <c:v>10/1/2016</c:v>
                </c:pt>
                <c:pt idx="85">
                  <c:v>1/1/2017</c:v>
                </c:pt>
                <c:pt idx="86">
                  <c:v>4/1/2017</c:v>
                </c:pt>
                <c:pt idx="87">
                  <c:v>7/1/2017</c:v>
                </c:pt>
                <c:pt idx="88">
                  <c:v>10/1/2017</c:v>
                </c:pt>
                <c:pt idx="89">
                  <c:v>1/1/2018</c:v>
                </c:pt>
                <c:pt idx="90">
                  <c:v>4/1/2018</c:v>
                </c:pt>
                <c:pt idx="91">
                  <c:v>7/1/2018</c:v>
                </c:pt>
                <c:pt idx="92">
                  <c:v>10/1/2018</c:v>
                </c:pt>
                <c:pt idx="93">
                  <c:v>1/1/2019</c:v>
                </c:pt>
                <c:pt idx="94">
                  <c:v>4/1/2019</c:v>
                </c:pt>
                <c:pt idx="95">
                  <c:v>7/1/2019</c:v>
                </c:pt>
                <c:pt idx="96">
                  <c:v>10/1/2019</c:v>
                </c:pt>
                <c:pt idx="97">
                  <c:v>1/1/2020</c:v>
                </c:pt>
                <c:pt idx="98">
                  <c:v>4/1/2020</c:v>
                </c:pt>
                <c:pt idx="99">
                  <c:v>7/1/2020</c:v>
                </c:pt>
                <c:pt idx="100">
                  <c:v>10/1/2020</c:v>
                </c:pt>
                <c:pt idx="101">
                  <c:v>1/1/2021</c:v>
                </c:pt>
                <c:pt idx="102">
                  <c:v>4/1/2021</c:v>
                </c:pt>
                <c:pt idx="103">
                  <c:v>7/1/2021</c:v>
                </c:pt>
                <c:pt idx="104">
                  <c:v>10/1/2021</c:v>
                </c:pt>
                <c:pt idx="105">
                  <c:v>1/1/2022</c:v>
                </c:pt>
                <c:pt idx="106">
                  <c:v>4/1/2022</c:v>
                </c:pt>
              </c:strCache>
            </c:strRef>
          </c:cat>
          <c:val>
            <c:numRef>
              <c:f>ISCOINTEGRATED!$H$15:$H$121</c:f>
              <c:numCache>
                <c:formatCode>0</c:formatCode>
                <c:ptCount val="107"/>
                <c:pt idx="0" formatCode="General">
                  <c:v>0</c:v>
                </c:pt>
                <c:pt idx="1">
                  <c:v>-8161.4722316855041</c:v>
                </c:pt>
                <c:pt idx="2">
                  <c:v>-9503.2918967638107</c:v>
                </c:pt>
                <c:pt idx="3">
                  <c:v>-7381.4551601652638</c:v>
                </c:pt>
                <c:pt idx="4">
                  <c:v>-16888.493286997429</c:v>
                </c:pt>
                <c:pt idx="5">
                  <c:v>-10931.41695719416</c:v>
                </c:pt>
                <c:pt idx="6">
                  <c:v>-10647.492159238929</c:v>
                </c:pt>
                <c:pt idx="7">
                  <c:v>-7097.9296099890489</c:v>
                </c:pt>
                <c:pt idx="8">
                  <c:v>-5485.0873840108106</c:v>
                </c:pt>
                <c:pt idx="9">
                  <c:v>-8990.3555547374708</c:v>
                </c:pt>
                <c:pt idx="10">
                  <c:v>-5640.9491625779774</c:v>
                </c:pt>
                <c:pt idx="11">
                  <c:v>-6250.7304372029321</c:v>
                </c:pt>
                <c:pt idx="12">
                  <c:v>-6191.3233683883736</c:v>
                </c:pt>
                <c:pt idx="13">
                  <c:v>-6224.8284256993793</c:v>
                </c:pt>
                <c:pt idx="14">
                  <c:v>-5504.9882677558926</c:v>
                </c:pt>
                <c:pt idx="15">
                  <c:v>-7002.8507229781535</c:v>
                </c:pt>
                <c:pt idx="16">
                  <c:v>-6986.2421497215691</c:v>
                </c:pt>
                <c:pt idx="17">
                  <c:v>-5140.1317530166707</c:v>
                </c:pt>
                <c:pt idx="18">
                  <c:v>-4625.5802205955843</c:v>
                </c:pt>
                <c:pt idx="19">
                  <c:v>-4961.9854469271377</c:v>
                </c:pt>
                <c:pt idx="20">
                  <c:v>-4087.6013520464185</c:v>
                </c:pt>
                <c:pt idx="21">
                  <c:v>-3227.7453264800715</c:v>
                </c:pt>
                <c:pt idx="22">
                  <c:v>-5121.867905841762</c:v>
                </c:pt>
                <c:pt idx="23">
                  <c:v>-973.1087410133332</c:v>
                </c:pt>
                <c:pt idx="24">
                  <c:v>-2762.4622284068319</c:v>
                </c:pt>
                <c:pt idx="25">
                  <c:v>-1364.9288571950165</c:v>
                </c:pt>
                <c:pt idx="26">
                  <c:v>-2409.9649540619284</c:v>
                </c:pt>
                <c:pt idx="27">
                  <c:v>2228.662908162456</c:v>
                </c:pt>
                <c:pt idx="28">
                  <c:v>4968.7933085596887</c:v>
                </c:pt>
                <c:pt idx="29">
                  <c:v>3327.5090446584509</c:v>
                </c:pt>
                <c:pt idx="30">
                  <c:v>3161.1111501896521</c:v>
                </c:pt>
                <c:pt idx="31">
                  <c:v>4699.8013551469485</c:v>
                </c:pt>
                <c:pt idx="32">
                  <c:v>5461.8423028078978</c:v>
                </c:pt>
                <c:pt idx="33">
                  <c:v>7150.954316444142</c:v>
                </c:pt>
                <c:pt idx="34">
                  <c:v>10900.361874431575</c:v>
                </c:pt>
                <c:pt idx="35">
                  <c:v>10278.127996158233</c:v>
                </c:pt>
                <c:pt idx="36">
                  <c:v>7726.7991376994178</c:v>
                </c:pt>
                <c:pt idx="37">
                  <c:v>10422.921717061108</c:v>
                </c:pt>
                <c:pt idx="38">
                  <c:v>11720.883777711162</c:v>
                </c:pt>
                <c:pt idx="39">
                  <c:v>7455.8354981874872</c:v>
                </c:pt>
                <c:pt idx="40">
                  <c:v>7653.0535469074384</c:v>
                </c:pt>
                <c:pt idx="41">
                  <c:v>9564.4808830355178</c:v>
                </c:pt>
                <c:pt idx="42">
                  <c:v>7332.2412517613266</c:v>
                </c:pt>
                <c:pt idx="43">
                  <c:v>9130.017713661684</c:v>
                </c:pt>
                <c:pt idx="44">
                  <c:v>9224.630197436054</c:v>
                </c:pt>
                <c:pt idx="45">
                  <c:v>9682.3664264000545</c:v>
                </c:pt>
                <c:pt idx="46">
                  <c:v>11077.375413263566</c:v>
                </c:pt>
                <c:pt idx="47">
                  <c:v>12249.515026076057</c:v>
                </c:pt>
                <c:pt idx="48">
                  <c:v>10388.221136725653</c:v>
                </c:pt>
                <c:pt idx="49">
                  <c:v>9073.2117368282052</c:v>
                </c:pt>
                <c:pt idx="50">
                  <c:v>12073.356877089798</c:v>
                </c:pt>
                <c:pt idx="51">
                  <c:v>12243.225348934066</c:v>
                </c:pt>
                <c:pt idx="52">
                  <c:v>5656.4277175134048</c:v>
                </c:pt>
                <c:pt idx="53">
                  <c:v>209.08389363854076</c:v>
                </c:pt>
                <c:pt idx="54">
                  <c:v>-1427.2870402396657</c:v>
                </c:pt>
                <c:pt idx="55">
                  <c:v>-480.41304094623774</c:v>
                </c:pt>
                <c:pt idx="56">
                  <c:v>4655.9098770294804</c:v>
                </c:pt>
                <c:pt idx="57">
                  <c:v>7344.2638535957667</c:v>
                </c:pt>
                <c:pt idx="58">
                  <c:v>8491.4011728217592</c:v>
                </c:pt>
                <c:pt idx="59">
                  <c:v>5914.8195601557964</c:v>
                </c:pt>
                <c:pt idx="60">
                  <c:v>4788.8336233650334</c:v>
                </c:pt>
                <c:pt idx="61">
                  <c:v>6626.7657912524883</c:v>
                </c:pt>
                <c:pt idx="62">
                  <c:v>6070.6206890603062</c:v>
                </c:pt>
                <c:pt idx="63">
                  <c:v>6430.2462576982798</c:v>
                </c:pt>
                <c:pt idx="64">
                  <c:v>7564.0367447384633</c:v>
                </c:pt>
                <c:pt idx="65">
                  <c:v>250.8205765709863</c:v>
                </c:pt>
                <c:pt idx="66">
                  <c:v>3361.8573881624034</c:v>
                </c:pt>
                <c:pt idx="67">
                  <c:v>5051.4558467969764</c:v>
                </c:pt>
                <c:pt idx="68">
                  <c:v>2293.4351664495189</c:v>
                </c:pt>
                <c:pt idx="69">
                  <c:v>2683.0816790560493</c:v>
                </c:pt>
                <c:pt idx="70">
                  <c:v>3677.0706622272264</c:v>
                </c:pt>
                <c:pt idx="71">
                  <c:v>3277.6065525771701</c:v>
                </c:pt>
                <c:pt idx="72">
                  <c:v>3929.0642325713416</c:v>
                </c:pt>
                <c:pt idx="73">
                  <c:v>2274.3112718471675</c:v>
                </c:pt>
                <c:pt idx="74">
                  <c:v>-957.03142426919658</c:v>
                </c:pt>
                <c:pt idx="75">
                  <c:v>-1448.704144672316</c:v>
                </c:pt>
                <c:pt idx="76">
                  <c:v>-3823.4214596329839</c:v>
                </c:pt>
                <c:pt idx="77">
                  <c:v>-1591.4474799472955</c:v>
                </c:pt>
                <c:pt idx="78">
                  <c:v>-3741.5818289318122</c:v>
                </c:pt>
                <c:pt idx="79">
                  <c:v>-3734.0259729590034</c:v>
                </c:pt>
                <c:pt idx="80">
                  <c:v>-4059.3507334177848</c:v>
                </c:pt>
                <c:pt idx="81">
                  <c:v>-5232.1780320493854</c:v>
                </c:pt>
                <c:pt idx="82">
                  <c:v>-2676.1578028053045</c:v>
                </c:pt>
                <c:pt idx="83">
                  <c:v>-3317.8123619991238</c:v>
                </c:pt>
                <c:pt idx="84">
                  <c:v>-3042.4057442879421</c:v>
                </c:pt>
                <c:pt idx="85">
                  <c:v>-1761.3590436261729</c:v>
                </c:pt>
                <c:pt idx="86">
                  <c:v>-3692.6129255918786</c:v>
                </c:pt>
                <c:pt idx="87">
                  <c:v>-5363.2272137798136</c:v>
                </c:pt>
                <c:pt idx="88">
                  <c:v>-4461.787469443283</c:v>
                </c:pt>
                <c:pt idx="89">
                  <c:v>-4898.0229646479711</c:v>
                </c:pt>
                <c:pt idx="90">
                  <c:v>-5707.8417275194661</c:v>
                </c:pt>
                <c:pt idx="91">
                  <c:v>-4312.6213852131041</c:v>
                </c:pt>
                <c:pt idx="92">
                  <c:v>-5174.7317819179734</c:v>
                </c:pt>
                <c:pt idx="93">
                  <c:v>-8517.9187339778873</c:v>
                </c:pt>
                <c:pt idx="94">
                  <c:v>-7997.7830316831823</c:v>
                </c:pt>
                <c:pt idx="95">
                  <c:v>-8880.8662803152693</c:v>
                </c:pt>
                <c:pt idx="96">
                  <c:v>-7692.014165266708</c:v>
                </c:pt>
                <c:pt idx="97">
                  <c:v>-11426.068235860672</c:v>
                </c:pt>
                <c:pt idx="98">
                  <c:v>-7509.8685767667484</c:v>
                </c:pt>
                <c:pt idx="99">
                  <c:v>-3207.2550765771884</c:v>
                </c:pt>
                <c:pt idx="100">
                  <c:v>-1879.0664314470487</c:v>
                </c:pt>
                <c:pt idx="101">
                  <c:v>375.24291249224916</c:v>
                </c:pt>
                <c:pt idx="102">
                  <c:v>375.24911659647478</c:v>
                </c:pt>
                <c:pt idx="103">
                  <c:v>-2191.3198623093776</c:v>
                </c:pt>
                <c:pt idx="104">
                  <c:v>-2464.4134511151351</c:v>
                </c:pt>
                <c:pt idx="105">
                  <c:v>-462.67034139187308</c:v>
                </c:pt>
                <c:pt idx="106">
                  <c:v>-3799.3552063822863</c:v>
                </c:pt>
              </c:numCache>
            </c:numRef>
          </c:val>
          <c:smooth val="0"/>
          <c:extLst>
            <c:ext xmlns:c16="http://schemas.microsoft.com/office/drawing/2014/chart" uri="{C3380CC4-5D6E-409C-BE32-E72D297353CC}">
              <c16:uniqueId val="{00000000-E60E-4434-9639-70E3DC7A460F}"/>
            </c:ext>
          </c:extLst>
        </c:ser>
        <c:dLbls>
          <c:showLegendKey val="0"/>
          <c:showVal val="0"/>
          <c:showCatName val="0"/>
          <c:showSerName val="0"/>
          <c:showPercent val="0"/>
          <c:showBubbleSize val="0"/>
        </c:dLbls>
        <c:smooth val="0"/>
        <c:axId val="2040515792"/>
        <c:axId val="2040519952"/>
      </c:lineChart>
      <c:catAx>
        <c:axId val="20405157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0519952"/>
        <c:crosses val="autoZero"/>
        <c:auto val="1"/>
        <c:lblAlgn val="ctr"/>
        <c:lblOffset val="100"/>
        <c:noMultiLvlLbl val="1"/>
      </c:catAx>
      <c:valAx>
        <c:axId val="20405199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05157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8740157499999996" l="0.511811024" r="0.511811024" t="0.78740157499999996" header="0.31496062000000002" footer="0.31496062000000002"/>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t-BR"/>
              <a:t>Original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ISCOINTEGRATED!$J$15</c:f>
              <c:strCache>
                <c:ptCount val="1"/>
                <c:pt idx="0">
                  <c:v>Selic</c:v>
                </c:pt>
              </c:strCache>
            </c:strRef>
          </c:tx>
          <c:spPr>
            <a:ln w="28575" cap="rnd">
              <a:solidFill>
                <a:schemeClr val="accent1"/>
              </a:solidFill>
              <a:round/>
            </a:ln>
            <a:effectLst/>
          </c:spPr>
          <c:marker>
            <c:symbol val="none"/>
          </c:marker>
          <c:cat>
            <c:numRef>
              <c:f>ISCOINTEGRATED!$E$16:$E$151</c:f>
              <c:numCache>
                <c:formatCode>m/d/yyyy</c:formatCode>
                <c:ptCount val="136"/>
                <c:pt idx="0">
                  <c:v>35065</c:v>
                </c:pt>
                <c:pt idx="1">
                  <c:v>35156</c:v>
                </c:pt>
                <c:pt idx="2">
                  <c:v>35247</c:v>
                </c:pt>
                <c:pt idx="3">
                  <c:v>35339</c:v>
                </c:pt>
                <c:pt idx="4">
                  <c:v>35431</c:v>
                </c:pt>
                <c:pt idx="5">
                  <c:v>35521</c:v>
                </c:pt>
                <c:pt idx="6">
                  <c:v>35612</c:v>
                </c:pt>
                <c:pt idx="7">
                  <c:v>35704</c:v>
                </c:pt>
                <c:pt idx="8">
                  <c:v>35796</c:v>
                </c:pt>
                <c:pt idx="9">
                  <c:v>35886</c:v>
                </c:pt>
                <c:pt idx="10">
                  <c:v>35977</c:v>
                </c:pt>
                <c:pt idx="11">
                  <c:v>36069</c:v>
                </c:pt>
                <c:pt idx="12">
                  <c:v>36161</c:v>
                </c:pt>
                <c:pt idx="13">
                  <c:v>36251</c:v>
                </c:pt>
                <c:pt idx="14">
                  <c:v>36342</c:v>
                </c:pt>
                <c:pt idx="15">
                  <c:v>36434</c:v>
                </c:pt>
                <c:pt idx="16">
                  <c:v>36526</c:v>
                </c:pt>
                <c:pt idx="17">
                  <c:v>36617</c:v>
                </c:pt>
                <c:pt idx="18">
                  <c:v>36708</c:v>
                </c:pt>
                <c:pt idx="19">
                  <c:v>36800</c:v>
                </c:pt>
                <c:pt idx="20">
                  <c:v>36892</c:v>
                </c:pt>
                <c:pt idx="21">
                  <c:v>36982</c:v>
                </c:pt>
                <c:pt idx="22">
                  <c:v>37073</c:v>
                </c:pt>
                <c:pt idx="23">
                  <c:v>37165</c:v>
                </c:pt>
                <c:pt idx="24">
                  <c:v>37257</c:v>
                </c:pt>
                <c:pt idx="25">
                  <c:v>37347</c:v>
                </c:pt>
                <c:pt idx="26">
                  <c:v>37438</c:v>
                </c:pt>
                <c:pt idx="27">
                  <c:v>37530</c:v>
                </c:pt>
                <c:pt idx="28">
                  <c:v>37622</c:v>
                </c:pt>
                <c:pt idx="29">
                  <c:v>37712</c:v>
                </c:pt>
                <c:pt idx="30">
                  <c:v>37803</c:v>
                </c:pt>
                <c:pt idx="31">
                  <c:v>37895</c:v>
                </c:pt>
                <c:pt idx="32">
                  <c:v>37987</c:v>
                </c:pt>
                <c:pt idx="33">
                  <c:v>38078</c:v>
                </c:pt>
                <c:pt idx="34">
                  <c:v>38169</c:v>
                </c:pt>
                <c:pt idx="35">
                  <c:v>38261</c:v>
                </c:pt>
                <c:pt idx="36">
                  <c:v>38353</c:v>
                </c:pt>
                <c:pt idx="37">
                  <c:v>38443</c:v>
                </c:pt>
                <c:pt idx="38">
                  <c:v>38534</c:v>
                </c:pt>
                <c:pt idx="39">
                  <c:v>38626</c:v>
                </c:pt>
                <c:pt idx="40">
                  <c:v>38718</c:v>
                </c:pt>
                <c:pt idx="41">
                  <c:v>38808</c:v>
                </c:pt>
                <c:pt idx="42">
                  <c:v>38899</c:v>
                </c:pt>
                <c:pt idx="43">
                  <c:v>38991</c:v>
                </c:pt>
                <c:pt idx="44">
                  <c:v>39083</c:v>
                </c:pt>
                <c:pt idx="45">
                  <c:v>39173</c:v>
                </c:pt>
                <c:pt idx="46">
                  <c:v>39264</c:v>
                </c:pt>
                <c:pt idx="47">
                  <c:v>39356</c:v>
                </c:pt>
                <c:pt idx="48">
                  <c:v>39448</c:v>
                </c:pt>
                <c:pt idx="49">
                  <c:v>39539</c:v>
                </c:pt>
                <c:pt idx="50">
                  <c:v>39630</c:v>
                </c:pt>
                <c:pt idx="51">
                  <c:v>39722</c:v>
                </c:pt>
                <c:pt idx="52">
                  <c:v>39814</c:v>
                </c:pt>
                <c:pt idx="53">
                  <c:v>39904</c:v>
                </c:pt>
                <c:pt idx="54">
                  <c:v>39995</c:v>
                </c:pt>
                <c:pt idx="55">
                  <c:v>40087</c:v>
                </c:pt>
                <c:pt idx="56">
                  <c:v>40179</c:v>
                </c:pt>
                <c:pt idx="57">
                  <c:v>40269</c:v>
                </c:pt>
                <c:pt idx="58">
                  <c:v>40360</c:v>
                </c:pt>
                <c:pt idx="59">
                  <c:v>40452</c:v>
                </c:pt>
                <c:pt idx="60">
                  <c:v>40544</c:v>
                </c:pt>
                <c:pt idx="61">
                  <c:v>40634</c:v>
                </c:pt>
                <c:pt idx="62">
                  <c:v>40725</c:v>
                </c:pt>
                <c:pt idx="63">
                  <c:v>40817</c:v>
                </c:pt>
                <c:pt idx="64">
                  <c:v>40909</c:v>
                </c:pt>
                <c:pt idx="65">
                  <c:v>41000</c:v>
                </c:pt>
                <c:pt idx="66">
                  <c:v>41091</c:v>
                </c:pt>
                <c:pt idx="67">
                  <c:v>41183</c:v>
                </c:pt>
                <c:pt idx="68">
                  <c:v>41275</c:v>
                </c:pt>
                <c:pt idx="69">
                  <c:v>41365</c:v>
                </c:pt>
                <c:pt idx="70">
                  <c:v>41456</c:v>
                </c:pt>
                <c:pt idx="71">
                  <c:v>41548</c:v>
                </c:pt>
                <c:pt idx="72">
                  <c:v>41640</c:v>
                </c:pt>
                <c:pt idx="73">
                  <c:v>41730</c:v>
                </c:pt>
                <c:pt idx="74">
                  <c:v>41821</c:v>
                </c:pt>
                <c:pt idx="75">
                  <c:v>41913</c:v>
                </c:pt>
                <c:pt idx="76">
                  <c:v>42005</c:v>
                </c:pt>
                <c:pt idx="77">
                  <c:v>42095</c:v>
                </c:pt>
                <c:pt idx="78">
                  <c:v>42186</c:v>
                </c:pt>
                <c:pt idx="79">
                  <c:v>42278</c:v>
                </c:pt>
                <c:pt idx="80">
                  <c:v>42370</c:v>
                </c:pt>
                <c:pt idx="81">
                  <c:v>42461</c:v>
                </c:pt>
                <c:pt idx="82">
                  <c:v>42552</c:v>
                </c:pt>
                <c:pt idx="83">
                  <c:v>42644</c:v>
                </c:pt>
                <c:pt idx="84">
                  <c:v>42736</c:v>
                </c:pt>
                <c:pt idx="85">
                  <c:v>42826</c:v>
                </c:pt>
                <c:pt idx="86">
                  <c:v>42917</c:v>
                </c:pt>
                <c:pt idx="87">
                  <c:v>43009</c:v>
                </c:pt>
                <c:pt idx="88">
                  <c:v>43101</c:v>
                </c:pt>
                <c:pt idx="89">
                  <c:v>43191</c:v>
                </c:pt>
                <c:pt idx="90">
                  <c:v>43282</c:v>
                </c:pt>
                <c:pt idx="91">
                  <c:v>43374</c:v>
                </c:pt>
                <c:pt idx="92">
                  <c:v>43466</c:v>
                </c:pt>
                <c:pt idx="93">
                  <c:v>43556</c:v>
                </c:pt>
                <c:pt idx="94">
                  <c:v>43647</c:v>
                </c:pt>
                <c:pt idx="95">
                  <c:v>43739</c:v>
                </c:pt>
                <c:pt idx="96">
                  <c:v>43831</c:v>
                </c:pt>
                <c:pt idx="97">
                  <c:v>43922</c:v>
                </c:pt>
                <c:pt idx="98">
                  <c:v>44013</c:v>
                </c:pt>
                <c:pt idx="99">
                  <c:v>44105</c:v>
                </c:pt>
                <c:pt idx="100">
                  <c:v>44197</c:v>
                </c:pt>
                <c:pt idx="101">
                  <c:v>44287</c:v>
                </c:pt>
                <c:pt idx="102">
                  <c:v>44378</c:v>
                </c:pt>
                <c:pt idx="103">
                  <c:v>44470</c:v>
                </c:pt>
                <c:pt idx="104">
                  <c:v>44562</c:v>
                </c:pt>
                <c:pt idx="105">
                  <c:v>44652</c:v>
                </c:pt>
              </c:numCache>
            </c:numRef>
          </c:cat>
          <c:val>
            <c:numRef>
              <c:f>ISCOINTEGRATED!$J$16:$J$151</c:f>
              <c:numCache>
                <c:formatCode>0.0</c:formatCode>
                <c:ptCount val="136"/>
                <c:pt idx="0">
                  <c:v>11.62</c:v>
                </c:pt>
                <c:pt idx="1">
                  <c:v>11.74</c:v>
                </c:pt>
                <c:pt idx="2">
                  <c:v>11.92</c:v>
                </c:pt>
                <c:pt idx="3">
                  <c:v>12.1</c:v>
                </c:pt>
                <c:pt idx="4">
                  <c:v>12.25</c:v>
                </c:pt>
                <c:pt idx="5">
                  <c:v>12.42</c:v>
                </c:pt>
                <c:pt idx="6">
                  <c:v>11.91</c:v>
                </c:pt>
                <c:pt idx="7">
                  <c:v>11.7</c:v>
                </c:pt>
                <c:pt idx="8">
                  <c:v>11.4</c:v>
                </c:pt>
                <c:pt idx="9">
                  <c:v>10.9</c:v>
                </c:pt>
                <c:pt idx="10">
                  <c:v>10.7</c:v>
                </c:pt>
                <c:pt idx="11">
                  <c:v>10.4</c:v>
                </c:pt>
                <c:pt idx="12">
                  <c:v>9.82</c:v>
                </c:pt>
                <c:pt idx="13">
                  <c:v>9.35</c:v>
                </c:pt>
                <c:pt idx="14">
                  <c:v>8.8699999999999992</c:v>
                </c:pt>
                <c:pt idx="15">
                  <c:v>8.39</c:v>
                </c:pt>
                <c:pt idx="16">
                  <c:v>8.07</c:v>
                </c:pt>
                <c:pt idx="17">
                  <c:v>7.85</c:v>
                </c:pt>
                <c:pt idx="18">
                  <c:v>7.39</c:v>
                </c:pt>
                <c:pt idx="19">
                  <c:v>7.23</c:v>
                </c:pt>
                <c:pt idx="20">
                  <c:v>7.14</c:v>
                </c:pt>
                <c:pt idx="21">
                  <c:v>7.16</c:v>
                </c:pt>
                <c:pt idx="22">
                  <c:v>7.11</c:v>
                </c:pt>
                <c:pt idx="23">
                  <c:v>7.12</c:v>
                </c:pt>
                <c:pt idx="24">
                  <c:v>7.15</c:v>
                </c:pt>
                <c:pt idx="25">
                  <c:v>7.26</c:v>
                </c:pt>
                <c:pt idx="26">
                  <c:v>7.42</c:v>
                </c:pt>
                <c:pt idx="27">
                  <c:v>7.9</c:v>
                </c:pt>
                <c:pt idx="28">
                  <c:v>8.23</c:v>
                </c:pt>
                <c:pt idx="29">
                  <c:v>8.4499999999999993</c:v>
                </c:pt>
                <c:pt idx="30">
                  <c:v>8.9</c:v>
                </c:pt>
                <c:pt idx="31">
                  <c:v>9.25</c:v>
                </c:pt>
                <c:pt idx="32">
                  <c:v>9.4499999999999993</c:v>
                </c:pt>
                <c:pt idx="33">
                  <c:v>9.9</c:v>
                </c:pt>
                <c:pt idx="34">
                  <c:v>10.17</c:v>
                </c:pt>
                <c:pt idx="35">
                  <c:v>10.43</c:v>
                </c:pt>
                <c:pt idx="36">
                  <c:v>10.65</c:v>
                </c:pt>
                <c:pt idx="37">
                  <c:v>10.87</c:v>
                </c:pt>
                <c:pt idx="38">
                  <c:v>10.9</c:v>
                </c:pt>
                <c:pt idx="39">
                  <c:v>10.9</c:v>
                </c:pt>
                <c:pt idx="40">
                  <c:v>10.9</c:v>
                </c:pt>
                <c:pt idx="41">
                  <c:v>10.9</c:v>
                </c:pt>
                <c:pt idx="42">
                  <c:v>10.9</c:v>
                </c:pt>
                <c:pt idx="43">
                  <c:v>10.92</c:v>
                </c:pt>
                <c:pt idx="44">
                  <c:v>11.15</c:v>
                </c:pt>
                <c:pt idx="45">
                  <c:v>11.58</c:v>
                </c:pt>
                <c:pt idx="46">
                  <c:v>11.82</c:v>
                </c:pt>
                <c:pt idx="47">
                  <c:v>12.15</c:v>
                </c:pt>
                <c:pt idx="48">
                  <c:v>12.58</c:v>
                </c:pt>
                <c:pt idx="49">
                  <c:v>12.68</c:v>
                </c:pt>
                <c:pt idx="50">
                  <c:v>13.15</c:v>
                </c:pt>
                <c:pt idx="51">
                  <c:v>13.58</c:v>
                </c:pt>
                <c:pt idx="52">
                  <c:v>13.69</c:v>
                </c:pt>
                <c:pt idx="53">
                  <c:v>14.15</c:v>
                </c:pt>
                <c:pt idx="54">
                  <c:v>14.15</c:v>
                </c:pt>
                <c:pt idx="55">
                  <c:v>14.15</c:v>
                </c:pt>
                <c:pt idx="56">
                  <c:v>14.15</c:v>
                </c:pt>
                <c:pt idx="57">
                  <c:v>14.15</c:v>
                </c:pt>
                <c:pt idx="58">
                  <c:v>14.15</c:v>
                </c:pt>
                <c:pt idx="59">
                  <c:v>14.15</c:v>
                </c:pt>
                <c:pt idx="60">
                  <c:v>14.15</c:v>
                </c:pt>
                <c:pt idx="61">
                  <c:v>14.15</c:v>
                </c:pt>
                <c:pt idx="62">
                  <c:v>14.15</c:v>
                </c:pt>
                <c:pt idx="63">
                  <c:v>14.15</c:v>
                </c:pt>
                <c:pt idx="64">
                  <c:v>14.15</c:v>
                </c:pt>
                <c:pt idx="65">
                  <c:v>14.15</c:v>
                </c:pt>
                <c:pt idx="66">
                  <c:v>14.15</c:v>
                </c:pt>
                <c:pt idx="67">
                  <c:v>14.05</c:v>
                </c:pt>
                <c:pt idx="68">
                  <c:v>13.9</c:v>
                </c:pt>
                <c:pt idx="69">
                  <c:v>13.65</c:v>
                </c:pt>
                <c:pt idx="70">
                  <c:v>13.17</c:v>
                </c:pt>
                <c:pt idx="71">
                  <c:v>12.82</c:v>
                </c:pt>
                <c:pt idx="72">
                  <c:v>12.15</c:v>
                </c:pt>
                <c:pt idx="73">
                  <c:v>11.59</c:v>
                </c:pt>
                <c:pt idx="74">
                  <c:v>11.15</c:v>
                </c:pt>
                <c:pt idx="75">
                  <c:v>10.15</c:v>
                </c:pt>
                <c:pt idx="76">
                  <c:v>10.01</c:v>
                </c:pt>
                <c:pt idx="77">
                  <c:v>9.15</c:v>
                </c:pt>
                <c:pt idx="78">
                  <c:v>8.35</c:v>
                </c:pt>
                <c:pt idx="79">
                  <c:v>8.01</c:v>
                </c:pt>
                <c:pt idx="80">
                  <c:v>7.4</c:v>
                </c:pt>
                <c:pt idx="81">
                  <c:v>7</c:v>
                </c:pt>
                <c:pt idx="82">
                  <c:v>6.9</c:v>
                </c:pt>
                <c:pt idx="83">
                  <c:v>6.72</c:v>
                </c:pt>
                <c:pt idx="84">
                  <c:v>6.58</c:v>
                </c:pt>
                <c:pt idx="85">
                  <c:v>6.4</c:v>
                </c:pt>
                <c:pt idx="86">
                  <c:v>6.4</c:v>
                </c:pt>
                <c:pt idx="87">
                  <c:v>6.4</c:v>
                </c:pt>
                <c:pt idx="88">
                  <c:v>6.4</c:v>
                </c:pt>
                <c:pt idx="89">
                  <c:v>6.4</c:v>
                </c:pt>
                <c:pt idx="90">
                  <c:v>6.4</c:v>
                </c:pt>
                <c:pt idx="91">
                  <c:v>6.4</c:v>
                </c:pt>
                <c:pt idx="92">
                  <c:v>6.4</c:v>
                </c:pt>
                <c:pt idx="93">
                  <c:v>6.4</c:v>
                </c:pt>
                <c:pt idx="94">
                  <c:v>6.4</c:v>
                </c:pt>
                <c:pt idx="95">
                  <c:v>6.4</c:v>
                </c:pt>
                <c:pt idx="96">
                  <c:v>6.4</c:v>
                </c:pt>
                <c:pt idx="97">
                  <c:v>6.4</c:v>
                </c:pt>
                <c:pt idx="98">
                  <c:v>6.4</c:v>
                </c:pt>
                <c:pt idx="99">
                  <c:v>6.4</c:v>
                </c:pt>
                <c:pt idx="100">
                  <c:v>6.4</c:v>
                </c:pt>
                <c:pt idx="101">
                  <c:v>5.9</c:v>
                </c:pt>
                <c:pt idx="102">
                  <c:v>5.71</c:v>
                </c:pt>
                <c:pt idx="103">
                  <c:v>5.38</c:v>
                </c:pt>
                <c:pt idx="104">
                  <c:v>4.9000000000000004</c:v>
                </c:pt>
                <c:pt idx="105">
                  <c:v>4.59</c:v>
                </c:pt>
                <c:pt idx="106">
                  <c:v>4.4000000000000004</c:v>
                </c:pt>
                <c:pt idx="107">
                  <c:v>4.1900000000000004</c:v>
                </c:pt>
                <c:pt idx="108">
                  <c:v>3.95</c:v>
                </c:pt>
                <c:pt idx="109">
                  <c:v>3.65</c:v>
                </c:pt>
                <c:pt idx="110">
                  <c:v>3.01</c:v>
                </c:pt>
                <c:pt idx="111">
                  <c:v>2.58</c:v>
                </c:pt>
                <c:pt idx="112">
                  <c:v>2.15</c:v>
                </c:pt>
                <c:pt idx="113">
                  <c:v>1.94</c:v>
                </c:pt>
                <c:pt idx="114">
                  <c:v>1.9</c:v>
                </c:pt>
                <c:pt idx="115">
                  <c:v>1.9</c:v>
                </c:pt>
                <c:pt idx="116">
                  <c:v>1.9</c:v>
                </c:pt>
                <c:pt idx="117">
                  <c:v>1.9</c:v>
                </c:pt>
                <c:pt idx="118">
                  <c:v>1.9</c:v>
                </c:pt>
                <c:pt idx="119">
                  <c:v>1.9</c:v>
                </c:pt>
                <c:pt idx="120">
                  <c:v>2.23</c:v>
                </c:pt>
                <c:pt idx="121">
                  <c:v>2.65</c:v>
                </c:pt>
                <c:pt idx="122">
                  <c:v>3.29</c:v>
                </c:pt>
                <c:pt idx="123">
                  <c:v>3.76</c:v>
                </c:pt>
                <c:pt idx="124">
                  <c:v>4.1500000000000004</c:v>
                </c:pt>
                <c:pt idx="125">
                  <c:v>5.01</c:v>
                </c:pt>
                <c:pt idx="126">
                  <c:v>5.43</c:v>
                </c:pt>
                <c:pt idx="127">
                  <c:v>6.3</c:v>
                </c:pt>
                <c:pt idx="128">
                  <c:v>7.65</c:v>
                </c:pt>
                <c:pt idx="129">
                  <c:v>8.76</c:v>
                </c:pt>
                <c:pt idx="130">
                  <c:v>9.15</c:v>
                </c:pt>
                <c:pt idx="131">
                  <c:v>10.49</c:v>
                </c:pt>
                <c:pt idx="132">
                  <c:v>11.15</c:v>
                </c:pt>
                <c:pt idx="133">
                  <c:v>11.65</c:v>
                </c:pt>
                <c:pt idx="134">
                  <c:v>12.51</c:v>
                </c:pt>
                <c:pt idx="135">
                  <c:v>12.89</c:v>
                </c:pt>
              </c:numCache>
            </c:numRef>
          </c:val>
          <c:smooth val="0"/>
          <c:extLst>
            <c:ext xmlns:c16="http://schemas.microsoft.com/office/drawing/2014/chart" uri="{C3380CC4-5D6E-409C-BE32-E72D297353CC}">
              <c16:uniqueId val="{00000000-3FC9-4998-AD6B-EF3AE8F6EF0D}"/>
            </c:ext>
          </c:extLst>
        </c:ser>
        <c:ser>
          <c:idx val="1"/>
          <c:order val="1"/>
          <c:tx>
            <c:strRef>
              <c:f>ISCOINTEGRATED!$K$15</c:f>
              <c:strCache>
                <c:ptCount val="1"/>
                <c:pt idx="0">
                  <c:v>SFN rate</c:v>
                </c:pt>
              </c:strCache>
            </c:strRef>
          </c:tx>
          <c:spPr>
            <a:ln w="28575" cap="rnd">
              <a:solidFill>
                <a:schemeClr val="accent2"/>
              </a:solidFill>
              <a:round/>
            </a:ln>
            <a:effectLst/>
          </c:spPr>
          <c:marker>
            <c:symbol val="none"/>
          </c:marker>
          <c:cat>
            <c:numRef>
              <c:f>ISCOINTEGRATED!$E$16:$E$151</c:f>
              <c:numCache>
                <c:formatCode>m/d/yyyy</c:formatCode>
                <c:ptCount val="136"/>
                <c:pt idx="0">
                  <c:v>35065</c:v>
                </c:pt>
                <c:pt idx="1">
                  <c:v>35156</c:v>
                </c:pt>
                <c:pt idx="2">
                  <c:v>35247</c:v>
                </c:pt>
                <c:pt idx="3">
                  <c:v>35339</c:v>
                </c:pt>
                <c:pt idx="4">
                  <c:v>35431</c:v>
                </c:pt>
                <c:pt idx="5">
                  <c:v>35521</c:v>
                </c:pt>
                <c:pt idx="6">
                  <c:v>35612</c:v>
                </c:pt>
                <c:pt idx="7">
                  <c:v>35704</c:v>
                </c:pt>
                <c:pt idx="8">
                  <c:v>35796</c:v>
                </c:pt>
                <c:pt idx="9">
                  <c:v>35886</c:v>
                </c:pt>
                <c:pt idx="10">
                  <c:v>35977</c:v>
                </c:pt>
                <c:pt idx="11">
                  <c:v>36069</c:v>
                </c:pt>
                <c:pt idx="12">
                  <c:v>36161</c:v>
                </c:pt>
                <c:pt idx="13">
                  <c:v>36251</c:v>
                </c:pt>
                <c:pt idx="14">
                  <c:v>36342</c:v>
                </c:pt>
                <c:pt idx="15">
                  <c:v>36434</c:v>
                </c:pt>
                <c:pt idx="16">
                  <c:v>36526</c:v>
                </c:pt>
                <c:pt idx="17">
                  <c:v>36617</c:v>
                </c:pt>
                <c:pt idx="18">
                  <c:v>36708</c:v>
                </c:pt>
                <c:pt idx="19">
                  <c:v>36800</c:v>
                </c:pt>
                <c:pt idx="20">
                  <c:v>36892</c:v>
                </c:pt>
                <c:pt idx="21">
                  <c:v>36982</c:v>
                </c:pt>
                <c:pt idx="22">
                  <c:v>37073</c:v>
                </c:pt>
                <c:pt idx="23">
                  <c:v>37165</c:v>
                </c:pt>
                <c:pt idx="24">
                  <c:v>37257</c:v>
                </c:pt>
                <c:pt idx="25">
                  <c:v>37347</c:v>
                </c:pt>
                <c:pt idx="26">
                  <c:v>37438</c:v>
                </c:pt>
                <c:pt idx="27">
                  <c:v>37530</c:v>
                </c:pt>
                <c:pt idx="28">
                  <c:v>37622</c:v>
                </c:pt>
                <c:pt idx="29">
                  <c:v>37712</c:v>
                </c:pt>
                <c:pt idx="30">
                  <c:v>37803</c:v>
                </c:pt>
                <c:pt idx="31">
                  <c:v>37895</c:v>
                </c:pt>
                <c:pt idx="32">
                  <c:v>37987</c:v>
                </c:pt>
                <c:pt idx="33">
                  <c:v>38078</c:v>
                </c:pt>
                <c:pt idx="34">
                  <c:v>38169</c:v>
                </c:pt>
                <c:pt idx="35">
                  <c:v>38261</c:v>
                </c:pt>
                <c:pt idx="36">
                  <c:v>38353</c:v>
                </c:pt>
                <c:pt idx="37">
                  <c:v>38443</c:v>
                </c:pt>
                <c:pt idx="38">
                  <c:v>38534</c:v>
                </c:pt>
                <c:pt idx="39">
                  <c:v>38626</c:v>
                </c:pt>
                <c:pt idx="40">
                  <c:v>38718</c:v>
                </c:pt>
                <c:pt idx="41">
                  <c:v>38808</c:v>
                </c:pt>
                <c:pt idx="42">
                  <c:v>38899</c:v>
                </c:pt>
                <c:pt idx="43">
                  <c:v>38991</c:v>
                </c:pt>
                <c:pt idx="44">
                  <c:v>39083</c:v>
                </c:pt>
                <c:pt idx="45">
                  <c:v>39173</c:v>
                </c:pt>
                <c:pt idx="46">
                  <c:v>39264</c:v>
                </c:pt>
                <c:pt idx="47">
                  <c:v>39356</c:v>
                </c:pt>
                <c:pt idx="48">
                  <c:v>39448</c:v>
                </c:pt>
                <c:pt idx="49">
                  <c:v>39539</c:v>
                </c:pt>
                <c:pt idx="50">
                  <c:v>39630</c:v>
                </c:pt>
                <c:pt idx="51">
                  <c:v>39722</c:v>
                </c:pt>
                <c:pt idx="52">
                  <c:v>39814</c:v>
                </c:pt>
                <c:pt idx="53">
                  <c:v>39904</c:v>
                </c:pt>
                <c:pt idx="54">
                  <c:v>39995</c:v>
                </c:pt>
                <c:pt idx="55">
                  <c:v>40087</c:v>
                </c:pt>
                <c:pt idx="56">
                  <c:v>40179</c:v>
                </c:pt>
                <c:pt idx="57">
                  <c:v>40269</c:v>
                </c:pt>
                <c:pt idx="58">
                  <c:v>40360</c:v>
                </c:pt>
                <c:pt idx="59">
                  <c:v>40452</c:v>
                </c:pt>
                <c:pt idx="60">
                  <c:v>40544</c:v>
                </c:pt>
                <c:pt idx="61">
                  <c:v>40634</c:v>
                </c:pt>
                <c:pt idx="62">
                  <c:v>40725</c:v>
                </c:pt>
                <c:pt idx="63">
                  <c:v>40817</c:v>
                </c:pt>
                <c:pt idx="64">
                  <c:v>40909</c:v>
                </c:pt>
                <c:pt idx="65">
                  <c:v>41000</c:v>
                </c:pt>
                <c:pt idx="66">
                  <c:v>41091</c:v>
                </c:pt>
                <c:pt idx="67">
                  <c:v>41183</c:v>
                </c:pt>
                <c:pt idx="68">
                  <c:v>41275</c:v>
                </c:pt>
                <c:pt idx="69">
                  <c:v>41365</c:v>
                </c:pt>
                <c:pt idx="70">
                  <c:v>41456</c:v>
                </c:pt>
                <c:pt idx="71">
                  <c:v>41548</c:v>
                </c:pt>
                <c:pt idx="72">
                  <c:v>41640</c:v>
                </c:pt>
                <c:pt idx="73">
                  <c:v>41730</c:v>
                </c:pt>
                <c:pt idx="74">
                  <c:v>41821</c:v>
                </c:pt>
                <c:pt idx="75">
                  <c:v>41913</c:v>
                </c:pt>
                <c:pt idx="76">
                  <c:v>42005</c:v>
                </c:pt>
                <c:pt idx="77">
                  <c:v>42095</c:v>
                </c:pt>
                <c:pt idx="78">
                  <c:v>42186</c:v>
                </c:pt>
                <c:pt idx="79">
                  <c:v>42278</c:v>
                </c:pt>
                <c:pt idx="80">
                  <c:v>42370</c:v>
                </c:pt>
                <c:pt idx="81">
                  <c:v>42461</c:v>
                </c:pt>
                <c:pt idx="82">
                  <c:v>42552</c:v>
                </c:pt>
                <c:pt idx="83">
                  <c:v>42644</c:v>
                </c:pt>
                <c:pt idx="84">
                  <c:v>42736</c:v>
                </c:pt>
                <c:pt idx="85">
                  <c:v>42826</c:v>
                </c:pt>
                <c:pt idx="86">
                  <c:v>42917</c:v>
                </c:pt>
                <c:pt idx="87">
                  <c:v>43009</c:v>
                </c:pt>
                <c:pt idx="88">
                  <c:v>43101</c:v>
                </c:pt>
                <c:pt idx="89">
                  <c:v>43191</c:v>
                </c:pt>
                <c:pt idx="90">
                  <c:v>43282</c:v>
                </c:pt>
                <c:pt idx="91">
                  <c:v>43374</c:v>
                </c:pt>
                <c:pt idx="92">
                  <c:v>43466</c:v>
                </c:pt>
                <c:pt idx="93">
                  <c:v>43556</c:v>
                </c:pt>
                <c:pt idx="94">
                  <c:v>43647</c:v>
                </c:pt>
                <c:pt idx="95">
                  <c:v>43739</c:v>
                </c:pt>
                <c:pt idx="96">
                  <c:v>43831</c:v>
                </c:pt>
                <c:pt idx="97">
                  <c:v>43922</c:v>
                </c:pt>
                <c:pt idx="98">
                  <c:v>44013</c:v>
                </c:pt>
                <c:pt idx="99">
                  <c:v>44105</c:v>
                </c:pt>
                <c:pt idx="100">
                  <c:v>44197</c:v>
                </c:pt>
                <c:pt idx="101">
                  <c:v>44287</c:v>
                </c:pt>
                <c:pt idx="102">
                  <c:v>44378</c:v>
                </c:pt>
                <c:pt idx="103">
                  <c:v>44470</c:v>
                </c:pt>
                <c:pt idx="104">
                  <c:v>44562</c:v>
                </c:pt>
                <c:pt idx="105">
                  <c:v>44652</c:v>
                </c:pt>
              </c:numCache>
            </c:numRef>
          </c:cat>
          <c:val>
            <c:numRef>
              <c:f>ISCOINTEGRATED!$K$16:$K$151</c:f>
              <c:numCache>
                <c:formatCode>0.0</c:formatCode>
                <c:ptCount val="136"/>
                <c:pt idx="0">
                  <c:v>27.35</c:v>
                </c:pt>
                <c:pt idx="1">
                  <c:v>27.94</c:v>
                </c:pt>
                <c:pt idx="2">
                  <c:v>27.86</c:v>
                </c:pt>
                <c:pt idx="3">
                  <c:v>27.62</c:v>
                </c:pt>
                <c:pt idx="4">
                  <c:v>27.81</c:v>
                </c:pt>
                <c:pt idx="5">
                  <c:v>27.23</c:v>
                </c:pt>
                <c:pt idx="6">
                  <c:v>27.2</c:v>
                </c:pt>
                <c:pt idx="7">
                  <c:v>27.45</c:v>
                </c:pt>
                <c:pt idx="8">
                  <c:v>26.66</c:v>
                </c:pt>
                <c:pt idx="9">
                  <c:v>25.82</c:v>
                </c:pt>
                <c:pt idx="10">
                  <c:v>26.8</c:v>
                </c:pt>
                <c:pt idx="11">
                  <c:v>26.86</c:v>
                </c:pt>
                <c:pt idx="12">
                  <c:v>26.54</c:v>
                </c:pt>
                <c:pt idx="13">
                  <c:v>25.96</c:v>
                </c:pt>
                <c:pt idx="14">
                  <c:v>24.36</c:v>
                </c:pt>
                <c:pt idx="15">
                  <c:v>23.62</c:v>
                </c:pt>
                <c:pt idx="16">
                  <c:v>23.03</c:v>
                </c:pt>
                <c:pt idx="17">
                  <c:v>22.54</c:v>
                </c:pt>
                <c:pt idx="18">
                  <c:v>22.3</c:v>
                </c:pt>
                <c:pt idx="19">
                  <c:v>21.72</c:v>
                </c:pt>
                <c:pt idx="20">
                  <c:v>21.47</c:v>
                </c:pt>
                <c:pt idx="21">
                  <c:v>20.39</c:v>
                </c:pt>
                <c:pt idx="22">
                  <c:v>20.84</c:v>
                </c:pt>
                <c:pt idx="23">
                  <c:v>21.18</c:v>
                </c:pt>
                <c:pt idx="24">
                  <c:v>20.93</c:v>
                </c:pt>
                <c:pt idx="25">
                  <c:v>20.83</c:v>
                </c:pt>
                <c:pt idx="26">
                  <c:v>20.57</c:v>
                </c:pt>
                <c:pt idx="27">
                  <c:v>20.85</c:v>
                </c:pt>
                <c:pt idx="28">
                  <c:v>21.28</c:v>
                </c:pt>
                <c:pt idx="29">
                  <c:v>21.46</c:v>
                </c:pt>
                <c:pt idx="30">
                  <c:v>21.61</c:v>
                </c:pt>
                <c:pt idx="31">
                  <c:v>21.98</c:v>
                </c:pt>
                <c:pt idx="32">
                  <c:v>22.21</c:v>
                </c:pt>
                <c:pt idx="33">
                  <c:v>21.87</c:v>
                </c:pt>
                <c:pt idx="34">
                  <c:v>22.84</c:v>
                </c:pt>
                <c:pt idx="35">
                  <c:v>23.38</c:v>
                </c:pt>
                <c:pt idx="36">
                  <c:v>23.53</c:v>
                </c:pt>
                <c:pt idx="37">
                  <c:v>23.41</c:v>
                </c:pt>
                <c:pt idx="38">
                  <c:v>23.59</c:v>
                </c:pt>
                <c:pt idx="39">
                  <c:v>23.46</c:v>
                </c:pt>
                <c:pt idx="40">
                  <c:v>23.7</c:v>
                </c:pt>
                <c:pt idx="41">
                  <c:v>23.61</c:v>
                </c:pt>
                <c:pt idx="42">
                  <c:v>23.26</c:v>
                </c:pt>
                <c:pt idx="43">
                  <c:v>23.79</c:v>
                </c:pt>
                <c:pt idx="44">
                  <c:v>23.87</c:v>
                </c:pt>
                <c:pt idx="45">
                  <c:v>23.39</c:v>
                </c:pt>
                <c:pt idx="46">
                  <c:v>24.6</c:v>
                </c:pt>
                <c:pt idx="47">
                  <c:v>25.32</c:v>
                </c:pt>
                <c:pt idx="48">
                  <c:v>25.51</c:v>
                </c:pt>
                <c:pt idx="49">
                  <c:v>26.13</c:v>
                </c:pt>
                <c:pt idx="50">
                  <c:v>26.73</c:v>
                </c:pt>
                <c:pt idx="51">
                  <c:v>27.25</c:v>
                </c:pt>
                <c:pt idx="52">
                  <c:v>28.05</c:v>
                </c:pt>
                <c:pt idx="53">
                  <c:v>28.55</c:v>
                </c:pt>
                <c:pt idx="54">
                  <c:v>29.06</c:v>
                </c:pt>
                <c:pt idx="55">
                  <c:v>29.85</c:v>
                </c:pt>
                <c:pt idx="56">
                  <c:v>30.13</c:v>
                </c:pt>
                <c:pt idx="57">
                  <c:v>29.38</c:v>
                </c:pt>
                <c:pt idx="58">
                  <c:v>31.03</c:v>
                </c:pt>
                <c:pt idx="59">
                  <c:v>31.52</c:v>
                </c:pt>
                <c:pt idx="60">
                  <c:v>31.71</c:v>
                </c:pt>
                <c:pt idx="61">
                  <c:v>32.130000000000003</c:v>
                </c:pt>
                <c:pt idx="62">
                  <c:v>32.229999999999997</c:v>
                </c:pt>
                <c:pt idx="63">
                  <c:v>32.08</c:v>
                </c:pt>
                <c:pt idx="64">
                  <c:v>32.54</c:v>
                </c:pt>
                <c:pt idx="65">
                  <c:v>32.69</c:v>
                </c:pt>
                <c:pt idx="66">
                  <c:v>32.71</c:v>
                </c:pt>
                <c:pt idx="67">
                  <c:v>32.99</c:v>
                </c:pt>
                <c:pt idx="68">
                  <c:v>32.799999999999997</c:v>
                </c:pt>
                <c:pt idx="69">
                  <c:v>31.81</c:v>
                </c:pt>
                <c:pt idx="70">
                  <c:v>32.54</c:v>
                </c:pt>
                <c:pt idx="71">
                  <c:v>31.78</c:v>
                </c:pt>
                <c:pt idx="72">
                  <c:v>31.72</c:v>
                </c:pt>
                <c:pt idx="73">
                  <c:v>29.82</c:v>
                </c:pt>
                <c:pt idx="74">
                  <c:v>28.74</c:v>
                </c:pt>
                <c:pt idx="75">
                  <c:v>28.52</c:v>
                </c:pt>
                <c:pt idx="76">
                  <c:v>28.95</c:v>
                </c:pt>
                <c:pt idx="77">
                  <c:v>28.47</c:v>
                </c:pt>
                <c:pt idx="78">
                  <c:v>26.85</c:v>
                </c:pt>
                <c:pt idx="79">
                  <c:v>27.36</c:v>
                </c:pt>
                <c:pt idx="80">
                  <c:v>26.82</c:v>
                </c:pt>
                <c:pt idx="81">
                  <c:v>25.49</c:v>
                </c:pt>
                <c:pt idx="82">
                  <c:v>25.98</c:v>
                </c:pt>
                <c:pt idx="83">
                  <c:v>26.56</c:v>
                </c:pt>
                <c:pt idx="84">
                  <c:v>25.88</c:v>
                </c:pt>
                <c:pt idx="85">
                  <c:v>25.61</c:v>
                </c:pt>
                <c:pt idx="86">
                  <c:v>24.64</c:v>
                </c:pt>
                <c:pt idx="87">
                  <c:v>24.31</c:v>
                </c:pt>
                <c:pt idx="88">
                  <c:v>24.14</c:v>
                </c:pt>
                <c:pt idx="89">
                  <c:v>24.1</c:v>
                </c:pt>
                <c:pt idx="90">
                  <c:v>23.96</c:v>
                </c:pt>
                <c:pt idx="91">
                  <c:v>24.25</c:v>
                </c:pt>
                <c:pt idx="92">
                  <c:v>24.24</c:v>
                </c:pt>
                <c:pt idx="93">
                  <c:v>22.93</c:v>
                </c:pt>
                <c:pt idx="94">
                  <c:v>24.33</c:v>
                </c:pt>
                <c:pt idx="95">
                  <c:v>24.65</c:v>
                </c:pt>
                <c:pt idx="96">
                  <c:v>24.92</c:v>
                </c:pt>
                <c:pt idx="97">
                  <c:v>24.99</c:v>
                </c:pt>
                <c:pt idx="98">
                  <c:v>24.83</c:v>
                </c:pt>
                <c:pt idx="99">
                  <c:v>24.72</c:v>
                </c:pt>
                <c:pt idx="100">
                  <c:v>24.61</c:v>
                </c:pt>
                <c:pt idx="101">
                  <c:v>24.7</c:v>
                </c:pt>
                <c:pt idx="102">
                  <c:v>23.91</c:v>
                </c:pt>
                <c:pt idx="103">
                  <c:v>23.42</c:v>
                </c:pt>
                <c:pt idx="104">
                  <c:v>23.51</c:v>
                </c:pt>
                <c:pt idx="105">
                  <c:v>22.51</c:v>
                </c:pt>
                <c:pt idx="106">
                  <c:v>23.02</c:v>
                </c:pt>
                <c:pt idx="107">
                  <c:v>22.98</c:v>
                </c:pt>
                <c:pt idx="108">
                  <c:v>22.61</c:v>
                </c:pt>
                <c:pt idx="109">
                  <c:v>21.45</c:v>
                </c:pt>
                <c:pt idx="110">
                  <c:v>20.58</c:v>
                </c:pt>
                <c:pt idx="111">
                  <c:v>19.25</c:v>
                </c:pt>
                <c:pt idx="112">
                  <c:v>19.02</c:v>
                </c:pt>
                <c:pt idx="113">
                  <c:v>18.57</c:v>
                </c:pt>
                <c:pt idx="114">
                  <c:v>18.02</c:v>
                </c:pt>
                <c:pt idx="115">
                  <c:v>18.59</c:v>
                </c:pt>
                <c:pt idx="116">
                  <c:v>18.46</c:v>
                </c:pt>
                <c:pt idx="117">
                  <c:v>18.309999999999999</c:v>
                </c:pt>
                <c:pt idx="118">
                  <c:v>20.05</c:v>
                </c:pt>
                <c:pt idx="119">
                  <c:v>19.760000000000002</c:v>
                </c:pt>
                <c:pt idx="120">
                  <c:v>19.920000000000002</c:v>
                </c:pt>
                <c:pt idx="121">
                  <c:v>20.41</c:v>
                </c:pt>
                <c:pt idx="122">
                  <c:v>19.91</c:v>
                </c:pt>
                <c:pt idx="123">
                  <c:v>20.03</c:v>
                </c:pt>
                <c:pt idx="124">
                  <c:v>20.41</c:v>
                </c:pt>
                <c:pt idx="125">
                  <c:v>21.08</c:v>
                </c:pt>
                <c:pt idx="126">
                  <c:v>21.57</c:v>
                </c:pt>
                <c:pt idx="127">
                  <c:v>23.01</c:v>
                </c:pt>
                <c:pt idx="128">
                  <c:v>24.01</c:v>
                </c:pt>
                <c:pt idx="129">
                  <c:v>24.31</c:v>
                </c:pt>
                <c:pt idx="130">
                  <c:v>25.32</c:v>
                </c:pt>
                <c:pt idx="131">
                  <c:v>25.73</c:v>
                </c:pt>
                <c:pt idx="132">
                  <c:v>26.67</c:v>
                </c:pt>
                <c:pt idx="133">
                  <c:v>27.57</c:v>
                </c:pt>
                <c:pt idx="134">
                  <c:v>27.59</c:v>
                </c:pt>
                <c:pt idx="135">
                  <c:v>28.13</c:v>
                </c:pt>
              </c:numCache>
            </c:numRef>
          </c:val>
          <c:smooth val="0"/>
          <c:extLst>
            <c:ext xmlns:c16="http://schemas.microsoft.com/office/drawing/2014/chart" uri="{C3380CC4-5D6E-409C-BE32-E72D297353CC}">
              <c16:uniqueId val="{00000001-3FC9-4998-AD6B-EF3AE8F6EF0D}"/>
            </c:ext>
          </c:extLst>
        </c:ser>
        <c:dLbls>
          <c:showLegendKey val="0"/>
          <c:showVal val="0"/>
          <c:showCatName val="0"/>
          <c:showSerName val="0"/>
          <c:showPercent val="0"/>
          <c:showBubbleSize val="0"/>
        </c:dLbls>
        <c:smooth val="0"/>
        <c:axId val="2040515792"/>
        <c:axId val="2040519952"/>
      </c:lineChart>
      <c:dateAx>
        <c:axId val="2040515792"/>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0519952"/>
        <c:crosses val="autoZero"/>
        <c:auto val="1"/>
        <c:lblOffset val="100"/>
        <c:baseTimeUnit val="months"/>
      </c:dateAx>
      <c:valAx>
        <c:axId val="204051995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051579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8740157499999996" l="0.511811024" r="0.511811024" t="0.78740157499999996" header="0.31496062000000002" footer="0.31496062000000002"/>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t-BR"/>
              <a:t>Residuals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ISCOINTEGRATED!$L$15</c:f>
              <c:strCache>
                <c:ptCount val="1"/>
                <c:pt idx="0">
                  <c:v>Residuals</c:v>
                </c:pt>
              </c:strCache>
            </c:strRef>
          </c:tx>
          <c:spPr>
            <a:ln w="28575" cap="rnd">
              <a:solidFill>
                <a:schemeClr val="accent2"/>
              </a:solidFill>
              <a:round/>
            </a:ln>
            <a:effectLst/>
          </c:spPr>
          <c:marker>
            <c:symbol val="none"/>
          </c:marker>
          <c:cat>
            <c:numRef>
              <c:f>ISCOINTEGRATED!$I$16:$I$151</c:f>
              <c:numCache>
                <c:formatCode>m/d/yyyy</c:formatCode>
                <c:ptCount val="136"/>
                <c:pt idx="0">
                  <c:v>40603</c:v>
                </c:pt>
                <c:pt idx="1">
                  <c:v>40634</c:v>
                </c:pt>
                <c:pt idx="2">
                  <c:v>40664</c:v>
                </c:pt>
                <c:pt idx="3">
                  <c:v>40695</c:v>
                </c:pt>
                <c:pt idx="4">
                  <c:v>40725</c:v>
                </c:pt>
                <c:pt idx="5">
                  <c:v>40756</c:v>
                </c:pt>
                <c:pt idx="6">
                  <c:v>40787</c:v>
                </c:pt>
                <c:pt idx="7">
                  <c:v>40817</c:v>
                </c:pt>
                <c:pt idx="8">
                  <c:v>40848</c:v>
                </c:pt>
                <c:pt idx="9">
                  <c:v>40878</c:v>
                </c:pt>
                <c:pt idx="10">
                  <c:v>40909</c:v>
                </c:pt>
                <c:pt idx="11">
                  <c:v>40940</c:v>
                </c:pt>
                <c:pt idx="12">
                  <c:v>40969</c:v>
                </c:pt>
                <c:pt idx="13">
                  <c:v>41000</c:v>
                </c:pt>
                <c:pt idx="14">
                  <c:v>41030</c:v>
                </c:pt>
                <c:pt idx="15">
                  <c:v>41061</c:v>
                </c:pt>
                <c:pt idx="16">
                  <c:v>41091</c:v>
                </c:pt>
                <c:pt idx="17">
                  <c:v>41122</c:v>
                </c:pt>
                <c:pt idx="18">
                  <c:v>41153</c:v>
                </c:pt>
                <c:pt idx="19">
                  <c:v>41183</c:v>
                </c:pt>
                <c:pt idx="20">
                  <c:v>41214</c:v>
                </c:pt>
                <c:pt idx="21">
                  <c:v>41244</c:v>
                </c:pt>
                <c:pt idx="22">
                  <c:v>41275</c:v>
                </c:pt>
                <c:pt idx="23">
                  <c:v>41306</c:v>
                </c:pt>
                <c:pt idx="24">
                  <c:v>41334</c:v>
                </c:pt>
                <c:pt idx="25">
                  <c:v>41365</c:v>
                </c:pt>
                <c:pt idx="26">
                  <c:v>41395</c:v>
                </c:pt>
                <c:pt idx="27">
                  <c:v>41426</c:v>
                </c:pt>
                <c:pt idx="28">
                  <c:v>41456</c:v>
                </c:pt>
                <c:pt idx="29">
                  <c:v>41487</c:v>
                </c:pt>
                <c:pt idx="30">
                  <c:v>41518</c:v>
                </c:pt>
                <c:pt idx="31">
                  <c:v>41548</c:v>
                </c:pt>
                <c:pt idx="32">
                  <c:v>41579</c:v>
                </c:pt>
                <c:pt idx="33">
                  <c:v>41609</c:v>
                </c:pt>
                <c:pt idx="34">
                  <c:v>41640</c:v>
                </c:pt>
                <c:pt idx="35">
                  <c:v>41671</c:v>
                </c:pt>
                <c:pt idx="36">
                  <c:v>41699</c:v>
                </c:pt>
                <c:pt idx="37">
                  <c:v>41730</c:v>
                </c:pt>
                <c:pt idx="38">
                  <c:v>41760</c:v>
                </c:pt>
                <c:pt idx="39">
                  <c:v>41791</c:v>
                </c:pt>
                <c:pt idx="40">
                  <c:v>41821</c:v>
                </c:pt>
                <c:pt idx="41">
                  <c:v>41852</c:v>
                </c:pt>
                <c:pt idx="42">
                  <c:v>41883</c:v>
                </c:pt>
                <c:pt idx="43">
                  <c:v>41913</c:v>
                </c:pt>
                <c:pt idx="44">
                  <c:v>41944</c:v>
                </c:pt>
                <c:pt idx="45">
                  <c:v>41974</c:v>
                </c:pt>
                <c:pt idx="46">
                  <c:v>42005</c:v>
                </c:pt>
                <c:pt idx="47">
                  <c:v>42036</c:v>
                </c:pt>
                <c:pt idx="48">
                  <c:v>42064</c:v>
                </c:pt>
                <c:pt idx="49">
                  <c:v>42095</c:v>
                </c:pt>
                <c:pt idx="50">
                  <c:v>42125</c:v>
                </c:pt>
                <c:pt idx="51">
                  <c:v>42156</c:v>
                </c:pt>
                <c:pt idx="52">
                  <c:v>42186</c:v>
                </c:pt>
                <c:pt idx="53">
                  <c:v>42217</c:v>
                </c:pt>
                <c:pt idx="54">
                  <c:v>42248</c:v>
                </c:pt>
                <c:pt idx="55">
                  <c:v>42278</c:v>
                </c:pt>
                <c:pt idx="56">
                  <c:v>42309</c:v>
                </c:pt>
                <c:pt idx="57">
                  <c:v>42339</c:v>
                </c:pt>
                <c:pt idx="58">
                  <c:v>42370</c:v>
                </c:pt>
                <c:pt idx="59">
                  <c:v>42401</c:v>
                </c:pt>
                <c:pt idx="60">
                  <c:v>42430</c:v>
                </c:pt>
                <c:pt idx="61">
                  <c:v>42461</c:v>
                </c:pt>
                <c:pt idx="62">
                  <c:v>42491</c:v>
                </c:pt>
                <c:pt idx="63">
                  <c:v>42522</c:v>
                </c:pt>
                <c:pt idx="64">
                  <c:v>42552</c:v>
                </c:pt>
                <c:pt idx="65">
                  <c:v>42583</c:v>
                </c:pt>
                <c:pt idx="66">
                  <c:v>42614</c:v>
                </c:pt>
                <c:pt idx="67">
                  <c:v>42644</c:v>
                </c:pt>
                <c:pt idx="68">
                  <c:v>42675</c:v>
                </c:pt>
                <c:pt idx="69">
                  <c:v>42705</c:v>
                </c:pt>
                <c:pt idx="70">
                  <c:v>42736</c:v>
                </c:pt>
                <c:pt idx="71">
                  <c:v>42767</c:v>
                </c:pt>
                <c:pt idx="72">
                  <c:v>42795</c:v>
                </c:pt>
                <c:pt idx="73">
                  <c:v>42826</c:v>
                </c:pt>
                <c:pt idx="74">
                  <c:v>42856</c:v>
                </c:pt>
                <c:pt idx="75">
                  <c:v>42887</c:v>
                </c:pt>
                <c:pt idx="76">
                  <c:v>42917</c:v>
                </c:pt>
                <c:pt idx="77">
                  <c:v>42948</c:v>
                </c:pt>
                <c:pt idx="78">
                  <c:v>42979</c:v>
                </c:pt>
                <c:pt idx="79">
                  <c:v>43009</c:v>
                </c:pt>
                <c:pt idx="80">
                  <c:v>43040</c:v>
                </c:pt>
                <c:pt idx="81">
                  <c:v>43070</c:v>
                </c:pt>
                <c:pt idx="82">
                  <c:v>43101</c:v>
                </c:pt>
                <c:pt idx="83">
                  <c:v>43132</c:v>
                </c:pt>
                <c:pt idx="84">
                  <c:v>43160</c:v>
                </c:pt>
                <c:pt idx="85">
                  <c:v>43191</c:v>
                </c:pt>
                <c:pt idx="86">
                  <c:v>43221</c:v>
                </c:pt>
                <c:pt idx="87">
                  <c:v>43252</c:v>
                </c:pt>
                <c:pt idx="88">
                  <c:v>43282</c:v>
                </c:pt>
                <c:pt idx="89">
                  <c:v>43313</c:v>
                </c:pt>
                <c:pt idx="90">
                  <c:v>43344</c:v>
                </c:pt>
                <c:pt idx="91">
                  <c:v>43374</c:v>
                </c:pt>
                <c:pt idx="92">
                  <c:v>43405</c:v>
                </c:pt>
                <c:pt idx="93">
                  <c:v>43435</c:v>
                </c:pt>
                <c:pt idx="94">
                  <c:v>43466</c:v>
                </c:pt>
                <c:pt idx="95">
                  <c:v>43497</c:v>
                </c:pt>
                <c:pt idx="96">
                  <c:v>43525</c:v>
                </c:pt>
                <c:pt idx="97">
                  <c:v>43556</c:v>
                </c:pt>
                <c:pt idx="98">
                  <c:v>43586</c:v>
                </c:pt>
                <c:pt idx="99">
                  <c:v>43617</c:v>
                </c:pt>
                <c:pt idx="100">
                  <c:v>43647</c:v>
                </c:pt>
                <c:pt idx="101">
                  <c:v>43678</c:v>
                </c:pt>
                <c:pt idx="102">
                  <c:v>43709</c:v>
                </c:pt>
                <c:pt idx="103">
                  <c:v>43739</c:v>
                </c:pt>
                <c:pt idx="104">
                  <c:v>43770</c:v>
                </c:pt>
                <c:pt idx="105">
                  <c:v>43800</c:v>
                </c:pt>
                <c:pt idx="106">
                  <c:v>43831</c:v>
                </c:pt>
                <c:pt idx="107">
                  <c:v>43862</c:v>
                </c:pt>
                <c:pt idx="108">
                  <c:v>43891</c:v>
                </c:pt>
                <c:pt idx="109">
                  <c:v>43922</c:v>
                </c:pt>
                <c:pt idx="110">
                  <c:v>43952</c:v>
                </c:pt>
                <c:pt idx="111">
                  <c:v>43983</c:v>
                </c:pt>
                <c:pt idx="112">
                  <c:v>44013</c:v>
                </c:pt>
                <c:pt idx="113">
                  <c:v>44044</c:v>
                </c:pt>
                <c:pt idx="114">
                  <c:v>44075</c:v>
                </c:pt>
                <c:pt idx="115">
                  <c:v>44105</c:v>
                </c:pt>
                <c:pt idx="116">
                  <c:v>44136</c:v>
                </c:pt>
                <c:pt idx="117">
                  <c:v>44166</c:v>
                </c:pt>
                <c:pt idx="118">
                  <c:v>44197</c:v>
                </c:pt>
                <c:pt idx="119">
                  <c:v>44228</c:v>
                </c:pt>
                <c:pt idx="120">
                  <c:v>44256</c:v>
                </c:pt>
                <c:pt idx="121">
                  <c:v>44287</c:v>
                </c:pt>
                <c:pt idx="122">
                  <c:v>44317</c:v>
                </c:pt>
                <c:pt idx="123">
                  <c:v>44348</c:v>
                </c:pt>
                <c:pt idx="124">
                  <c:v>44378</c:v>
                </c:pt>
                <c:pt idx="125">
                  <c:v>44409</c:v>
                </c:pt>
                <c:pt idx="126">
                  <c:v>44440</c:v>
                </c:pt>
                <c:pt idx="127">
                  <c:v>44470</c:v>
                </c:pt>
                <c:pt idx="128">
                  <c:v>44501</c:v>
                </c:pt>
                <c:pt idx="129">
                  <c:v>44531</c:v>
                </c:pt>
                <c:pt idx="130">
                  <c:v>44562</c:v>
                </c:pt>
                <c:pt idx="131">
                  <c:v>44593</c:v>
                </c:pt>
                <c:pt idx="132">
                  <c:v>44621</c:v>
                </c:pt>
                <c:pt idx="133">
                  <c:v>44652</c:v>
                </c:pt>
                <c:pt idx="134">
                  <c:v>44682</c:v>
                </c:pt>
                <c:pt idx="135">
                  <c:v>44713</c:v>
                </c:pt>
              </c:numCache>
            </c:numRef>
          </c:cat>
          <c:val>
            <c:numRef>
              <c:f>ISCOINTEGRATED!$L$16:$L$151</c:f>
              <c:numCache>
                <c:formatCode>0.0</c:formatCode>
                <c:ptCount val="136"/>
                <c:pt idx="0">
                  <c:v>0.9223026636246221</c:v>
                </c:pt>
                <c:pt idx="1">
                  <c:v>0.57059635041156831</c:v>
                </c:pt>
                <c:pt idx="2">
                  <c:v>0.81455652847435722</c:v>
                </c:pt>
                <c:pt idx="3">
                  <c:v>1.1864370626627174</c:v>
                </c:pt>
                <c:pt idx="4">
                  <c:v>1.1845316397635983</c:v>
                </c:pt>
                <c:pt idx="5">
                  <c:v>1.8182429307188048</c:v>
                </c:pt>
                <c:pt idx="6">
                  <c:v>1.3322279974923532</c:v>
                </c:pt>
                <c:pt idx="7">
                  <c:v>0.92235244104614011</c:v>
                </c:pt>
                <c:pt idx="8">
                  <c:v>1.2539591994161636</c:v>
                </c:pt>
                <c:pt idx="9">
                  <c:v>1.4255410690754307</c:v>
                </c:pt>
                <c:pt idx="10">
                  <c:v>0.44202888780628413</c:v>
                </c:pt>
                <c:pt idx="11">
                  <c:v>9.4058754259195965E-2</c:v>
                </c:pt>
                <c:pt idx="12">
                  <c:v>-0.23010053348965442</c:v>
                </c:pt>
                <c:pt idx="13">
                  <c:v>-0.23638924253444848</c:v>
                </c:pt>
                <c:pt idx="14">
                  <c:v>0.56281431872129595</c:v>
                </c:pt>
                <c:pt idx="15">
                  <c:v>0.67444596580207872</c:v>
                </c:pt>
                <c:pt idx="16">
                  <c:v>0.82615227901513322</c:v>
                </c:pt>
                <c:pt idx="17">
                  <c:v>0.99790836964970531</c:v>
                </c:pt>
                <c:pt idx="18">
                  <c:v>0.72978890383806583</c:v>
                </c:pt>
                <c:pt idx="19">
                  <c:v>1.0335001947932767</c:v>
                </c:pt>
                <c:pt idx="20">
                  <c:v>1.1433757512394847</c:v>
                </c:pt>
                <c:pt idx="21">
                  <c:v>2.0268381550871126</c:v>
                </c:pt>
                <c:pt idx="22">
                  <c:v>1.6170621534839329</c:v>
                </c:pt>
                <c:pt idx="23">
                  <c:v>1.3552313967170901</c:v>
                </c:pt>
                <c:pt idx="24">
                  <c:v>1.5851069531632991</c:v>
                </c:pt>
                <c:pt idx="25">
                  <c:v>1.7750571757417841</c:v>
                </c:pt>
                <c:pt idx="26">
                  <c:v>2.1429277544458412</c:v>
                </c:pt>
                <c:pt idx="27">
                  <c:v>2.3990671312260847</c:v>
                </c:pt>
                <c:pt idx="28">
                  <c:v>2.3852811741386049</c:v>
                </c:pt>
                <c:pt idx="29">
                  <c:v>2.4613707734973325</c:v>
                </c:pt>
                <c:pt idx="30">
                  <c:v>2.7914454396296069</c:v>
                </c:pt>
                <c:pt idx="31">
                  <c:v>2.8456296160892158</c:v>
                </c:pt>
                <c:pt idx="32">
                  <c:v>2.8617441041587028</c:v>
                </c:pt>
                <c:pt idx="33">
                  <c:v>3.5835748609255464</c:v>
                </c:pt>
                <c:pt idx="34">
                  <c:v>3.0780577019142523</c:v>
                </c:pt>
                <c:pt idx="35">
                  <c:v>2.9063264999904419</c:v>
                </c:pt>
                <c:pt idx="36">
                  <c:v>3.0064011661227124</c:v>
                </c:pt>
                <c:pt idx="37">
                  <c:v>3.3223414332168932</c:v>
                </c:pt>
                <c:pt idx="38">
                  <c:v>3.2084310325756231</c:v>
                </c:pt>
                <c:pt idx="39">
                  <c:v>3.3123663219276533</c:v>
                </c:pt>
                <c:pt idx="40">
                  <c:v>3.1204857877392929</c:v>
                </c:pt>
                <c:pt idx="41">
                  <c:v>3.1924409880599267</c:v>
                </c:pt>
                <c:pt idx="42">
                  <c:v>3.472266767084621</c:v>
                </c:pt>
                <c:pt idx="43">
                  <c:v>3.068530587418655</c:v>
                </c:pt>
                <c:pt idx="44">
                  <c:v>3.2345704093558663</c:v>
                </c:pt>
                <c:pt idx="45">
                  <c:v>4.0483314777325905</c:v>
                </c:pt>
                <c:pt idx="46">
                  <c:v>3.320933784532933</c:v>
                </c:pt>
                <c:pt idx="47">
                  <c:v>3.0752921819678516</c:v>
                </c:pt>
                <c:pt idx="48">
                  <c:v>3.3533867590687283</c:v>
                </c:pt>
                <c:pt idx="49">
                  <c:v>2.9576953790821321</c:v>
                </c:pt>
                <c:pt idx="50">
                  <c:v>2.9479940436112262</c:v>
                </c:pt>
                <c:pt idx="51">
                  <c:v>2.9622528862031086</c:v>
                </c:pt>
                <c:pt idx="52">
                  <c:v>2.4326511055752373</c:v>
                </c:pt>
                <c:pt idx="53">
                  <c:v>2.4928999926828173</c:v>
                </c:pt>
                <c:pt idx="54">
                  <c:v>2.0851538575325481</c:v>
                </c:pt>
                <c:pt idx="55">
                  <c:v>1.4535470991625257</c:v>
                </c:pt>
                <c:pt idx="56">
                  <c:v>1.2296864759427724</c:v>
                </c:pt>
                <c:pt idx="57">
                  <c:v>1.829313145281402</c:v>
                </c:pt>
                <c:pt idx="58">
                  <c:v>0.51013447273641255</c:v>
                </c:pt>
                <c:pt idx="59">
                  <c:v>0.11837838210184337</c:v>
                </c:pt>
                <c:pt idx="60">
                  <c:v>-3.3527040797279639E-2</c:v>
                </c:pt>
                <c:pt idx="61">
                  <c:v>-0.36931797562691138</c:v>
                </c:pt>
                <c:pt idx="62">
                  <c:v>-0.44926819820539343</c:v>
                </c:pt>
                <c:pt idx="63">
                  <c:v>-0.3293428643376668</c:v>
                </c:pt>
                <c:pt idx="64">
                  <c:v>-0.69711388819869491</c:v>
                </c:pt>
                <c:pt idx="65">
                  <c:v>-0.81703922206641799</c:v>
                </c:pt>
                <c:pt idx="66">
                  <c:v>-0.83302926658211796</c:v>
                </c:pt>
                <c:pt idx="67">
                  <c:v>-1.1568898898018745</c:v>
                </c:pt>
                <c:pt idx="68">
                  <c:v>-1.1549844669027518</c:v>
                </c:pt>
                <c:pt idx="69">
                  <c:v>-0.61347726337576169</c:v>
                </c:pt>
                <c:pt idx="70">
                  <c:v>-1.6771138881986953</c:v>
                </c:pt>
                <c:pt idx="71">
                  <c:v>-1.4194921966022171</c:v>
                </c:pt>
                <c:pt idx="72">
                  <c:v>-2.0415220630551243</c:v>
                </c:pt>
                <c:pt idx="73">
                  <c:v>-1.0824678340639302</c:v>
                </c:pt>
                <c:pt idx="74">
                  <c:v>-0.6590054302163022</c:v>
                </c:pt>
                <c:pt idx="75">
                  <c:v>-1.4831149405436381</c:v>
                </c:pt>
                <c:pt idx="76">
                  <c:v>-1.9669008976311186</c:v>
                </c:pt>
                <c:pt idx="77">
                  <c:v>-2.4431398292543935</c:v>
                </c:pt>
                <c:pt idx="78">
                  <c:v>-1.9479462234829565</c:v>
                </c:pt>
                <c:pt idx="79">
                  <c:v>-2.695692358633222</c:v>
                </c:pt>
                <c:pt idx="80">
                  <c:v>-2.8739611567094112</c:v>
                </c:pt>
                <c:pt idx="81">
                  <c:v>-2.2106231964155718</c:v>
                </c:pt>
                <c:pt idx="82">
                  <c:v>-2.7023792870501442</c:v>
                </c:pt>
                <c:pt idx="83">
                  <c:v>-3.3460905780053514</c:v>
                </c:pt>
                <c:pt idx="84">
                  <c:v>-2.9424290644716589</c:v>
                </c:pt>
                <c:pt idx="85">
                  <c:v>-2.9065634635097535</c:v>
                </c:pt>
                <c:pt idx="86">
                  <c:v>-2.1310463044984598</c:v>
                </c:pt>
                <c:pt idx="87">
                  <c:v>-1.8672105699894583</c:v>
                </c:pt>
                <c:pt idx="88">
                  <c:v>-1.7312951916060388</c:v>
                </c:pt>
                <c:pt idx="89">
                  <c:v>-1.699315102574646</c:v>
                </c:pt>
                <c:pt idx="90">
                  <c:v>-1.5873847909647676</c:v>
                </c:pt>
                <c:pt idx="91">
                  <c:v>-1.8192404364423691</c:v>
                </c:pt>
                <c:pt idx="92">
                  <c:v>-1.8112454141845209</c:v>
                </c:pt>
                <c:pt idx="93">
                  <c:v>-0.7638974984063811</c:v>
                </c:pt>
                <c:pt idx="94">
                  <c:v>-1.8832006145051547</c:v>
                </c:pt>
                <c:pt idx="95">
                  <c:v>-2.1390413267563044</c:v>
                </c:pt>
                <c:pt idx="96">
                  <c:v>-2.3549069277182131</c:v>
                </c:pt>
                <c:pt idx="97">
                  <c:v>-2.4108720835231505</c:v>
                </c:pt>
                <c:pt idx="98">
                  <c:v>-2.2829517273975757</c:v>
                </c:pt>
                <c:pt idx="99">
                  <c:v>-2.1950064825612454</c:v>
                </c:pt>
                <c:pt idx="100">
                  <c:v>-2.1070612377249116</c:v>
                </c:pt>
                <c:pt idx="101">
                  <c:v>-2.679016438045549</c:v>
                </c:pt>
                <c:pt idx="102">
                  <c:v>-2.237409679675527</c:v>
                </c:pt>
                <c:pt idx="103">
                  <c:v>-2.1756535890409543</c:v>
                </c:pt>
                <c:pt idx="104">
                  <c:v>-2.7276087893615912</c:v>
                </c:pt>
                <c:pt idx="105">
                  <c:v>-2.2381065635767499</c:v>
                </c:pt>
                <c:pt idx="106">
                  <c:v>-2.8358526987270185</c:v>
                </c:pt>
                <c:pt idx="107">
                  <c:v>-3.0138726096956221</c:v>
                </c:pt>
                <c:pt idx="108">
                  <c:v>-2.9580567861552316</c:v>
                </c:pt>
                <c:pt idx="109">
                  <c:v>-2.3306342042448187</c:v>
                </c:pt>
                <c:pt idx="110">
                  <c:v>-2.2750672678120072</c:v>
                </c:pt>
                <c:pt idx="111">
                  <c:v>-1.6417293075181707</c:v>
                </c:pt>
                <c:pt idx="112">
                  <c:v>-1.8878437955876568</c:v>
                </c:pt>
                <c:pt idx="113">
                  <c:v>-1.7380677939844786</c:v>
                </c:pt>
                <c:pt idx="114">
                  <c:v>-1.3383415698028167</c:v>
                </c:pt>
                <c:pt idx="115">
                  <c:v>-1.7940578385001751</c:v>
                </c:pt>
                <c:pt idx="116">
                  <c:v>-1.6901225491481466</c:v>
                </c:pt>
                <c:pt idx="117">
                  <c:v>-1.57019721528042</c:v>
                </c:pt>
                <c:pt idx="118">
                  <c:v>-2.9613310881460415</c:v>
                </c:pt>
                <c:pt idx="119">
                  <c:v>-2.72947544266844</c:v>
                </c:pt>
                <c:pt idx="120">
                  <c:v>-2.5273957987940148</c:v>
                </c:pt>
                <c:pt idx="121">
                  <c:v>-2.499151889428584</c:v>
                </c:pt>
                <c:pt idx="122">
                  <c:v>-1.4594007765361647</c:v>
                </c:pt>
                <c:pt idx="123">
                  <c:v>-1.0853410436303452</c:v>
                </c:pt>
                <c:pt idx="124">
                  <c:v>-0.99915188942858357</c:v>
                </c:pt>
                <c:pt idx="125">
                  <c:v>-0.67481838070442812</c:v>
                </c:pt>
                <c:pt idx="126">
                  <c:v>-0.64657447133900092</c:v>
                </c:pt>
                <c:pt idx="127">
                  <c:v>-0.92785767646917083</c:v>
                </c:pt>
                <c:pt idx="128">
                  <c:v>-0.37735990225400862</c:v>
                </c:pt>
                <c:pt idx="129">
                  <c:v>0.4927894300105411</c:v>
                </c:pt>
                <c:pt idx="130">
                  <c:v>7.529218196785159E-2</c:v>
                </c:pt>
                <c:pt idx="131">
                  <c:v>1.0874962693960644</c:v>
                </c:pt>
                <c:pt idx="132">
                  <c:v>0.99596417715831542</c:v>
                </c:pt>
                <c:pt idx="133">
                  <c:v>0.77641217395195916</c:v>
                </c:pt>
                <c:pt idx="134">
                  <c:v>1.6204221294362622</c:v>
                </c:pt>
                <c:pt idx="135">
                  <c:v>1.5686909275124528</c:v>
                </c:pt>
              </c:numCache>
            </c:numRef>
          </c:val>
          <c:smooth val="0"/>
          <c:extLst>
            <c:ext xmlns:c16="http://schemas.microsoft.com/office/drawing/2014/chart" uri="{C3380CC4-5D6E-409C-BE32-E72D297353CC}">
              <c16:uniqueId val="{00000000-CE11-471D-8E80-D533B133672B}"/>
            </c:ext>
          </c:extLst>
        </c:ser>
        <c:dLbls>
          <c:showLegendKey val="0"/>
          <c:showVal val="0"/>
          <c:showCatName val="0"/>
          <c:showSerName val="0"/>
          <c:showPercent val="0"/>
          <c:showBubbleSize val="0"/>
        </c:dLbls>
        <c:smooth val="0"/>
        <c:axId val="2040515792"/>
        <c:axId val="2040519952"/>
      </c:lineChart>
      <c:dateAx>
        <c:axId val="2040515792"/>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0519952"/>
        <c:crosses val="autoZero"/>
        <c:auto val="1"/>
        <c:lblOffset val="100"/>
        <c:baseTimeUnit val="months"/>
      </c:dateAx>
      <c:valAx>
        <c:axId val="204051995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05157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8740157499999996" l="0.511811024" r="0.511811024" t="0.78740157499999996" header="0.31496062000000002" footer="0.31496062000000002"/>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t-BR"/>
              <a:t>Economic Indicators SA (%MoM)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GRANGER!$G$9</c:f>
              <c:strCache>
                <c:ptCount val="1"/>
                <c:pt idx="0">
                  <c:v>IBCBr</c:v>
                </c:pt>
              </c:strCache>
            </c:strRef>
          </c:tx>
          <c:spPr>
            <a:ln w="28575" cap="rnd">
              <a:solidFill>
                <a:schemeClr val="accent1"/>
              </a:solidFill>
              <a:round/>
            </a:ln>
            <a:effectLst/>
          </c:spPr>
          <c:marker>
            <c:symbol val="none"/>
          </c:marker>
          <c:cat>
            <c:numRef>
              <c:f>GRANGER!$F$10:$F$239</c:f>
              <c:numCache>
                <c:formatCode>[$-416]mmm\-yy;@</c:formatCode>
                <c:ptCount val="230"/>
                <c:pt idx="0">
                  <c:v>37622</c:v>
                </c:pt>
                <c:pt idx="1">
                  <c:v>37653</c:v>
                </c:pt>
                <c:pt idx="2">
                  <c:v>37681</c:v>
                </c:pt>
                <c:pt idx="3">
                  <c:v>37712</c:v>
                </c:pt>
                <c:pt idx="4">
                  <c:v>37742</c:v>
                </c:pt>
                <c:pt idx="5">
                  <c:v>37773</c:v>
                </c:pt>
                <c:pt idx="6">
                  <c:v>37803</c:v>
                </c:pt>
                <c:pt idx="7">
                  <c:v>37834</c:v>
                </c:pt>
                <c:pt idx="8">
                  <c:v>37865</c:v>
                </c:pt>
                <c:pt idx="9">
                  <c:v>37895</c:v>
                </c:pt>
                <c:pt idx="10">
                  <c:v>37926</c:v>
                </c:pt>
                <c:pt idx="11">
                  <c:v>37956</c:v>
                </c:pt>
                <c:pt idx="12">
                  <c:v>37987</c:v>
                </c:pt>
                <c:pt idx="13">
                  <c:v>38018</c:v>
                </c:pt>
                <c:pt idx="14">
                  <c:v>38047</c:v>
                </c:pt>
                <c:pt idx="15">
                  <c:v>38078</c:v>
                </c:pt>
                <c:pt idx="16">
                  <c:v>38108</c:v>
                </c:pt>
                <c:pt idx="17">
                  <c:v>38139</c:v>
                </c:pt>
                <c:pt idx="18">
                  <c:v>38169</c:v>
                </c:pt>
                <c:pt idx="19">
                  <c:v>38200</c:v>
                </c:pt>
                <c:pt idx="20">
                  <c:v>38231</c:v>
                </c:pt>
                <c:pt idx="21">
                  <c:v>38261</c:v>
                </c:pt>
                <c:pt idx="22">
                  <c:v>38292</c:v>
                </c:pt>
                <c:pt idx="23">
                  <c:v>38322</c:v>
                </c:pt>
                <c:pt idx="24">
                  <c:v>38353</c:v>
                </c:pt>
                <c:pt idx="25">
                  <c:v>38384</c:v>
                </c:pt>
                <c:pt idx="26">
                  <c:v>38412</c:v>
                </c:pt>
                <c:pt idx="27">
                  <c:v>38443</c:v>
                </c:pt>
                <c:pt idx="28">
                  <c:v>38473</c:v>
                </c:pt>
                <c:pt idx="29">
                  <c:v>38504</c:v>
                </c:pt>
                <c:pt idx="30">
                  <c:v>38534</c:v>
                </c:pt>
                <c:pt idx="31">
                  <c:v>38565</c:v>
                </c:pt>
                <c:pt idx="32">
                  <c:v>38596</c:v>
                </c:pt>
                <c:pt idx="33">
                  <c:v>38626</c:v>
                </c:pt>
                <c:pt idx="34">
                  <c:v>38657</c:v>
                </c:pt>
                <c:pt idx="35">
                  <c:v>38687</c:v>
                </c:pt>
                <c:pt idx="36">
                  <c:v>38718</c:v>
                </c:pt>
                <c:pt idx="37">
                  <c:v>38749</c:v>
                </c:pt>
                <c:pt idx="38">
                  <c:v>38777</c:v>
                </c:pt>
                <c:pt idx="39">
                  <c:v>38808</c:v>
                </c:pt>
                <c:pt idx="40">
                  <c:v>38838</c:v>
                </c:pt>
                <c:pt idx="41">
                  <c:v>38869</c:v>
                </c:pt>
                <c:pt idx="42">
                  <c:v>38899</c:v>
                </c:pt>
                <c:pt idx="43">
                  <c:v>38930</c:v>
                </c:pt>
                <c:pt idx="44">
                  <c:v>38961</c:v>
                </c:pt>
                <c:pt idx="45">
                  <c:v>38991</c:v>
                </c:pt>
                <c:pt idx="46">
                  <c:v>39022</c:v>
                </c:pt>
                <c:pt idx="47">
                  <c:v>39052</c:v>
                </c:pt>
                <c:pt idx="48">
                  <c:v>39083</c:v>
                </c:pt>
                <c:pt idx="49">
                  <c:v>39114</c:v>
                </c:pt>
                <c:pt idx="50">
                  <c:v>39142</c:v>
                </c:pt>
                <c:pt idx="51">
                  <c:v>39173</c:v>
                </c:pt>
                <c:pt idx="52">
                  <c:v>39203</c:v>
                </c:pt>
                <c:pt idx="53">
                  <c:v>39234</c:v>
                </c:pt>
                <c:pt idx="54">
                  <c:v>39264</c:v>
                </c:pt>
                <c:pt idx="55">
                  <c:v>39295</c:v>
                </c:pt>
                <c:pt idx="56">
                  <c:v>39326</c:v>
                </c:pt>
                <c:pt idx="57">
                  <c:v>39356</c:v>
                </c:pt>
                <c:pt idx="58">
                  <c:v>39387</c:v>
                </c:pt>
                <c:pt idx="59">
                  <c:v>39417</c:v>
                </c:pt>
                <c:pt idx="60">
                  <c:v>39448</c:v>
                </c:pt>
                <c:pt idx="61">
                  <c:v>39479</c:v>
                </c:pt>
                <c:pt idx="62">
                  <c:v>39508</c:v>
                </c:pt>
                <c:pt idx="63">
                  <c:v>39539</c:v>
                </c:pt>
                <c:pt idx="64">
                  <c:v>39569</c:v>
                </c:pt>
                <c:pt idx="65">
                  <c:v>39600</c:v>
                </c:pt>
                <c:pt idx="66">
                  <c:v>39630</c:v>
                </c:pt>
                <c:pt idx="67">
                  <c:v>39661</c:v>
                </c:pt>
                <c:pt idx="68">
                  <c:v>39692</c:v>
                </c:pt>
                <c:pt idx="69">
                  <c:v>39722</c:v>
                </c:pt>
                <c:pt idx="70">
                  <c:v>39753</c:v>
                </c:pt>
                <c:pt idx="71">
                  <c:v>39783</c:v>
                </c:pt>
                <c:pt idx="72">
                  <c:v>39814</c:v>
                </c:pt>
                <c:pt idx="73">
                  <c:v>39845</c:v>
                </c:pt>
                <c:pt idx="74">
                  <c:v>39873</c:v>
                </c:pt>
                <c:pt idx="75">
                  <c:v>39904</c:v>
                </c:pt>
                <c:pt idx="76">
                  <c:v>39934</c:v>
                </c:pt>
                <c:pt idx="77">
                  <c:v>39965</c:v>
                </c:pt>
                <c:pt idx="78">
                  <c:v>39995</c:v>
                </c:pt>
                <c:pt idx="79">
                  <c:v>40026</c:v>
                </c:pt>
                <c:pt idx="80">
                  <c:v>40057</c:v>
                </c:pt>
                <c:pt idx="81">
                  <c:v>40087</c:v>
                </c:pt>
                <c:pt idx="82">
                  <c:v>40118</c:v>
                </c:pt>
                <c:pt idx="83">
                  <c:v>40148</c:v>
                </c:pt>
                <c:pt idx="84">
                  <c:v>40179</c:v>
                </c:pt>
                <c:pt idx="85">
                  <c:v>40210</c:v>
                </c:pt>
                <c:pt idx="86">
                  <c:v>40238</c:v>
                </c:pt>
                <c:pt idx="87">
                  <c:v>40269</c:v>
                </c:pt>
                <c:pt idx="88">
                  <c:v>40299</c:v>
                </c:pt>
                <c:pt idx="89">
                  <c:v>40330</c:v>
                </c:pt>
                <c:pt idx="90">
                  <c:v>40360</c:v>
                </c:pt>
                <c:pt idx="91">
                  <c:v>40391</c:v>
                </c:pt>
                <c:pt idx="92">
                  <c:v>40422</c:v>
                </c:pt>
                <c:pt idx="93">
                  <c:v>40452</c:v>
                </c:pt>
                <c:pt idx="94">
                  <c:v>40483</c:v>
                </c:pt>
                <c:pt idx="95">
                  <c:v>40513</c:v>
                </c:pt>
                <c:pt idx="96">
                  <c:v>40544</c:v>
                </c:pt>
                <c:pt idx="97">
                  <c:v>40575</c:v>
                </c:pt>
                <c:pt idx="98">
                  <c:v>40603</c:v>
                </c:pt>
                <c:pt idx="99">
                  <c:v>40634</c:v>
                </c:pt>
                <c:pt idx="100">
                  <c:v>40664</c:v>
                </c:pt>
                <c:pt idx="101">
                  <c:v>40695</c:v>
                </c:pt>
                <c:pt idx="102">
                  <c:v>40725</c:v>
                </c:pt>
                <c:pt idx="103">
                  <c:v>40756</c:v>
                </c:pt>
                <c:pt idx="104">
                  <c:v>40787</c:v>
                </c:pt>
                <c:pt idx="105">
                  <c:v>40817</c:v>
                </c:pt>
                <c:pt idx="106">
                  <c:v>40848</c:v>
                </c:pt>
                <c:pt idx="107">
                  <c:v>40878</c:v>
                </c:pt>
                <c:pt idx="108">
                  <c:v>40909</c:v>
                </c:pt>
                <c:pt idx="109">
                  <c:v>40940</c:v>
                </c:pt>
                <c:pt idx="110">
                  <c:v>40969</c:v>
                </c:pt>
                <c:pt idx="111">
                  <c:v>41000</c:v>
                </c:pt>
                <c:pt idx="112">
                  <c:v>41030</c:v>
                </c:pt>
                <c:pt idx="113">
                  <c:v>41061</c:v>
                </c:pt>
                <c:pt idx="114">
                  <c:v>41091</c:v>
                </c:pt>
                <c:pt idx="115">
                  <c:v>41122</c:v>
                </c:pt>
                <c:pt idx="116">
                  <c:v>41153</c:v>
                </c:pt>
                <c:pt idx="117">
                  <c:v>41183</c:v>
                </c:pt>
                <c:pt idx="118">
                  <c:v>41214</c:v>
                </c:pt>
                <c:pt idx="119">
                  <c:v>41244</c:v>
                </c:pt>
                <c:pt idx="120">
                  <c:v>41275</c:v>
                </c:pt>
                <c:pt idx="121">
                  <c:v>41306</c:v>
                </c:pt>
                <c:pt idx="122">
                  <c:v>41334</c:v>
                </c:pt>
                <c:pt idx="123">
                  <c:v>41365</c:v>
                </c:pt>
                <c:pt idx="124">
                  <c:v>41395</c:v>
                </c:pt>
                <c:pt idx="125">
                  <c:v>41426</c:v>
                </c:pt>
                <c:pt idx="126">
                  <c:v>41456</c:v>
                </c:pt>
                <c:pt idx="127">
                  <c:v>41487</c:v>
                </c:pt>
                <c:pt idx="128">
                  <c:v>41518</c:v>
                </c:pt>
                <c:pt idx="129">
                  <c:v>41548</c:v>
                </c:pt>
                <c:pt idx="130">
                  <c:v>41579</c:v>
                </c:pt>
                <c:pt idx="131">
                  <c:v>41609</c:v>
                </c:pt>
                <c:pt idx="132">
                  <c:v>41640</c:v>
                </c:pt>
                <c:pt idx="133">
                  <c:v>41671</c:v>
                </c:pt>
                <c:pt idx="134">
                  <c:v>41699</c:v>
                </c:pt>
                <c:pt idx="135">
                  <c:v>41730</c:v>
                </c:pt>
                <c:pt idx="136">
                  <c:v>41760</c:v>
                </c:pt>
                <c:pt idx="137">
                  <c:v>41791</c:v>
                </c:pt>
                <c:pt idx="138">
                  <c:v>41821</c:v>
                </c:pt>
                <c:pt idx="139">
                  <c:v>41852</c:v>
                </c:pt>
                <c:pt idx="140">
                  <c:v>41883</c:v>
                </c:pt>
                <c:pt idx="141">
                  <c:v>41913</c:v>
                </c:pt>
                <c:pt idx="142">
                  <c:v>41944</c:v>
                </c:pt>
                <c:pt idx="143">
                  <c:v>41974</c:v>
                </c:pt>
                <c:pt idx="144">
                  <c:v>42005</c:v>
                </c:pt>
                <c:pt idx="145">
                  <c:v>42036</c:v>
                </c:pt>
                <c:pt idx="146">
                  <c:v>42064</c:v>
                </c:pt>
                <c:pt idx="147">
                  <c:v>42095</c:v>
                </c:pt>
                <c:pt idx="148">
                  <c:v>42125</c:v>
                </c:pt>
                <c:pt idx="149">
                  <c:v>42156</c:v>
                </c:pt>
                <c:pt idx="150">
                  <c:v>42186</c:v>
                </c:pt>
                <c:pt idx="151">
                  <c:v>42217</c:v>
                </c:pt>
                <c:pt idx="152">
                  <c:v>42248</c:v>
                </c:pt>
                <c:pt idx="153">
                  <c:v>42278</c:v>
                </c:pt>
                <c:pt idx="154">
                  <c:v>42309</c:v>
                </c:pt>
                <c:pt idx="155">
                  <c:v>42339</c:v>
                </c:pt>
                <c:pt idx="156">
                  <c:v>42370</c:v>
                </c:pt>
                <c:pt idx="157">
                  <c:v>42401</c:v>
                </c:pt>
                <c:pt idx="158">
                  <c:v>42430</c:v>
                </c:pt>
                <c:pt idx="159">
                  <c:v>42461</c:v>
                </c:pt>
                <c:pt idx="160">
                  <c:v>42491</c:v>
                </c:pt>
                <c:pt idx="161">
                  <c:v>42522</c:v>
                </c:pt>
                <c:pt idx="162">
                  <c:v>42552</c:v>
                </c:pt>
                <c:pt idx="163">
                  <c:v>42583</c:v>
                </c:pt>
                <c:pt idx="164">
                  <c:v>42614</c:v>
                </c:pt>
                <c:pt idx="165">
                  <c:v>42644</c:v>
                </c:pt>
                <c:pt idx="166">
                  <c:v>42675</c:v>
                </c:pt>
                <c:pt idx="167">
                  <c:v>42705</c:v>
                </c:pt>
                <c:pt idx="168">
                  <c:v>42736</c:v>
                </c:pt>
                <c:pt idx="169">
                  <c:v>42767</c:v>
                </c:pt>
                <c:pt idx="170">
                  <c:v>42795</c:v>
                </c:pt>
                <c:pt idx="171">
                  <c:v>42826</c:v>
                </c:pt>
                <c:pt idx="172">
                  <c:v>42856</c:v>
                </c:pt>
                <c:pt idx="173">
                  <c:v>42887</c:v>
                </c:pt>
                <c:pt idx="174">
                  <c:v>42917</c:v>
                </c:pt>
                <c:pt idx="175">
                  <c:v>42948</c:v>
                </c:pt>
                <c:pt idx="176">
                  <c:v>42979</c:v>
                </c:pt>
                <c:pt idx="177">
                  <c:v>43009</c:v>
                </c:pt>
                <c:pt idx="178">
                  <c:v>43040</c:v>
                </c:pt>
                <c:pt idx="179">
                  <c:v>43070</c:v>
                </c:pt>
                <c:pt idx="180">
                  <c:v>43101</c:v>
                </c:pt>
                <c:pt idx="181">
                  <c:v>43132</c:v>
                </c:pt>
                <c:pt idx="182">
                  <c:v>43160</c:v>
                </c:pt>
                <c:pt idx="183">
                  <c:v>43191</c:v>
                </c:pt>
                <c:pt idx="184">
                  <c:v>43221</c:v>
                </c:pt>
                <c:pt idx="185">
                  <c:v>43252</c:v>
                </c:pt>
                <c:pt idx="186">
                  <c:v>43282</c:v>
                </c:pt>
                <c:pt idx="187">
                  <c:v>43313</c:v>
                </c:pt>
                <c:pt idx="188">
                  <c:v>43344</c:v>
                </c:pt>
                <c:pt idx="189">
                  <c:v>43374</c:v>
                </c:pt>
                <c:pt idx="190">
                  <c:v>43405</c:v>
                </c:pt>
                <c:pt idx="191">
                  <c:v>43435</c:v>
                </c:pt>
                <c:pt idx="192">
                  <c:v>43466</c:v>
                </c:pt>
                <c:pt idx="193">
                  <c:v>43497</c:v>
                </c:pt>
                <c:pt idx="194">
                  <c:v>43525</c:v>
                </c:pt>
                <c:pt idx="195">
                  <c:v>43556</c:v>
                </c:pt>
                <c:pt idx="196">
                  <c:v>43586</c:v>
                </c:pt>
                <c:pt idx="197">
                  <c:v>43617</c:v>
                </c:pt>
                <c:pt idx="198">
                  <c:v>43647</c:v>
                </c:pt>
                <c:pt idx="199">
                  <c:v>43678</c:v>
                </c:pt>
                <c:pt idx="200">
                  <c:v>43709</c:v>
                </c:pt>
                <c:pt idx="201">
                  <c:v>43739</c:v>
                </c:pt>
                <c:pt idx="202">
                  <c:v>43770</c:v>
                </c:pt>
                <c:pt idx="203">
                  <c:v>43800</c:v>
                </c:pt>
                <c:pt idx="204">
                  <c:v>43831</c:v>
                </c:pt>
                <c:pt idx="205">
                  <c:v>43862</c:v>
                </c:pt>
                <c:pt idx="206">
                  <c:v>43891</c:v>
                </c:pt>
                <c:pt idx="207">
                  <c:v>43922</c:v>
                </c:pt>
                <c:pt idx="208">
                  <c:v>43952</c:v>
                </c:pt>
                <c:pt idx="209">
                  <c:v>43983</c:v>
                </c:pt>
                <c:pt idx="210">
                  <c:v>44013</c:v>
                </c:pt>
                <c:pt idx="211">
                  <c:v>44044</c:v>
                </c:pt>
                <c:pt idx="212">
                  <c:v>44075</c:v>
                </c:pt>
                <c:pt idx="213">
                  <c:v>44105</c:v>
                </c:pt>
                <c:pt idx="214">
                  <c:v>44136</c:v>
                </c:pt>
                <c:pt idx="215">
                  <c:v>44166</c:v>
                </c:pt>
                <c:pt idx="216">
                  <c:v>44197</c:v>
                </c:pt>
                <c:pt idx="217">
                  <c:v>44228</c:v>
                </c:pt>
                <c:pt idx="218">
                  <c:v>44256</c:v>
                </c:pt>
                <c:pt idx="219">
                  <c:v>44287</c:v>
                </c:pt>
                <c:pt idx="220">
                  <c:v>44317</c:v>
                </c:pt>
                <c:pt idx="221">
                  <c:v>44348</c:v>
                </c:pt>
                <c:pt idx="222">
                  <c:v>44378</c:v>
                </c:pt>
                <c:pt idx="223">
                  <c:v>44409</c:v>
                </c:pt>
                <c:pt idx="224">
                  <c:v>44440</c:v>
                </c:pt>
                <c:pt idx="225">
                  <c:v>44470</c:v>
                </c:pt>
                <c:pt idx="226">
                  <c:v>44501</c:v>
                </c:pt>
                <c:pt idx="227">
                  <c:v>44531</c:v>
                </c:pt>
                <c:pt idx="228">
                  <c:v>44562</c:v>
                </c:pt>
                <c:pt idx="229">
                  <c:v>44593</c:v>
                </c:pt>
              </c:numCache>
            </c:numRef>
          </c:cat>
          <c:val>
            <c:numRef>
              <c:f>GRANGER!$G$10:$G$239</c:f>
              <c:numCache>
                <c:formatCode>0.0</c:formatCode>
                <c:ptCount val="230"/>
                <c:pt idx="0">
                  <c:v>#N/A</c:v>
                </c:pt>
                <c:pt idx="1">
                  <c:v>1.4932802389248383</c:v>
                </c:pt>
                <c:pt idx="2">
                  <c:v>7.8469838155957122E-2</c:v>
                </c:pt>
                <c:pt idx="3">
                  <c:v>-1.087915319023816</c:v>
                </c:pt>
                <c:pt idx="4">
                  <c:v>-1.0206103844629422</c:v>
                </c:pt>
                <c:pt idx="5">
                  <c:v>0.39042947241966219</c:v>
                </c:pt>
                <c:pt idx="6">
                  <c:v>-1.2066214599122538</c:v>
                </c:pt>
                <c:pt idx="7">
                  <c:v>0.66619561925912074</c:v>
                </c:pt>
                <c:pt idx="8">
                  <c:v>1.9853604732778398</c:v>
                </c:pt>
                <c:pt idx="9">
                  <c:v>0.16714187395536498</c:v>
                </c:pt>
                <c:pt idx="10">
                  <c:v>8.8339222614844337E-2</c:v>
                </c:pt>
                <c:pt idx="11">
                  <c:v>-0.38246543100912089</c:v>
                </c:pt>
                <c:pt idx="12">
                  <c:v>1.9590470565071814</c:v>
                </c:pt>
                <c:pt idx="13">
                  <c:v>0.88828811431881993</c:v>
                </c:pt>
                <c:pt idx="14">
                  <c:v>1.4259737773949748</c:v>
                </c:pt>
                <c:pt idx="15">
                  <c:v>0.40573693149650175</c:v>
                </c:pt>
                <c:pt idx="16">
                  <c:v>2.8192839018890269E-2</c:v>
                </c:pt>
                <c:pt idx="17">
                  <c:v>0.73280721533258286</c:v>
                </c:pt>
                <c:pt idx="18">
                  <c:v>0.55959709009512615</c:v>
                </c:pt>
                <c:pt idx="19">
                  <c:v>0.34316453348173304</c:v>
                </c:pt>
                <c:pt idx="20">
                  <c:v>1.1738608004436604</c:v>
                </c:pt>
                <c:pt idx="21">
                  <c:v>-0.66691028686277165</c:v>
                </c:pt>
                <c:pt idx="22">
                  <c:v>0.81854134093626474</c:v>
                </c:pt>
                <c:pt idx="23">
                  <c:v>-0.75716110198868658</c:v>
                </c:pt>
                <c:pt idx="24">
                  <c:v>0.76293777001562491</c:v>
                </c:pt>
                <c:pt idx="25">
                  <c:v>0.47436599160736725</c:v>
                </c:pt>
                <c:pt idx="26">
                  <c:v>0.26330125295079559</c:v>
                </c:pt>
                <c:pt idx="27">
                  <c:v>0.47088653445621304</c:v>
                </c:pt>
                <c:pt idx="28">
                  <c:v>3.6052275799902694E-2</c:v>
                </c:pt>
                <c:pt idx="29">
                  <c:v>-0.32435354536444677</c:v>
                </c:pt>
                <c:pt idx="30">
                  <c:v>0</c:v>
                </c:pt>
                <c:pt idx="31">
                  <c:v>0.59658320527886721</c:v>
                </c:pt>
                <c:pt idx="32">
                  <c:v>-0.38637793153024241</c:v>
                </c:pt>
                <c:pt idx="33">
                  <c:v>0.17138733537795212</c:v>
                </c:pt>
                <c:pt idx="34">
                  <c:v>0.68437640702386771</c:v>
                </c:pt>
                <c:pt idx="35">
                  <c:v>0.4561309364099731</c:v>
                </c:pt>
                <c:pt idx="36">
                  <c:v>0.94373219373219586</c:v>
                </c:pt>
                <c:pt idx="37">
                  <c:v>0.20285764685130003</c:v>
                </c:pt>
                <c:pt idx="38">
                  <c:v>-5.281225244256868E-2</c:v>
                </c:pt>
                <c:pt idx="39">
                  <c:v>0.59885512989872902</c:v>
                </c:pt>
                <c:pt idx="40">
                  <c:v>1.2518602818874136</c:v>
                </c:pt>
                <c:pt idx="41">
                  <c:v>-0.81272695832612629</c:v>
                </c:pt>
                <c:pt idx="42">
                  <c:v>1.9351464435146435</c:v>
                </c:pt>
                <c:pt idx="43">
                  <c:v>-0.27364460407045765</c:v>
                </c:pt>
                <c:pt idx="44">
                  <c:v>0.17149717029668035</c:v>
                </c:pt>
                <c:pt idx="45">
                  <c:v>1.0700222564629345</c:v>
                </c:pt>
                <c:pt idx="46">
                  <c:v>0.67756415685611193</c:v>
                </c:pt>
                <c:pt idx="47">
                  <c:v>0.84125515268781026</c:v>
                </c:pt>
                <c:pt idx="48">
                  <c:v>-0.17518978893802281</c:v>
                </c:pt>
                <c:pt idx="49">
                  <c:v>0.42620758816647591</c:v>
                </c:pt>
                <c:pt idx="50">
                  <c:v>-0.64075892485645003</c:v>
                </c:pt>
                <c:pt idx="51">
                  <c:v>1.490787269681743</c:v>
                </c:pt>
                <c:pt idx="52">
                  <c:v>0.99026241954116889</c:v>
                </c:pt>
                <c:pt idx="53">
                  <c:v>0.84164079097891908</c:v>
                </c:pt>
                <c:pt idx="54">
                  <c:v>0.66445182724253093</c:v>
                </c:pt>
                <c:pt idx="55">
                  <c:v>8.854543990984419E-2</c:v>
                </c:pt>
                <c:pt idx="56">
                  <c:v>0.81228888531445309</c:v>
                </c:pt>
                <c:pt idx="57">
                  <c:v>0.77383326685281129</c:v>
                </c:pt>
                <c:pt idx="58">
                  <c:v>-0.11874604179859997</c:v>
                </c:pt>
                <c:pt idx="59">
                  <c:v>0.62613933581674885</c:v>
                </c:pt>
                <c:pt idx="60">
                  <c:v>0.20478890989288367</c:v>
                </c:pt>
                <c:pt idx="61">
                  <c:v>-0.30655557302311004</c:v>
                </c:pt>
                <c:pt idx="62">
                  <c:v>-0.30749822597177368</c:v>
                </c:pt>
                <c:pt idx="63">
                  <c:v>0.99652008857956753</c:v>
                </c:pt>
                <c:pt idx="64">
                  <c:v>1.3312451057165253</c:v>
                </c:pt>
                <c:pt idx="65">
                  <c:v>1.3833075734157589</c:v>
                </c:pt>
                <c:pt idx="66">
                  <c:v>-0.1981858373351558</c:v>
                </c:pt>
                <c:pt idx="67">
                  <c:v>4.5826013900559286E-2</c:v>
                </c:pt>
                <c:pt idx="68">
                  <c:v>-4.5805023284221903E-2</c:v>
                </c:pt>
                <c:pt idx="69">
                  <c:v>-2.0927213014588015</c:v>
                </c:pt>
                <c:pt idx="70">
                  <c:v>-2.5274982447928815</c:v>
                </c:pt>
                <c:pt idx="71">
                  <c:v>-3.2172869147659031</c:v>
                </c:pt>
                <c:pt idx="72">
                  <c:v>-9.0961713387921639E-2</c:v>
                </c:pt>
                <c:pt idx="73">
                  <c:v>1.1339182254593647</c:v>
                </c:pt>
                <c:pt idx="74">
                  <c:v>0.63835011048367385</c:v>
                </c:pt>
                <c:pt idx="75">
                  <c:v>0.5448483369927638</c:v>
                </c:pt>
                <c:pt idx="76">
                  <c:v>0.9948236816564251</c:v>
                </c:pt>
                <c:pt idx="77">
                  <c:v>0.84888283815167964</c:v>
                </c:pt>
                <c:pt idx="78">
                  <c:v>0.28587310410545491</c:v>
                </c:pt>
                <c:pt idx="79">
                  <c:v>1.4252909969118672</c:v>
                </c:pt>
                <c:pt idx="80">
                  <c:v>0.80412210164728015</c:v>
                </c:pt>
                <c:pt idx="81">
                  <c:v>0.51889714993803238</c:v>
                </c:pt>
                <c:pt idx="82">
                  <c:v>0.17720933816165976</c:v>
                </c:pt>
                <c:pt idx="83">
                  <c:v>0.98446392862636589</c:v>
                </c:pt>
                <c:pt idx="84">
                  <c:v>1.6527037319116429</c:v>
                </c:pt>
                <c:pt idx="85">
                  <c:v>1.2736944631752369</c:v>
                </c:pt>
                <c:pt idx="86">
                  <c:v>1.0505289635274218</c:v>
                </c:pt>
                <c:pt idx="87">
                  <c:v>0.33677428801523385</c:v>
                </c:pt>
                <c:pt idx="88">
                  <c:v>-0.40860999635169809</c:v>
                </c:pt>
                <c:pt idx="89">
                  <c:v>-0.19049014579824111</c:v>
                </c:pt>
                <c:pt idx="90">
                  <c:v>0.51383689348896511</c:v>
                </c:pt>
                <c:pt idx="91">
                  <c:v>0.54042211348862979</c:v>
                </c:pt>
                <c:pt idx="92">
                  <c:v>1.2638919154499959</c:v>
                </c:pt>
                <c:pt idx="93">
                  <c:v>-0.49494297396169407</c:v>
                </c:pt>
                <c:pt idx="94">
                  <c:v>0.98760092272203326</c:v>
                </c:pt>
                <c:pt idx="95">
                  <c:v>-1.2848882861017996</c:v>
                </c:pt>
                <c:pt idx="96">
                  <c:v>1.3377684575891202</c:v>
                </c:pt>
                <c:pt idx="97">
                  <c:v>0.41387184244328001</c:v>
                </c:pt>
                <c:pt idx="98">
                  <c:v>0.27003979533825717</c:v>
                </c:pt>
                <c:pt idx="99">
                  <c:v>-0.18426647767540105</c:v>
                </c:pt>
                <c:pt idx="100">
                  <c:v>0.30531099119568789</c:v>
                </c:pt>
                <c:pt idx="101">
                  <c:v>0.67247115452678463</c:v>
                </c:pt>
                <c:pt idx="102">
                  <c:v>2.1094079594994472E-2</c:v>
                </c:pt>
                <c:pt idx="103">
                  <c:v>-0.20386643233742852</c:v>
                </c:pt>
                <c:pt idx="104">
                  <c:v>-0.11975204282897711</c:v>
                </c:pt>
                <c:pt idx="105">
                  <c:v>-0.14810635446786061</c:v>
                </c:pt>
                <c:pt idx="106">
                  <c:v>0.47323068229975102</c:v>
                </c:pt>
                <c:pt idx="107">
                  <c:v>-1.2653778558875299</c:v>
                </c:pt>
                <c:pt idx="108">
                  <c:v>-1.1249555001779881</c:v>
                </c:pt>
                <c:pt idx="109">
                  <c:v>1.1665586519766722</c:v>
                </c:pt>
                <c:pt idx="110">
                  <c:v>-0.30607160652004184</c:v>
                </c:pt>
                <c:pt idx="111">
                  <c:v>0.69970012851634289</c:v>
                </c:pt>
                <c:pt idx="112">
                  <c:v>1.1557005104934739</c:v>
                </c:pt>
                <c:pt idx="113">
                  <c:v>0.62381720053270828</c:v>
                </c:pt>
                <c:pt idx="114">
                  <c:v>0.32738924491501731</c:v>
                </c:pt>
                <c:pt idx="115">
                  <c:v>0.22217593556897397</c:v>
                </c:pt>
                <c:pt idx="116">
                  <c:v>-0.44336681676479833</c:v>
                </c:pt>
                <c:pt idx="117">
                  <c:v>0.80022267065618657</c:v>
                </c:pt>
                <c:pt idx="118">
                  <c:v>-0.19329007317409991</c:v>
                </c:pt>
                <c:pt idx="119">
                  <c:v>-0.29049661087288414</c:v>
                </c:pt>
                <c:pt idx="120">
                  <c:v>0.57574916759157369</c:v>
                </c:pt>
                <c:pt idx="121">
                  <c:v>-0.84143734050624097</c:v>
                </c:pt>
                <c:pt idx="122">
                  <c:v>0.82075537316545744</c:v>
                </c:pt>
                <c:pt idx="123">
                  <c:v>0.88996205588135258</c:v>
                </c:pt>
                <c:pt idx="124">
                  <c:v>0.40344638949672007</c:v>
                </c:pt>
                <c:pt idx="125">
                  <c:v>-0.32690866989036171</c:v>
                </c:pt>
                <c:pt idx="126">
                  <c:v>0.57396651861974957</c:v>
                </c:pt>
                <c:pt idx="127">
                  <c:v>-5.4351518445535763E-2</c:v>
                </c:pt>
                <c:pt idx="128">
                  <c:v>0.70015634559171547</c:v>
                </c:pt>
                <c:pt idx="129">
                  <c:v>-0.10125556905628277</c:v>
                </c:pt>
                <c:pt idx="130">
                  <c:v>0.23650246638285988</c:v>
                </c:pt>
                <c:pt idx="131">
                  <c:v>0.1820142914925241</c:v>
                </c:pt>
                <c:pt idx="132">
                  <c:v>-0.22878675728416889</c:v>
                </c:pt>
                <c:pt idx="133">
                  <c:v>-0.28326701288191536</c:v>
                </c:pt>
                <c:pt idx="134">
                  <c:v>2.7054447074732528E-2</c:v>
                </c:pt>
                <c:pt idx="135">
                  <c:v>-0.68294002299005407</c:v>
                </c:pt>
                <c:pt idx="136">
                  <c:v>-0.39488017429192818</c:v>
                </c:pt>
                <c:pt idx="137">
                  <c:v>-1.8386876281613107</c:v>
                </c:pt>
                <c:pt idx="138">
                  <c:v>0.83559640693544224</c:v>
                </c:pt>
                <c:pt idx="139">
                  <c:v>0.53173123403080602</c:v>
                </c:pt>
                <c:pt idx="140">
                  <c:v>0.45335897788157475</c:v>
                </c:pt>
                <c:pt idx="141">
                  <c:v>-0.56072210065646988</c:v>
                </c:pt>
                <c:pt idx="142">
                  <c:v>9.6272864805401454E-2</c:v>
                </c:pt>
                <c:pt idx="143">
                  <c:v>0.44655125034350485</c:v>
                </c:pt>
                <c:pt idx="144">
                  <c:v>-0.85493468299021946</c:v>
                </c:pt>
                <c:pt idx="145">
                  <c:v>-0.6760485651214253</c:v>
                </c:pt>
                <c:pt idx="146">
                  <c:v>-0.17363522711487708</c:v>
                </c:pt>
                <c:pt idx="147">
                  <c:v>-0.93926111458985206</c:v>
                </c:pt>
                <c:pt idx="148">
                  <c:v>-0.91304958561594529</c:v>
                </c:pt>
                <c:pt idx="149">
                  <c:v>-1.0632265381343917</c:v>
                </c:pt>
                <c:pt idx="150">
                  <c:v>-0.65195586760282631</c:v>
                </c:pt>
                <c:pt idx="151">
                  <c:v>0.18749549289681933</c:v>
                </c:pt>
                <c:pt idx="152">
                  <c:v>-0.97891024256820969</c:v>
                </c:pt>
                <c:pt idx="153">
                  <c:v>0.68328850766882154</c:v>
                </c:pt>
                <c:pt idx="154">
                  <c:v>-1.3212042451808419</c:v>
                </c:pt>
                <c:pt idx="155">
                  <c:v>-0.27070529704419416</c:v>
                </c:pt>
                <c:pt idx="156">
                  <c:v>-0.57956129410901036</c:v>
                </c:pt>
                <c:pt idx="157">
                  <c:v>-7.3789846517261851E-3</c:v>
                </c:pt>
                <c:pt idx="158">
                  <c:v>-0.66415762674339707</c:v>
                </c:pt>
                <c:pt idx="159">
                  <c:v>8.9146422999759389E-2</c:v>
                </c:pt>
                <c:pt idx="160">
                  <c:v>-0.32657908409411252</c:v>
                </c:pt>
                <c:pt idx="161">
                  <c:v>0.40956139697670069</c:v>
                </c:pt>
                <c:pt idx="162">
                  <c:v>-0.1705725304064</c:v>
                </c:pt>
                <c:pt idx="163">
                  <c:v>-0.45316098358221046</c:v>
                </c:pt>
                <c:pt idx="164">
                  <c:v>-0.18656716417910446</c:v>
                </c:pt>
                <c:pt idx="165">
                  <c:v>-0.33644859813083261</c:v>
                </c:pt>
                <c:pt idx="166">
                  <c:v>-0.21005251312828291</c:v>
                </c:pt>
                <c:pt idx="167">
                  <c:v>-0.49616599007667755</c:v>
                </c:pt>
                <c:pt idx="168">
                  <c:v>0.76307041402235631</c:v>
                </c:pt>
                <c:pt idx="169">
                  <c:v>1.5220814276074088</c:v>
                </c:pt>
                <c:pt idx="170">
                  <c:v>0.18463810930576069</c:v>
                </c:pt>
                <c:pt idx="171">
                  <c:v>8.8462956137120935E-2</c:v>
                </c:pt>
                <c:pt idx="172">
                  <c:v>-0.44192384179128136</c:v>
                </c:pt>
                <c:pt idx="173">
                  <c:v>0.6436339424428531</c:v>
                </c:pt>
                <c:pt idx="174">
                  <c:v>0.33078506321671353</c:v>
                </c:pt>
                <c:pt idx="175">
                  <c:v>-0.49820499670306012</c:v>
                </c:pt>
                <c:pt idx="176">
                  <c:v>-0.23562329725351092</c:v>
                </c:pt>
                <c:pt idx="177">
                  <c:v>0.20665731788323946</c:v>
                </c:pt>
                <c:pt idx="178">
                  <c:v>-0.14730794726376742</c:v>
                </c:pt>
                <c:pt idx="179">
                  <c:v>1.3719849524231127</c:v>
                </c:pt>
                <c:pt idx="180">
                  <c:v>-0.42203303499964523</c:v>
                </c:pt>
                <c:pt idx="181">
                  <c:v>-0.15345268542200072</c:v>
                </c:pt>
                <c:pt idx="182">
                  <c:v>0.45374707259953501</c:v>
                </c:pt>
                <c:pt idx="183">
                  <c:v>0.80139880518725248</c:v>
                </c:pt>
                <c:pt idx="184">
                  <c:v>-3.592078635443789</c:v>
                </c:pt>
                <c:pt idx="185">
                  <c:v>3.0362096109153698</c:v>
                </c:pt>
                <c:pt idx="186">
                  <c:v>0.43655413271245225</c:v>
                </c:pt>
                <c:pt idx="187">
                  <c:v>0.92726745870762195</c:v>
                </c:pt>
                <c:pt idx="188">
                  <c:v>-0.95463680734997425</c:v>
                </c:pt>
                <c:pt idx="189">
                  <c:v>5.0728313645911426E-2</c:v>
                </c:pt>
                <c:pt idx="190">
                  <c:v>-0.14486455164420442</c:v>
                </c:pt>
                <c:pt idx="191">
                  <c:v>0.48600029014941781</c:v>
                </c:pt>
                <c:pt idx="192">
                  <c:v>-3.6093264996759813E-2</c:v>
                </c:pt>
                <c:pt idx="193">
                  <c:v>-0.79433853264008847</c:v>
                </c:pt>
                <c:pt idx="194">
                  <c:v>0.75702431212694132</c:v>
                </c:pt>
                <c:pt idx="195">
                  <c:v>-0.23840485478975876</c:v>
                </c:pt>
                <c:pt idx="196">
                  <c:v>0.63002389745818277</c:v>
                </c:pt>
                <c:pt idx="197">
                  <c:v>2.1588946459413599E-2</c:v>
                </c:pt>
                <c:pt idx="198">
                  <c:v>-0.30937477516368572</c:v>
                </c:pt>
                <c:pt idx="199">
                  <c:v>2.1651270207853013E-2</c:v>
                </c:pt>
                <c:pt idx="200">
                  <c:v>0.36077639079298651</c:v>
                </c:pt>
                <c:pt idx="201">
                  <c:v>0.6254942842763711</c:v>
                </c:pt>
                <c:pt idx="202">
                  <c:v>-0.83595312946557288</c:v>
                </c:pt>
                <c:pt idx="203">
                  <c:v>-0.50435910368181325</c:v>
                </c:pt>
                <c:pt idx="204">
                  <c:v>0.53588239553914774</c:v>
                </c:pt>
                <c:pt idx="205">
                  <c:v>0.38176186703162218</c:v>
                </c:pt>
                <c:pt idx="206">
                  <c:v>-5.1880022962112635</c:v>
                </c:pt>
                <c:pt idx="207">
                  <c:v>-9.9523196851585496</c:v>
                </c:pt>
                <c:pt idx="208">
                  <c:v>2.0927887039838584</c:v>
                </c:pt>
                <c:pt idx="209">
                  <c:v>5.0629785132131433</c:v>
                </c:pt>
                <c:pt idx="210">
                  <c:v>3.2440056417489318</c:v>
                </c:pt>
                <c:pt idx="211">
                  <c:v>2.0795385549483982</c:v>
                </c:pt>
                <c:pt idx="212">
                  <c:v>1.442379182156132</c:v>
                </c:pt>
                <c:pt idx="213">
                  <c:v>1.4072119613016827</c:v>
                </c:pt>
                <c:pt idx="214">
                  <c:v>-0.33246603064470071</c:v>
                </c:pt>
                <c:pt idx="215">
                  <c:v>0.21029731689629588</c:v>
                </c:pt>
                <c:pt idx="216">
                  <c:v>0.59338591793906448</c:v>
                </c:pt>
                <c:pt idx="217">
                  <c:v>1.5034889576289501</c:v>
                </c:pt>
                <c:pt idx="218">
                  <c:v>-1.5946137491141037</c:v>
                </c:pt>
                <c:pt idx="219">
                  <c:v>0.27367662945624449</c:v>
                </c:pt>
                <c:pt idx="220">
                  <c:v>3.5911800617691135E-2</c:v>
                </c:pt>
                <c:pt idx="221">
                  <c:v>0.17949454336588169</c:v>
                </c:pt>
                <c:pt idx="222">
                  <c:v>-0.12183759764924208</c:v>
                </c:pt>
                <c:pt idx="223">
                  <c:v>0.10045924225027722</c:v>
                </c:pt>
                <c:pt idx="224">
                  <c:v>-0.57347670250896876</c:v>
                </c:pt>
                <c:pt idx="225">
                  <c:v>5.0468637346807219E-2</c:v>
                </c:pt>
                <c:pt idx="226">
                  <c:v>0.45398861425379794</c:v>
                </c:pt>
                <c:pt idx="227">
                  <c:v>0.32281205164992011</c:v>
                </c:pt>
                <c:pt idx="228">
                  <c:v>-0.72935287808364813</c:v>
                </c:pt>
                <c:pt idx="229">
                  <c:v>0.33854354246200308</c:v>
                </c:pt>
              </c:numCache>
            </c:numRef>
          </c:val>
          <c:smooth val="0"/>
          <c:extLst>
            <c:ext xmlns:c16="http://schemas.microsoft.com/office/drawing/2014/chart" uri="{C3380CC4-5D6E-409C-BE32-E72D297353CC}">
              <c16:uniqueId val="{00000000-27D6-4B93-B8B4-5D3D28D9E8E2}"/>
            </c:ext>
          </c:extLst>
        </c:ser>
        <c:ser>
          <c:idx val="1"/>
          <c:order val="1"/>
          <c:tx>
            <c:strRef>
              <c:f>GRANGER!$H$9</c:f>
              <c:strCache>
                <c:ptCount val="1"/>
                <c:pt idx="0">
                  <c:v>IndProd</c:v>
                </c:pt>
              </c:strCache>
            </c:strRef>
          </c:tx>
          <c:spPr>
            <a:ln w="28575" cap="rnd">
              <a:solidFill>
                <a:schemeClr val="accent2"/>
              </a:solidFill>
              <a:round/>
            </a:ln>
            <a:effectLst/>
          </c:spPr>
          <c:marker>
            <c:symbol val="none"/>
          </c:marker>
          <c:cat>
            <c:numRef>
              <c:f>GRANGER!$F$10:$F$239</c:f>
              <c:numCache>
                <c:formatCode>[$-416]mmm\-yy;@</c:formatCode>
                <c:ptCount val="230"/>
                <c:pt idx="0">
                  <c:v>37622</c:v>
                </c:pt>
                <c:pt idx="1">
                  <c:v>37653</c:v>
                </c:pt>
                <c:pt idx="2">
                  <c:v>37681</c:v>
                </c:pt>
                <c:pt idx="3">
                  <c:v>37712</c:v>
                </c:pt>
                <c:pt idx="4">
                  <c:v>37742</c:v>
                </c:pt>
                <c:pt idx="5">
                  <c:v>37773</c:v>
                </c:pt>
                <c:pt idx="6">
                  <c:v>37803</c:v>
                </c:pt>
                <c:pt idx="7">
                  <c:v>37834</c:v>
                </c:pt>
                <c:pt idx="8">
                  <c:v>37865</c:v>
                </c:pt>
                <c:pt idx="9">
                  <c:v>37895</c:v>
                </c:pt>
                <c:pt idx="10">
                  <c:v>37926</c:v>
                </c:pt>
                <c:pt idx="11">
                  <c:v>37956</c:v>
                </c:pt>
                <c:pt idx="12">
                  <c:v>37987</c:v>
                </c:pt>
                <c:pt idx="13">
                  <c:v>38018</c:v>
                </c:pt>
                <c:pt idx="14">
                  <c:v>38047</c:v>
                </c:pt>
                <c:pt idx="15">
                  <c:v>38078</c:v>
                </c:pt>
                <c:pt idx="16">
                  <c:v>38108</c:v>
                </c:pt>
                <c:pt idx="17">
                  <c:v>38139</c:v>
                </c:pt>
                <c:pt idx="18">
                  <c:v>38169</c:v>
                </c:pt>
                <c:pt idx="19">
                  <c:v>38200</c:v>
                </c:pt>
                <c:pt idx="20">
                  <c:v>38231</c:v>
                </c:pt>
                <c:pt idx="21">
                  <c:v>38261</c:v>
                </c:pt>
                <c:pt idx="22">
                  <c:v>38292</c:v>
                </c:pt>
                <c:pt idx="23">
                  <c:v>38322</c:v>
                </c:pt>
                <c:pt idx="24">
                  <c:v>38353</c:v>
                </c:pt>
                <c:pt idx="25">
                  <c:v>38384</c:v>
                </c:pt>
                <c:pt idx="26">
                  <c:v>38412</c:v>
                </c:pt>
                <c:pt idx="27">
                  <c:v>38443</c:v>
                </c:pt>
                <c:pt idx="28">
                  <c:v>38473</c:v>
                </c:pt>
                <c:pt idx="29">
                  <c:v>38504</c:v>
                </c:pt>
                <c:pt idx="30">
                  <c:v>38534</c:v>
                </c:pt>
                <c:pt idx="31">
                  <c:v>38565</c:v>
                </c:pt>
                <c:pt idx="32">
                  <c:v>38596</c:v>
                </c:pt>
                <c:pt idx="33">
                  <c:v>38626</c:v>
                </c:pt>
                <c:pt idx="34">
                  <c:v>38657</c:v>
                </c:pt>
                <c:pt idx="35">
                  <c:v>38687</c:v>
                </c:pt>
                <c:pt idx="36">
                  <c:v>38718</c:v>
                </c:pt>
                <c:pt idx="37">
                  <c:v>38749</c:v>
                </c:pt>
                <c:pt idx="38">
                  <c:v>38777</c:v>
                </c:pt>
                <c:pt idx="39">
                  <c:v>38808</c:v>
                </c:pt>
                <c:pt idx="40">
                  <c:v>38838</c:v>
                </c:pt>
                <c:pt idx="41">
                  <c:v>38869</c:v>
                </c:pt>
                <c:pt idx="42">
                  <c:v>38899</c:v>
                </c:pt>
                <c:pt idx="43">
                  <c:v>38930</c:v>
                </c:pt>
                <c:pt idx="44">
                  <c:v>38961</c:v>
                </c:pt>
                <c:pt idx="45">
                  <c:v>38991</c:v>
                </c:pt>
                <c:pt idx="46">
                  <c:v>39022</c:v>
                </c:pt>
                <c:pt idx="47">
                  <c:v>39052</c:v>
                </c:pt>
                <c:pt idx="48">
                  <c:v>39083</c:v>
                </c:pt>
                <c:pt idx="49">
                  <c:v>39114</c:v>
                </c:pt>
                <c:pt idx="50">
                  <c:v>39142</c:v>
                </c:pt>
                <c:pt idx="51">
                  <c:v>39173</c:v>
                </c:pt>
                <c:pt idx="52">
                  <c:v>39203</c:v>
                </c:pt>
                <c:pt idx="53">
                  <c:v>39234</c:v>
                </c:pt>
                <c:pt idx="54">
                  <c:v>39264</c:v>
                </c:pt>
                <c:pt idx="55">
                  <c:v>39295</c:v>
                </c:pt>
                <c:pt idx="56">
                  <c:v>39326</c:v>
                </c:pt>
                <c:pt idx="57">
                  <c:v>39356</c:v>
                </c:pt>
                <c:pt idx="58">
                  <c:v>39387</c:v>
                </c:pt>
                <c:pt idx="59">
                  <c:v>39417</c:v>
                </c:pt>
                <c:pt idx="60">
                  <c:v>39448</c:v>
                </c:pt>
                <c:pt idx="61">
                  <c:v>39479</c:v>
                </c:pt>
                <c:pt idx="62">
                  <c:v>39508</c:v>
                </c:pt>
                <c:pt idx="63">
                  <c:v>39539</c:v>
                </c:pt>
                <c:pt idx="64">
                  <c:v>39569</c:v>
                </c:pt>
                <c:pt idx="65">
                  <c:v>39600</c:v>
                </c:pt>
                <c:pt idx="66">
                  <c:v>39630</c:v>
                </c:pt>
                <c:pt idx="67">
                  <c:v>39661</c:v>
                </c:pt>
                <c:pt idx="68">
                  <c:v>39692</c:v>
                </c:pt>
                <c:pt idx="69">
                  <c:v>39722</c:v>
                </c:pt>
                <c:pt idx="70">
                  <c:v>39753</c:v>
                </c:pt>
                <c:pt idx="71">
                  <c:v>39783</c:v>
                </c:pt>
                <c:pt idx="72">
                  <c:v>39814</c:v>
                </c:pt>
                <c:pt idx="73">
                  <c:v>39845</c:v>
                </c:pt>
                <c:pt idx="74">
                  <c:v>39873</c:v>
                </c:pt>
                <c:pt idx="75">
                  <c:v>39904</c:v>
                </c:pt>
                <c:pt idx="76">
                  <c:v>39934</c:v>
                </c:pt>
                <c:pt idx="77">
                  <c:v>39965</c:v>
                </c:pt>
                <c:pt idx="78">
                  <c:v>39995</c:v>
                </c:pt>
                <c:pt idx="79">
                  <c:v>40026</c:v>
                </c:pt>
                <c:pt idx="80">
                  <c:v>40057</c:v>
                </c:pt>
                <c:pt idx="81">
                  <c:v>40087</c:v>
                </c:pt>
                <c:pt idx="82">
                  <c:v>40118</c:v>
                </c:pt>
                <c:pt idx="83">
                  <c:v>40148</c:v>
                </c:pt>
                <c:pt idx="84">
                  <c:v>40179</c:v>
                </c:pt>
                <c:pt idx="85">
                  <c:v>40210</c:v>
                </c:pt>
                <c:pt idx="86">
                  <c:v>40238</c:v>
                </c:pt>
                <c:pt idx="87">
                  <c:v>40269</c:v>
                </c:pt>
                <c:pt idx="88">
                  <c:v>40299</c:v>
                </c:pt>
                <c:pt idx="89">
                  <c:v>40330</c:v>
                </c:pt>
                <c:pt idx="90">
                  <c:v>40360</c:v>
                </c:pt>
                <c:pt idx="91">
                  <c:v>40391</c:v>
                </c:pt>
                <c:pt idx="92">
                  <c:v>40422</c:v>
                </c:pt>
                <c:pt idx="93">
                  <c:v>40452</c:v>
                </c:pt>
                <c:pt idx="94">
                  <c:v>40483</c:v>
                </c:pt>
                <c:pt idx="95">
                  <c:v>40513</c:v>
                </c:pt>
                <c:pt idx="96">
                  <c:v>40544</c:v>
                </c:pt>
                <c:pt idx="97">
                  <c:v>40575</c:v>
                </c:pt>
                <c:pt idx="98">
                  <c:v>40603</c:v>
                </c:pt>
                <c:pt idx="99">
                  <c:v>40634</c:v>
                </c:pt>
                <c:pt idx="100">
                  <c:v>40664</c:v>
                </c:pt>
                <c:pt idx="101">
                  <c:v>40695</c:v>
                </c:pt>
                <c:pt idx="102">
                  <c:v>40725</c:v>
                </c:pt>
                <c:pt idx="103">
                  <c:v>40756</c:v>
                </c:pt>
                <c:pt idx="104">
                  <c:v>40787</c:v>
                </c:pt>
                <c:pt idx="105">
                  <c:v>40817</c:v>
                </c:pt>
                <c:pt idx="106">
                  <c:v>40848</c:v>
                </c:pt>
                <c:pt idx="107">
                  <c:v>40878</c:v>
                </c:pt>
                <c:pt idx="108">
                  <c:v>40909</c:v>
                </c:pt>
                <c:pt idx="109">
                  <c:v>40940</c:v>
                </c:pt>
                <c:pt idx="110">
                  <c:v>40969</c:v>
                </c:pt>
                <c:pt idx="111">
                  <c:v>41000</c:v>
                </c:pt>
                <c:pt idx="112">
                  <c:v>41030</c:v>
                </c:pt>
                <c:pt idx="113">
                  <c:v>41061</c:v>
                </c:pt>
                <c:pt idx="114">
                  <c:v>41091</c:v>
                </c:pt>
                <c:pt idx="115">
                  <c:v>41122</c:v>
                </c:pt>
                <c:pt idx="116">
                  <c:v>41153</c:v>
                </c:pt>
                <c:pt idx="117">
                  <c:v>41183</c:v>
                </c:pt>
                <c:pt idx="118">
                  <c:v>41214</c:v>
                </c:pt>
                <c:pt idx="119">
                  <c:v>41244</c:v>
                </c:pt>
                <c:pt idx="120">
                  <c:v>41275</c:v>
                </c:pt>
                <c:pt idx="121">
                  <c:v>41306</c:v>
                </c:pt>
                <c:pt idx="122">
                  <c:v>41334</c:v>
                </c:pt>
                <c:pt idx="123">
                  <c:v>41365</c:v>
                </c:pt>
                <c:pt idx="124">
                  <c:v>41395</c:v>
                </c:pt>
                <c:pt idx="125">
                  <c:v>41426</c:v>
                </c:pt>
                <c:pt idx="126">
                  <c:v>41456</c:v>
                </c:pt>
                <c:pt idx="127">
                  <c:v>41487</c:v>
                </c:pt>
                <c:pt idx="128">
                  <c:v>41518</c:v>
                </c:pt>
                <c:pt idx="129">
                  <c:v>41548</c:v>
                </c:pt>
                <c:pt idx="130">
                  <c:v>41579</c:v>
                </c:pt>
                <c:pt idx="131">
                  <c:v>41609</c:v>
                </c:pt>
                <c:pt idx="132">
                  <c:v>41640</c:v>
                </c:pt>
                <c:pt idx="133">
                  <c:v>41671</c:v>
                </c:pt>
                <c:pt idx="134">
                  <c:v>41699</c:v>
                </c:pt>
                <c:pt idx="135">
                  <c:v>41730</c:v>
                </c:pt>
                <c:pt idx="136">
                  <c:v>41760</c:v>
                </c:pt>
                <c:pt idx="137">
                  <c:v>41791</c:v>
                </c:pt>
                <c:pt idx="138">
                  <c:v>41821</c:v>
                </c:pt>
                <c:pt idx="139">
                  <c:v>41852</c:v>
                </c:pt>
                <c:pt idx="140">
                  <c:v>41883</c:v>
                </c:pt>
                <c:pt idx="141">
                  <c:v>41913</c:v>
                </c:pt>
                <c:pt idx="142">
                  <c:v>41944</c:v>
                </c:pt>
                <c:pt idx="143">
                  <c:v>41974</c:v>
                </c:pt>
                <c:pt idx="144">
                  <c:v>42005</c:v>
                </c:pt>
                <c:pt idx="145">
                  <c:v>42036</c:v>
                </c:pt>
                <c:pt idx="146">
                  <c:v>42064</c:v>
                </c:pt>
                <c:pt idx="147">
                  <c:v>42095</c:v>
                </c:pt>
                <c:pt idx="148">
                  <c:v>42125</c:v>
                </c:pt>
                <c:pt idx="149">
                  <c:v>42156</c:v>
                </c:pt>
                <c:pt idx="150">
                  <c:v>42186</c:v>
                </c:pt>
                <c:pt idx="151">
                  <c:v>42217</c:v>
                </c:pt>
                <c:pt idx="152">
                  <c:v>42248</c:v>
                </c:pt>
                <c:pt idx="153">
                  <c:v>42278</c:v>
                </c:pt>
                <c:pt idx="154">
                  <c:v>42309</c:v>
                </c:pt>
                <c:pt idx="155">
                  <c:v>42339</c:v>
                </c:pt>
                <c:pt idx="156">
                  <c:v>42370</c:v>
                </c:pt>
                <c:pt idx="157">
                  <c:v>42401</c:v>
                </c:pt>
                <c:pt idx="158">
                  <c:v>42430</c:v>
                </c:pt>
                <c:pt idx="159">
                  <c:v>42461</c:v>
                </c:pt>
                <c:pt idx="160">
                  <c:v>42491</c:v>
                </c:pt>
                <c:pt idx="161">
                  <c:v>42522</c:v>
                </c:pt>
                <c:pt idx="162">
                  <c:v>42552</c:v>
                </c:pt>
                <c:pt idx="163">
                  <c:v>42583</c:v>
                </c:pt>
                <c:pt idx="164">
                  <c:v>42614</c:v>
                </c:pt>
                <c:pt idx="165">
                  <c:v>42644</c:v>
                </c:pt>
                <c:pt idx="166">
                  <c:v>42675</c:v>
                </c:pt>
                <c:pt idx="167">
                  <c:v>42705</c:v>
                </c:pt>
                <c:pt idx="168">
                  <c:v>42736</c:v>
                </c:pt>
                <c:pt idx="169">
                  <c:v>42767</c:v>
                </c:pt>
                <c:pt idx="170">
                  <c:v>42795</c:v>
                </c:pt>
                <c:pt idx="171">
                  <c:v>42826</c:v>
                </c:pt>
                <c:pt idx="172">
                  <c:v>42856</c:v>
                </c:pt>
                <c:pt idx="173">
                  <c:v>42887</c:v>
                </c:pt>
                <c:pt idx="174">
                  <c:v>42917</c:v>
                </c:pt>
                <c:pt idx="175">
                  <c:v>42948</c:v>
                </c:pt>
                <c:pt idx="176">
                  <c:v>42979</c:v>
                </c:pt>
                <c:pt idx="177">
                  <c:v>43009</c:v>
                </c:pt>
                <c:pt idx="178">
                  <c:v>43040</c:v>
                </c:pt>
                <c:pt idx="179">
                  <c:v>43070</c:v>
                </c:pt>
                <c:pt idx="180">
                  <c:v>43101</c:v>
                </c:pt>
                <c:pt idx="181">
                  <c:v>43132</c:v>
                </c:pt>
                <c:pt idx="182">
                  <c:v>43160</c:v>
                </c:pt>
                <c:pt idx="183">
                  <c:v>43191</c:v>
                </c:pt>
                <c:pt idx="184">
                  <c:v>43221</c:v>
                </c:pt>
                <c:pt idx="185">
                  <c:v>43252</c:v>
                </c:pt>
                <c:pt idx="186">
                  <c:v>43282</c:v>
                </c:pt>
                <c:pt idx="187">
                  <c:v>43313</c:v>
                </c:pt>
                <c:pt idx="188">
                  <c:v>43344</c:v>
                </c:pt>
                <c:pt idx="189">
                  <c:v>43374</c:v>
                </c:pt>
                <c:pt idx="190">
                  <c:v>43405</c:v>
                </c:pt>
                <c:pt idx="191">
                  <c:v>43435</c:v>
                </c:pt>
                <c:pt idx="192">
                  <c:v>43466</c:v>
                </c:pt>
                <c:pt idx="193">
                  <c:v>43497</c:v>
                </c:pt>
                <c:pt idx="194">
                  <c:v>43525</c:v>
                </c:pt>
                <c:pt idx="195">
                  <c:v>43556</c:v>
                </c:pt>
                <c:pt idx="196">
                  <c:v>43586</c:v>
                </c:pt>
                <c:pt idx="197">
                  <c:v>43617</c:v>
                </c:pt>
                <c:pt idx="198">
                  <c:v>43647</c:v>
                </c:pt>
                <c:pt idx="199">
                  <c:v>43678</c:v>
                </c:pt>
                <c:pt idx="200">
                  <c:v>43709</c:v>
                </c:pt>
                <c:pt idx="201">
                  <c:v>43739</c:v>
                </c:pt>
                <c:pt idx="202">
                  <c:v>43770</c:v>
                </c:pt>
                <c:pt idx="203">
                  <c:v>43800</c:v>
                </c:pt>
                <c:pt idx="204">
                  <c:v>43831</c:v>
                </c:pt>
                <c:pt idx="205">
                  <c:v>43862</c:v>
                </c:pt>
                <c:pt idx="206">
                  <c:v>43891</c:v>
                </c:pt>
                <c:pt idx="207">
                  <c:v>43922</c:v>
                </c:pt>
                <c:pt idx="208">
                  <c:v>43952</c:v>
                </c:pt>
                <c:pt idx="209">
                  <c:v>43983</c:v>
                </c:pt>
                <c:pt idx="210">
                  <c:v>44013</c:v>
                </c:pt>
                <c:pt idx="211">
                  <c:v>44044</c:v>
                </c:pt>
                <c:pt idx="212">
                  <c:v>44075</c:v>
                </c:pt>
                <c:pt idx="213">
                  <c:v>44105</c:v>
                </c:pt>
                <c:pt idx="214">
                  <c:v>44136</c:v>
                </c:pt>
                <c:pt idx="215">
                  <c:v>44166</c:v>
                </c:pt>
                <c:pt idx="216">
                  <c:v>44197</c:v>
                </c:pt>
                <c:pt idx="217">
                  <c:v>44228</c:v>
                </c:pt>
                <c:pt idx="218">
                  <c:v>44256</c:v>
                </c:pt>
                <c:pt idx="219">
                  <c:v>44287</c:v>
                </c:pt>
                <c:pt idx="220">
                  <c:v>44317</c:v>
                </c:pt>
                <c:pt idx="221">
                  <c:v>44348</c:v>
                </c:pt>
                <c:pt idx="222">
                  <c:v>44378</c:v>
                </c:pt>
                <c:pt idx="223">
                  <c:v>44409</c:v>
                </c:pt>
                <c:pt idx="224">
                  <c:v>44440</c:v>
                </c:pt>
                <c:pt idx="225">
                  <c:v>44470</c:v>
                </c:pt>
                <c:pt idx="226">
                  <c:v>44501</c:v>
                </c:pt>
                <c:pt idx="227">
                  <c:v>44531</c:v>
                </c:pt>
                <c:pt idx="228">
                  <c:v>44562</c:v>
                </c:pt>
                <c:pt idx="229">
                  <c:v>44593</c:v>
                </c:pt>
              </c:numCache>
            </c:numRef>
          </c:cat>
          <c:val>
            <c:numRef>
              <c:f>GRANGER!$H$10:$H$239</c:f>
              <c:numCache>
                <c:formatCode>0.0</c:formatCode>
                <c:ptCount val="230"/>
                <c:pt idx="0">
                  <c:v>0.12547051442910201</c:v>
                </c:pt>
                <c:pt idx="1">
                  <c:v>-0.37593984962405663</c:v>
                </c:pt>
                <c:pt idx="2">
                  <c:v>-0.12578616352200545</c:v>
                </c:pt>
                <c:pt idx="3">
                  <c:v>-0.12594458438288228</c:v>
                </c:pt>
                <c:pt idx="4">
                  <c:v>-1.5132408575031562</c:v>
                </c:pt>
                <c:pt idx="5">
                  <c:v>0.38412291933420156</c:v>
                </c:pt>
                <c:pt idx="6">
                  <c:v>-0.89285714285714646</c:v>
                </c:pt>
                <c:pt idx="7">
                  <c:v>1.544401544401548</c:v>
                </c:pt>
                <c:pt idx="8">
                  <c:v>2.9150823827629875</c:v>
                </c:pt>
                <c:pt idx="9">
                  <c:v>0.2463054187192153</c:v>
                </c:pt>
                <c:pt idx="10">
                  <c:v>1.3513513513513442</c:v>
                </c:pt>
                <c:pt idx="11">
                  <c:v>-1.5757575757575724</c:v>
                </c:pt>
                <c:pt idx="12">
                  <c:v>1.8472906403940885</c:v>
                </c:pt>
                <c:pt idx="13">
                  <c:v>1.5719467956469131</c:v>
                </c:pt>
                <c:pt idx="14">
                  <c:v>0.47619047619048299</c:v>
                </c:pt>
                <c:pt idx="15">
                  <c:v>0.82938388625591075</c:v>
                </c:pt>
                <c:pt idx="16">
                  <c:v>1.0575793184488904</c:v>
                </c:pt>
                <c:pt idx="17">
                  <c:v>0.23255813953488702</c:v>
                </c:pt>
                <c:pt idx="18">
                  <c:v>0.69605568445474975</c:v>
                </c:pt>
                <c:pt idx="19">
                  <c:v>1.0368663594470111</c:v>
                </c:pt>
                <c:pt idx="20">
                  <c:v>0.5701254275940707</c:v>
                </c:pt>
                <c:pt idx="21">
                  <c:v>-0.68027210884354705</c:v>
                </c:pt>
                <c:pt idx="22">
                  <c:v>0</c:v>
                </c:pt>
                <c:pt idx="23">
                  <c:v>0.57077625570776258</c:v>
                </c:pt>
                <c:pt idx="24">
                  <c:v>0.56753688989784346</c:v>
                </c:pt>
                <c:pt idx="25">
                  <c:v>-1.3544018058690619</c:v>
                </c:pt>
                <c:pt idx="26">
                  <c:v>0.91533180778031709</c:v>
                </c:pt>
                <c:pt idx="27">
                  <c:v>0.11337868480724977</c:v>
                </c:pt>
                <c:pt idx="28">
                  <c:v>3.171007927519816</c:v>
                </c:pt>
                <c:pt idx="29">
                  <c:v>-1.7563117453347907</c:v>
                </c:pt>
                <c:pt idx="30">
                  <c:v>-0.6703910614525076</c:v>
                </c:pt>
                <c:pt idx="31">
                  <c:v>0.11248593925758639</c:v>
                </c:pt>
                <c:pt idx="32">
                  <c:v>-0.5617977528089888</c:v>
                </c:pt>
                <c:pt idx="33">
                  <c:v>-0.67796610169490878</c:v>
                </c:pt>
                <c:pt idx="34">
                  <c:v>1.0238907849829255</c:v>
                </c:pt>
                <c:pt idx="35">
                  <c:v>1.6891891891891893</c:v>
                </c:pt>
                <c:pt idx="36">
                  <c:v>0.33222591362125931</c:v>
                </c:pt>
                <c:pt idx="37">
                  <c:v>0.88300220750553138</c:v>
                </c:pt>
                <c:pt idx="38">
                  <c:v>-0.65645514223195678</c:v>
                </c:pt>
                <c:pt idx="39">
                  <c:v>0.55066079295154191</c:v>
                </c:pt>
                <c:pt idx="40">
                  <c:v>0.65717415115006417</c:v>
                </c:pt>
                <c:pt idx="41">
                  <c:v>-1.4145810663765084</c:v>
                </c:pt>
                <c:pt idx="42">
                  <c:v>0.88300220750553138</c:v>
                </c:pt>
                <c:pt idx="43">
                  <c:v>-0.10940919037200057</c:v>
                </c:pt>
                <c:pt idx="44">
                  <c:v>-0.76670317634173368</c:v>
                </c:pt>
                <c:pt idx="45">
                  <c:v>0.44150110375276569</c:v>
                </c:pt>
                <c:pt idx="46">
                  <c:v>1.3186813186813218</c:v>
                </c:pt>
                <c:pt idx="47">
                  <c:v>0.86767895878524637</c:v>
                </c:pt>
                <c:pt idx="48">
                  <c:v>-0.32258064516128726</c:v>
                </c:pt>
                <c:pt idx="49">
                  <c:v>1.2944983818770257</c:v>
                </c:pt>
                <c:pt idx="50">
                  <c:v>1.2779552715654829</c:v>
                </c:pt>
                <c:pt idx="51">
                  <c:v>0.94637223974764018</c:v>
                </c:pt>
                <c:pt idx="52">
                  <c:v>0.312499999999997</c:v>
                </c:pt>
                <c:pt idx="53">
                  <c:v>0.62305295950156647</c:v>
                </c:pt>
                <c:pt idx="54">
                  <c:v>-0.41279669762642485</c:v>
                </c:pt>
                <c:pt idx="55">
                  <c:v>1.3471502590673545</c:v>
                </c:pt>
                <c:pt idx="56">
                  <c:v>-0.5112474437627812</c:v>
                </c:pt>
                <c:pt idx="57">
                  <c:v>2.2610483042137748</c:v>
                </c:pt>
                <c:pt idx="58">
                  <c:v>-0.90452261306533233</c:v>
                </c:pt>
                <c:pt idx="59">
                  <c:v>0.30425963488844965</c:v>
                </c:pt>
                <c:pt idx="60">
                  <c:v>1.6177957532861418</c:v>
                </c:pt>
                <c:pt idx="61">
                  <c:v>-0.29850746268656436</c:v>
                </c:pt>
                <c:pt idx="62">
                  <c:v>0.39920159680637868</c:v>
                </c:pt>
                <c:pt idx="63">
                  <c:v>0</c:v>
                </c:pt>
                <c:pt idx="64">
                  <c:v>0.59642147117297073</c:v>
                </c:pt>
                <c:pt idx="65">
                  <c:v>1.5810276679841841</c:v>
                </c:pt>
                <c:pt idx="66">
                  <c:v>0.29182879377431631</c:v>
                </c:pt>
                <c:pt idx="67">
                  <c:v>-1.0669253152279286</c:v>
                </c:pt>
                <c:pt idx="68">
                  <c:v>1.2745098039215659</c:v>
                </c:pt>
                <c:pt idx="69">
                  <c:v>-3.0977734753146207</c:v>
                </c:pt>
                <c:pt idx="70">
                  <c:v>-5.6943056943056831</c:v>
                </c:pt>
                <c:pt idx="71">
                  <c:v>-11.228813559322044</c:v>
                </c:pt>
                <c:pt idx="72">
                  <c:v>2.0286396181384285</c:v>
                </c:pt>
                <c:pt idx="73">
                  <c:v>2.4561403508771864</c:v>
                </c:pt>
                <c:pt idx="74">
                  <c:v>0.45662100456621652</c:v>
                </c:pt>
                <c:pt idx="75">
                  <c:v>1.2499999999999936</c:v>
                </c:pt>
                <c:pt idx="76">
                  <c:v>1.4590347923681386</c:v>
                </c:pt>
                <c:pt idx="77">
                  <c:v>1.1061946902654867</c:v>
                </c:pt>
                <c:pt idx="78">
                  <c:v>1.3129102844638825</c:v>
                </c:pt>
                <c:pt idx="79">
                  <c:v>1.6198704103671708</c:v>
                </c:pt>
                <c:pt idx="80">
                  <c:v>1.5940488841657812</c:v>
                </c:pt>
                <c:pt idx="81">
                  <c:v>1.8828451882845307</c:v>
                </c:pt>
                <c:pt idx="82">
                  <c:v>1.4373716632443443</c:v>
                </c:pt>
                <c:pt idx="83">
                  <c:v>0.30364372469635342</c:v>
                </c:pt>
                <c:pt idx="84">
                  <c:v>1.6145307769929451</c:v>
                </c:pt>
                <c:pt idx="85">
                  <c:v>-0.19860973187686479</c:v>
                </c:pt>
                <c:pt idx="86">
                  <c:v>2.1890547263681621</c:v>
                </c:pt>
                <c:pt idx="87">
                  <c:v>0.38948393378772295</c:v>
                </c:pt>
                <c:pt idx="88">
                  <c:v>-0.19398642095052246</c:v>
                </c:pt>
                <c:pt idx="89">
                  <c:v>-0.48590864917395532</c:v>
                </c:pt>
                <c:pt idx="90">
                  <c:v>-0.58593750000000833</c:v>
                </c:pt>
                <c:pt idx="91">
                  <c:v>-0.29469548133595008</c:v>
                </c:pt>
                <c:pt idx="92">
                  <c:v>0.19704433497537227</c:v>
                </c:pt>
                <c:pt idx="93">
                  <c:v>-0.1966568338249782</c:v>
                </c:pt>
                <c:pt idx="94">
                  <c:v>0.59113300492610277</c:v>
                </c:pt>
                <c:pt idx="95">
                  <c:v>0.48971596474045059</c:v>
                </c:pt>
                <c:pt idx="96">
                  <c:v>0.38986354775829019</c:v>
                </c:pt>
                <c:pt idx="97">
                  <c:v>1.0679611650485381</c:v>
                </c:pt>
                <c:pt idx="98">
                  <c:v>0.48030739673390976</c:v>
                </c:pt>
                <c:pt idx="99">
                  <c:v>-2.4856596558317348</c:v>
                </c:pt>
                <c:pt idx="100">
                  <c:v>2.9411764705882351</c:v>
                </c:pt>
                <c:pt idx="101">
                  <c:v>-1.9047619047619049</c:v>
                </c:pt>
                <c:pt idx="102">
                  <c:v>0</c:v>
                </c:pt>
                <c:pt idx="103">
                  <c:v>-1.0679611650485381</c:v>
                </c:pt>
                <c:pt idx="104">
                  <c:v>-1.4720314033366044</c:v>
                </c:pt>
                <c:pt idx="105">
                  <c:v>-0.99601593625498008</c:v>
                </c:pt>
                <c:pt idx="106">
                  <c:v>0.50301810865191143</c:v>
                </c:pt>
                <c:pt idx="107">
                  <c:v>2.5025025025025025</c:v>
                </c:pt>
                <c:pt idx="108">
                  <c:v>-4.1992187500000107</c:v>
                </c:pt>
                <c:pt idx="109">
                  <c:v>0.81549439347605657</c:v>
                </c:pt>
                <c:pt idx="110">
                  <c:v>-0.60667340748231402</c:v>
                </c:pt>
                <c:pt idx="111">
                  <c:v>0.10172939979654987</c:v>
                </c:pt>
                <c:pt idx="112">
                  <c:v>0.50813008130081294</c:v>
                </c:pt>
                <c:pt idx="113">
                  <c:v>0.20222446916075693</c:v>
                </c:pt>
                <c:pt idx="114">
                  <c:v>1.3118062563067725</c:v>
                </c:pt>
                <c:pt idx="115">
                  <c:v>1.8924302788844536</c:v>
                </c:pt>
                <c:pt idx="116">
                  <c:v>-1.5640273704789778</c:v>
                </c:pt>
                <c:pt idx="117">
                  <c:v>1.2909632571995999</c:v>
                </c:pt>
                <c:pt idx="118">
                  <c:v>-1.3725490196078487</c:v>
                </c:pt>
                <c:pt idx="119">
                  <c:v>0.69582504970179215</c:v>
                </c:pt>
                <c:pt idx="120">
                  <c:v>0.98716683119447179</c:v>
                </c:pt>
                <c:pt idx="121">
                  <c:v>-2.737047898338218</c:v>
                </c:pt>
                <c:pt idx="122">
                  <c:v>1.9095477386934729</c:v>
                </c:pt>
                <c:pt idx="123">
                  <c:v>1.5779092702169568</c:v>
                </c:pt>
                <c:pt idx="124">
                  <c:v>-0.2912621359223273</c:v>
                </c:pt>
                <c:pt idx="125">
                  <c:v>0.5842259006815913</c:v>
                </c:pt>
                <c:pt idx="126">
                  <c:v>-0.67763794772507535</c:v>
                </c:pt>
                <c:pt idx="127">
                  <c:v>9.7465886939579471E-2</c:v>
                </c:pt>
                <c:pt idx="128">
                  <c:v>0.5842259006815913</c:v>
                </c:pt>
                <c:pt idx="129">
                  <c:v>-1.0648596321393942</c:v>
                </c:pt>
                <c:pt idx="130">
                  <c:v>0.58708414872797876</c:v>
                </c:pt>
                <c:pt idx="131">
                  <c:v>-3.5992217898832717</c:v>
                </c:pt>
                <c:pt idx="132">
                  <c:v>1.7154389505549978</c:v>
                </c:pt>
                <c:pt idx="133">
                  <c:v>0.49603174603174599</c:v>
                </c:pt>
                <c:pt idx="134">
                  <c:v>-0.29615004935833872</c:v>
                </c:pt>
                <c:pt idx="135">
                  <c:v>-0.79207920792078934</c:v>
                </c:pt>
                <c:pt idx="136">
                  <c:v>-1.0978043912175734</c:v>
                </c:pt>
                <c:pt idx="137">
                  <c:v>-2.9263370332996885</c:v>
                </c:pt>
                <c:pt idx="138">
                  <c:v>2.5987525987525983</c:v>
                </c:pt>
                <c:pt idx="139">
                  <c:v>0.40526849037486473</c:v>
                </c:pt>
                <c:pt idx="140">
                  <c:v>0.10090817356206713</c:v>
                </c:pt>
                <c:pt idx="141">
                  <c:v>0.1008064516128975</c:v>
                </c:pt>
                <c:pt idx="142">
                  <c:v>-0.80563947633433763</c:v>
                </c:pt>
                <c:pt idx="143">
                  <c:v>-2.9441624365482291</c:v>
                </c:pt>
                <c:pt idx="144">
                  <c:v>0.62761506276151524</c:v>
                </c:pt>
                <c:pt idx="145">
                  <c:v>-0.72765072765073058</c:v>
                </c:pt>
                <c:pt idx="146">
                  <c:v>-0.62827225130889452</c:v>
                </c:pt>
                <c:pt idx="147">
                  <c:v>-1.8967334035827306</c:v>
                </c:pt>
                <c:pt idx="148">
                  <c:v>-0.96670247046185998</c:v>
                </c:pt>
                <c:pt idx="149">
                  <c:v>-0.97613882863341173</c:v>
                </c:pt>
                <c:pt idx="150">
                  <c:v>-1.7524644030668064</c:v>
                </c:pt>
                <c:pt idx="151">
                  <c:v>0.55741360089186176</c:v>
                </c:pt>
                <c:pt idx="152">
                  <c:v>-2.3281596452328253</c:v>
                </c:pt>
                <c:pt idx="153">
                  <c:v>-0.22701475595912446</c:v>
                </c:pt>
                <c:pt idx="154">
                  <c:v>-1.7064846416382253</c:v>
                </c:pt>
                <c:pt idx="155">
                  <c:v>-1.5046296296296426</c:v>
                </c:pt>
                <c:pt idx="156">
                  <c:v>1.0575793184488904</c:v>
                </c:pt>
                <c:pt idx="157">
                  <c:v>-1.2790697674418539</c:v>
                </c:pt>
                <c:pt idx="158">
                  <c:v>0.58892815076560656</c:v>
                </c:pt>
                <c:pt idx="159">
                  <c:v>0.11709601873535634</c:v>
                </c:pt>
                <c:pt idx="160">
                  <c:v>0.23391812865497411</c:v>
                </c:pt>
                <c:pt idx="161">
                  <c:v>-1.1668611435239207</c:v>
                </c:pt>
                <c:pt idx="162">
                  <c:v>0.70838252656433798</c:v>
                </c:pt>
                <c:pt idx="163">
                  <c:v>-1.9929660023446694</c:v>
                </c:pt>
                <c:pt idx="164">
                  <c:v>1.0765550239234518</c:v>
                </c:pt>
                <c:pt idx="165">
                  <c:v>-1.3017751479289872</c:v>
                </c:pt>
                <c:pt idx="166">
                  <c:v>0.95923261390886938</c:v>
                </c:pt>
                <c:pt idx="167">
                  <c:v>1.543942992874106</c:v>
                </c:pt>
                <c:pt idx="168">
                  <c:v>0.81871345029240106</c:v>
                </c:pt>
                <c:pt idx="169">
                  <c:v>1.3921113689095159</c:v>
                </c:pt>
                <c:pt idx="170">
                  <c:v>-1.9450800915331838</c:v>
                </c:pt>
                <c:pt idx="171">
                  <c:v>0.23337222870478744</c:v>
                </c:pt>
                <c:pt idx="172">
                  <c:v>0.23282887077996348</c:v>
                </c:pt>
                <c:pt idx="173">
                  <c:v>0.81300813008130424</c:v>
                </c:pt>
                <c:pt idx="174">
                  <c:v>0.34562211981566493</c:v>
                </c:pt>
                <c:pt idx="175">
                  <c:v>0</c:v>
                </c:pt>
                <c:pt idx="176">
                  <c:v>0.45924225028703292</c:v>
                </c:pt>
                <c:pt idx="177">
                  <c:v>0.80000000000000326</c:v>
                </c:pt>
                <c:pt idx="178">
                  <c:v>0.45351473922901525</c:v>
                </c:pt>
                <c:pt idx="179">
                  <c:v>2.934537246049671</c:v>
                </c:pt>
                <c:pt idx="180">
                  <c:v>-2.5219298245614001</c:v>
                </c:pt>
                <c:pt idx="181">
                  <c:v>-0.33745781777279116</c:v>
                </c:pt>
                <c:pt idx="182">
                  <c:v>1.241534988713328</c:v>
                </c:pt>
                <c:pt idx="183">
                  <c:v>0.33444816053511389</c:v>
                </c:pt>
                <c:pt idx="184">
                  <c:v>-10.888888888888886</c:v>
                </c:pt>
                <c:pt idx="185">
                  <c:v>12.344139650872807</c:v>
                </c:pt>
                <c:pt idx="186">
                  <c:v>-0.22197558268589193</c:v>
                </c:pt>
                <c:pt idx="187">
                  <c:v>-1.0011123470522865</c:v>
                </c:pt>
                <c:pt idx="188">
                  <c:v>-2.6966292134831522</c:v>
                </c:pt>
                <c:pt idx="189">
                  <c:v>1.1547344110854503</c:v>
                </c:pt>
                <c:pt idx="190">
                  <c:v>-0.11415525114154602</c:v>
                </c:pt>
                <c:pt idx="191">
                  <c:v>0.22857142857143184</c:v>
                </c:pt>
                <c:pt idx="192">
                  <c:v>-0.68415051311289454</c:v>
                </c:pt>
                <c:pt idx="193">
                  <c:v>0.22962112514351646</c:v>
                </c:pt>
                <c:pt idx="194">
                  <c:v>-0.22909507445590246</c:v>
                </c:pt>
                <c:pt idx="195">
                  <c:v>0.34443168771528287</c:v>
                </c:pt>
                <c:pt idx="196">
                  <c:v>0</c:v>
                </c:pt>
                <c:pt idx="197">
                  <c:v>-0.91533180778033341</c:v>
                </c:pt>
                <c:pt idx="198">
                  <c:v>-0.57736720554272514</c:v>
                </c:pt>
                <c:pt idx="199">
                  <c:v>0.92915214866435702</c:v>
                </c:pt>
                <c:pt idx="200">
                  <c:v>-0.11507479861911221</c:v>
                </c:pt>
                <c:pt idx="201">
                  <c:v>2.1889400921659052</c:v>
                </c:pt>
                <c:pt idx="202">
                  <c:v>-2.254791431792559</c:v>
                </c:pt>
                <c:pt idx="203">
                  <c:v>-0.80738177623991092</c:v>
                </c:pt>
                <c:pt idx="204">
                  <c:v>0.93023255813953154</c:v>
                </c:pt>
                <c:pt idx="205">
                  <c:v>0.69124423963134629</c:v>
                </c:pt>
                <c:pt idx="206">
                  <c:v>-7.8947368421052699</c:v>
                </c:pt>
                <c:pt idx="207">
                  <c:v>-19.378881987577632</c:v>
                </c:pt>
                <c:pt idx="208">
                  <c:v>8.0123266563944355</c:v>
                </c:pt>
                <c:pt idx="209">
                  <c:v>9.5577746077032852</c:v>
                </c:pt>
                <c:pt idx="210">
                  <c:v>9.2447916666666785</c:v>
                </c:pt>
                <c:pt idx="211">
                  <c:v>2.7413587604290788</c:v>
                </c:pt>
                <c:pt idx="212">
                  <c:v>2.668213457076563</c:v>
                </c:pt>
                <c:pt idx="213">
                  <c:v>1.3559322033898338</c:v>
                </c:pt>
                <c:pt idx="214">
                  <c:v>0.44593088071347986</c:v>
                </c:pt>
                <c:pt idx="215">
                  <c:v>0.22197558268590772</c:v>
                </c:pt>
                <c:pt idx="216">
                  <c:v>0.55370985603543743</c:v>
                </c:pt>
                <c:pt idx="217">
                  <c:v>-1.5418502202643078</c:v>
                </c:pt>
                <c:pt idx="218">
                  <c:v>-2.2371364653243844</c:v>
                </c:pt>
                <c:pt idx="219">
                  <c:v>-1.4874141876430336</c:v>
                </c:pt>
                <c:pt idx="220">
                  <c:v>1.2775842044134826</c:v>
                </c:pt>
                <c:pt idx="221">
                  <c:v>-0.57339449541284393</c:v>
                </c:pt>
                <c:pt idx="222">
                  <c:v>-1.3840830449827022</c:v>
                </c:pt>
                <c:pt idx="223">
                  <c:v>-0.58479532163742687</c:v>
                </c:pt>
                <c:pt idx="224">
                  <c:v>-0.47058823529412436</c:v>
                </c:pt>
                <c:pt idx="225">
                  <c:v>-0.59101654846335705</c:v>
                </c:pt>
                <c:pt idx="226">
                  <c:v>0.11890606420928482</c:v>
                </c:pt>
                <c:pt idx="227">
                  <c:v>2.6128266033254191</c:v>
                </c:pt>
                <c:pt idx="228">
                  <c:v>-2.1990740740740802</c:v>
                </c:pt>
                <c:pt idx="229">
                  <c:v>0.71005917159762644</c:v>
                </c:pt>
              </c:numCache>
            </c:numRef>
          </c:val>
          <c:smooth val="0"/>
          <c:extLst>
            <c:ext xmlns:c16="http://schemas.microsoft.com/office/drawing/2014/chart" uri="{C3380CC4-5D6E-409C-BE32-E72D297353CC}">
              <c16:uniqueId val="{00000001-27D6-4B93-B8B4-5D3D28D9E8E2}"/>
            </c:ext>
          </c:extLst>
        </c:ser>
        <c:ser>
          <c:idx val="2"/>
          <c:order val="2"/>
          <c:tx>
            <c:strRef>
              <c:f>GRANGER!$I$9</c:f>
              <c:strCache>
                <c:ptCount val="1"/>
                <c:pt idx="0">
                  <c:v>RetailSales</c:v>
                </c:pt>
              </c:strCache>
            </c:strRef>
          </c:tx>
          <c:spPr>
            <a:ln w="28575" cap="rnd">
              <a:solidFill>
                <a:schemeClr val="accent3"/>
              </a:solidFill>
              <a:round/>
            </a:ln>
            <a:effectLst/>
          </c:spPr>
          <c:marker>
            <c:symbol val="none"/>
          </c:marker>
          <c:cat>
            <c:numRef>
              <c:f>GRANGER!$F$10:$F$239</c:f>
              <c:numCache>
                <c:formatCode>[$-416]mmm\-yy;@</c:formatCode>
                <c:ptCount val="230"/>
                <c:pt idx="0">
                  <c:v>37622</c:v>
                </c:pt>
                <c:pt idx="1">
                  <c:v>37653</c:v>
                </c:pt>
                <c:pt idx="2">
                  <c:v>37681</c:v>
                </c:pt>
                <c:pt idx="3">
                  <c:v>37712</c:v>
                </c:pt>
                <c:pt idx="4">
                  <c:v>37742</c:v>
                </c:pt>
                <c:pt idx="5">
                  <c:v>37773</c:v>
                </c:pt>
                <c:pt idx="6">
                  <c:v>37803</c:v>
                </c:pt>
                <c:pt idx="7">
                  <c:v>37834</c:v>
                </c:pt>
                <c:pt idx="8">
                  <c:v>37865</c:v>
                </c:pt>
                <c:pt idx="9">
                  <c:v>37895</c:v>
                </c:pt>
                <c:pt idx="10">
                  <c:v>37926</c:v>
                </c:pt>
                <c:pt idx="11">
                  <c:v>37956</c:v>
                </c:pt>
                <c:pt idx="12">
                  <c:v>37987</c:v>
                </c:pt>
                <c:pt idx="13">
                  <c:v>38018</c:v>
                </c:pt>
                <c:pt idx="14">
                  <c:v>38047</c:v>
                </c:pt>
                <c:pt idx="15">
                  <c:v>38078</c:v>
                </c:pt>
                <c:pt idx="16">
                  <c:v>38108</c:v>
                </c:pt>
                <c:pt idx="17">
                  <c:v>38139</c:v>
                </c:pt>
                <c:pt idx="18">
                  <c:v>38169</c:v>
                </c:pt>
                <c:pt idx="19">
                  <c:v>38200</c:v>
                </c:pt>
                <c:pt idx="20">
                  <c:v>38231</c:v>
                </c:pt>
                <c:pt idx="21">
                  <c:v>38261</c:v>
                </c:pt>
                <c:pt idx="22">
                  <c:v>38292</c:v>
                </c:pt>
                <c:pt idx="23">
                  <c:v>38322</c:v>
                </c:pt>
                <c:pt idx="24">
                  <c:v>38353</c:v>
                </c:pt>
                <c:pt idx="25">
                  <c:v>38384</c:v>
                </c:pt>
                <c:pt idx="26">
                  <c:v>38412</c:v>
                </c:pt>
                <c:pt idx="27">
                  <c:v>38443</c:v>
                </c:pt>
                <c:pt idx="28">
                  <c:v>38473</c:v>
                </c:pt>
                <c:pt idx="29">
                  <c:v>38504</c:v>
                </c:pt>
                <c:pt idx="30">
                  <c:v>38534</c:v>
                </c:pt>
                <c:pt idx="31">
                  <c:v>38565</c:v>
                </c:pt>
                <c:pt idx="32">
                  <c:v>38596</c:v>
                </c:pt>
                <c:pt idx="33">
                  <c:v>38626</c:v>
                </c:pt>
                <c:pt idx="34">
                  <c:v>38657</c:v>
                </c:pt>
                <c:pt idx="35">
                  <c:v>38687</c:v>
                </c:pt>
                <c:pt idx="36">
                  <c:v>38718</c:v>
                </c:pt>
                <c:pt idx="37">
                  <c:v>38749</c:v>
                </c:pt>
                <c:pt idx="38">
                  <c:v>38777</c:v>
                </c:pt>
                <c:pt idx="39">
                  <c:v>38808</c:v>
                </c:pt>
                <c:pt idx="40">
                  <c:v>38838</c:v>
                </c:pt>
                <c:pt idx="41">
                  <c:v>38869</c:v>
                </c:pt>
                <c:pt idx="42">
                  <c:v>38899</c:v>
                </c:pt>
                <c:pt idx="43">
                  <c:v>38930</c:v>
                </c:pt>
                <c:pt idx="44">
                  <c:v>38961</c:v>
                </c:pt>
                <c:pt idx="45">
                  <c:v>38991</c:v>
                </c:pt>
                <c:pt idx="46">
                  <c:v>39022</c:v>
                </c:pt>
                <c:pt idx="47">
                  <c:v>39052</c:v>
                </c:pt>
                <c:pt idx="48">
                  <c:v>39083</c:v>
                </c:pt>
                <c:pt idx="49">
                  <c:v>39114</c:v>
                </c:pt>
                <c:pt idx="50">
                  <c:v>39142</c:v>
                </c:pt>
                <c:pt idx="51">
                  <c:v>39173</c:v>
                </c:pt>
                <c:pt idx="52">
                  <c:v>39203</c:v>
                </c:pt>
                <c:pt idx="53">
                  <c:v>39234</c:v>
                </c:pt>
                <c:pt idx="54">
                  <c:v>39264</c:v>
                </c:pt>
                <c:pt idx="55">
                  <c:v>39295</c:v>
                </c:pt>
                <c:pt idx="56">
                  <c:v>39326</c:v>
                </c:pt>
                <c:pt idx="57">
                  <c:v>39356</c:v>
                </c:pt>
                <c:pt idx="58">
                  <c:v>39387</c:v>
                </c:pt>
                <c:pt idx="59">
                  <c:v>39417</c:v>
                </c:pt>
                <c:pt idx="60">
                  <c:v>39448</c:v>
                </c:pt>
                <c:pt idx="61">
                  <c:v>39479</c:v>
                </c:pt>
                <c:pt idx="62">
                  <c:v>39508</c:v>
                </c:pt>
                <c:pt idx="63">
                  <c:v>39539</c:v>
                </c:pt>
                <c:pt idx="64">
                  <c:v>39569</c:v>
                </c:pt>
                <c:pt idx="65">
                  <c:v>39600</c:v>
                </c:pt>
                <c:pt idx="66">
                  <c:v>39630</c:v>
                </c:pt>
                <c:pt idx="67">
                  <c:v>39661</c:v>
                </c:pt>
                <c:pt idx="68">
                  <c:v>39692</c:v>
                </c:pt>
                <c:pt idx="69">
                  <c:v>39722</c:v>
                </c:pt>
                <c:pt idx="70">
                  <c:v>39753</c:v>
                </c:pt>
                <c:pt idx="71">
                  <c:v>39783</c:v>
                </c:pt>
                <c:pt idx="72">
                  <c:v>39814</c:v>
                </c:pt>
                <c:pt idx="73">
                  <c:v>39845</c:v>
                </c:pt>
                <c:pt idx="74">
                  <c:v>39873</c:v>
                </c:pt>
                <c:pt idx="75">
                  <c:v>39904</c:v>
                </c:pt>
                <c:pt idx="76">
                  <c:v>39934</c:v>
                </c:pt>
                <c:pt idx="77">
                  <c:v>39965</c:v>
                </c:pt>
                <c:pt idx="78">
                  <c:v>39995</c:v>
                </c:pt>
                <c:pt idx="79">
                  <c:v>40026</c:v>
                </c:pt>
                <c:pt idx="80">
                  <c:v>40057</c:v>
                </c:pt>
                <c:pt idx="81">
                  <c:v>40087</c:v>
                </c:pt>
                <c:pt idx="82">
                  <c:v>40118</c:v>
                </c:pt>
                <c:pt idx="83">
                  <c:v>40148</c:v>
                </c:pt>
                <c:pt idx="84">
                  <c:v>40179</c:v>
                </c:pt>
                <c:pt idx="85">
                  <c:v>40210</c:v>
                </c:pt>
                <c:pt idx="86">
                  <c:v>40238</c:v>
                </c:pt>
                <c:pt idx="87">
                  <c:v>40269</c:v>
                </c:pt>
                <c:pt idx="88">
                  <c:v>40299</c:v>
                </c:pt>
                <c:pt idx="89">
                  <c:v>40330</c:v>
                </c:pt>
                <c:pt idx="90">
                  <c:v>40360</c:v>
                </c:pt>
                <c:pt idx="91">
                  <c:v>40391</c:v>
                </c:pt>
                <c:pt idx="92">
                  <c:v>40422</c:v>
                </c:pt>
                <c:pt idx="93">
                  <c:v>40452</c:v>
                </c:pt>
                <c:pt idx="94">
                  <c:v>40483</c:v>
                </c:pt>
                <c:pt idx="95">
                  <c:v>40513</c:v>
                </c:pt>
                <c:pt idx="96">
                  <c:v>40544</c:v>
                </c:pt>
                <c:pt idx="97">
                  <c:v>40575</c:v>
                </c:pt>
                <c:pt idx="98">
                  <c:v>40603</c:v>
                </c:pt>
                <c:pt idx="99">
                  <c:v>40634</c:v>
                </c:pt>
                <c:pt idx="100">
                  <c:v>40664</c:v>
                </c:pt>
                <c:pt idx="101">
                  <c:v>40695</c:v>
                </c:pt>
                <c:pt idx="102">
                  <c:v>40725</c:v>
                </c:pt>
                <c:pt idx="103">
                  <c:v>40756</c:v>
                </c:pt>
                <c:pt idx="104">
                  <c:v>40787</c:v>
                </c:pt>
                <c:pt idx="105">
                  <c:v>40817</c:v>
                </c:pt>
                <c:pt idx="106">
                  <c:v>40848</c:v>
                </c:pt>
                <c:pt idx="107">
                  <c:v>40878</c:v>
                </c:pt>
                <c:pt idx="108">
                  <c:v>40909</c:v>
                </c:pt>
                <c:pt idx="109">
                  <c:v>40940</c:v>
                </c:pt>
                <c:pt idx="110">
                  <c:v>40969</c:v>
                </c:pt>
                <c:pt idx="111">
                  <c:v>41000</c:v>
                </c:pt>
                <c:pt idx="112">
                  <c:v>41030</c:v>
                </c:pt>
                <c:pt idx="113">
                  <c:v>41061</c:v>
                </c:pt>
                <c:pt idx="114">
                  <c:v>41091</c:v>
                </c:pt>
                <c:pt idx="115">
                  <c:v>41122</c:v>
                </c:pt>
                <c:pt idx="116">
                  <c:v>41153</c:v>
                </c:pt>
                <c:pt idx="117">
                  <c:v>41183</c:v>
                </c:pt>
                <c:pt idx="118">
                  <c:v>41214</c:v>
                </c:pt>
                <c:pt idx="119">
                  <c:v>41244</c:v>
                </c:pt>
                <c:pt idx="120">
                  <c:v>41275</c:v>
                </c:pt>
                <c:pt idx="121">
                  <c:v>41306</c:v>
                </c:pt>
                <c:pt idx="122">
                  <c:v>41334</c:v>
                </c:pt>
                <c:pt idx="123">
                  <c:v>41365</c:v>
                </c:pt>
                <c:pt idx="124">
                  <c:v>41395</c:v>
                </c:pt>
                <c:pt idx="125">
                  <c:v>41426</c:v>
                </c:pt>
                <c:pt idx="126">
                  <c:v>41456</c:v>
                </c:pt>
                <c:pt idx="127">
                  <c:v>41487</c:v>
                </c:pt>
                <c:pt idx="128">
                  <c:v>41518</c:v>
                </c:pt>
                <c:pt idx="129">
                  <c:v>41548</c:v>
                </c:pt>
                <c:pt idx="130">
                  <c:v>41579</c:v>
                </c:pt>
                <c:pt idx="131">
                  <c:v>41609</c:v>
                </c:pt>
                <c:pt idx="132">
                  <c:v>41640</c:v>
                </c:pt>
                <c:pt idx="133">
                  <c:v>41671</c:v>
                </c:pt>
                <c:pt idx="134">
                  <c:v>41699</c:v>
                </c:pt>
                <c:pt idx="135">
                  <c:v>41730</c:v>
                </c:pt>
                <c:pt idx="136">
                  <c:v>41760</c:v>
                </c:pt>
                <c:pt idx="137">
                  <c:v>41791</c:v>
                </c:pt>
                <c:pt idx="138">
                  <c:v>41821</c:v>
                </c:pt>
                <c:pt idx="139">
                  <c:v>41852</c:v>
                </c:pt>
                <c:pt idx="140">
                  <c:v>41883</c:v>
                </c:pt>
                <c:pt idx="141">
                  <c:v>41913</c:v>
                </c:pt>
                <c:pt idx="142">
                  <c:v>41944</c:v>
                </c:pt>
                <c:pt idx="143">
                  <c:v>41974</c:v>
                </c:pt>
                <c:pt idx="144">
                  <c:v>42005</c:v>
                </c:pt>
                <c:pt idx="145">
                  <c:v>42036</c:v>
                </c:pt>
                <c:pt idx="146">
                  <c:v>42064</c:v>
                </c:pt>
                <c:pt idx="147">
                  <c:v>42095</c:v>
                </c:pt>
                <c:pt idx="148">
                  <c:v>42125</c:v>
                </c:pt>
                <c:pt idx="149">
                  <c:v>42156</c:v>
                </c:pt>
                <c:pt idx="150">
                  <c:v>42186</c:v>
                </c:pt>
                <c:pt idx="151">
                  <c:v>42217</c:v>
                </c:pt>
                <c:pt idx="152">
                  <c:v>42248</c:v>
                </c:pt>
                <c:pt idx="153">
                  <c:v>42278</c:v>
                </c:pt>
                <c:pt idx="154">
                  <c:v>42309</c:v>
                </c:pt>
                <c:pt idx="155">
                  <c:v>42339</c:v>
                </c:pt>
                <c:pt idx="156">
                  <c:v>42370</c:v>
                </c:pt>
                <c:pt idx="157">
                  <c:v>42401</c:v>
                </c:pt>
                <c:pt idx="158">
                  <c:v>42430</c:v>
                </c:pt>
                <c:pt idx="159">
                  <c:v>42461</c:v>
                </c:pt>
                <c:pt idx="160">
                  <c:v>42491</c:v>
                </c:pt>
                <c:pt idx="161">
                  <c:v>42522</c:v>
                </c:pt>
                <c:pt idx="162">
                  <c:v>42552</c:v>
                </c:pt>
                <c:pt idx="163">
                  <c:v>42583</c:v>
                </c:pt>
                <c:pt idx="164">
                  <c:v>42614</c:v>
                </c:pt>
                <c:pt idx="165">
                  <c:v>42644</c:v>
                </c:pt>
                <c:pt idx="166">
                  <c:v>42675</c:v>
                </c:pt>
                <c:pt idx="167">
                  <c:v>42705</c:v>
                </c:pt>
                <c:pt idx="168">
                  <c:v>42736</c:v>
                </c:pt>
                <c:pt idx="169">
                  <c:v>42767</c:v>
                </c:pt>
                <c:pt idx="170">
                  <c:v>42795</c:v>
                </c:pt>
                <c:pt idx="171">
                  <c:v>42826</c:v>
                </c:pt>
                <c:pt idx="172">
                  <c:v>42856</c:v>
                </c:pt>
                <c:pt idx="173">
                  <c:v>42887</c:v>
                </c:pt>
                <c:pt idx="174">
                  <c:v>42917</c:v>
                </c:pt>
                <c:pt idx="175">
                  <c:v>42948</c:v>
                </c:pt>
                <c:pt idx="176">
                  <c:v>42979</c:v>
                </c:pt>
                <c:pt idx="177">
                  <c:v>43009</c:v>
                </c:pt>
                <c:pt idx="178">
                  <c:v>43040</c:v>
                </c:pt>
                <c:pt idx="179">
                  <c:v>43070</c:v>
                </c:pt>
                <c:pt idx="180">
                  <c:v>43101</c:v>
                </c:pt>
                <c:pt idx="181">
                  <c:v>43132</c:v>
                </c:pt>
                <c:pt idx="182">
                  <c:v>43160</c:v>
                </c:pt>
                <c:pt idx="183">
                  <c:v>43191</c:v>
                </c:pt>
                <c:pt idx="184">
                  <c:v>43221</c:v>
                </c:pt>
                <c:pt idx="185">
                  <c:v>43252</c:v>
                </c:pt>
                <c:pt idx="186">
                  <c:v>43282</c:v>
                </c:pt>
                <c:pt idx="187">
                  <c:v>43313</c:v>
                </c:pt>
                <c:pt idx="188">
                  <c:v>43344</c:v>
                </c:pt>
                <c:pt idx="189">
                  <c:v>43374</c:v>
                </c:pt>
                <c:pt idx="190">
                  <c:v>43405</c:v>
                </c:pt>
                <c:pt idx="191">
                  <c:v>43435</c:v>
                </c:pt>
                <c:pt idx="192">
                  <c:v>43466</c:v>
                </c:pt>
                <c:pt idx="193">
                  <c:v>43497</c:v>
                </c:pt>
                <c:pt idx="194">
                  <c:v>43525</c:v>
                </c:pt>
                <c:pt idx="195">
                  <c:v>43556</c:v>
                </c:pt>
                <c:pt idx="196">
                  <c:v>43586</c:v>
                </c:pt>
                <c:pt idx="197">
                  <c:v>43617</c:v>
                </c:pt>
                <c:pt idx="198">
                  <c:v>43647</c:v>
                </c:pt>
                <c:pt idx="199">
                  <c:v>43678</c:v>
                </c:pt>
                <c:pt idx="200">
                  <c:v>43709</c:v>
                </c:pt>
                <c:pt idx="201">
                  <c:v>43739</c:v>
                </c:pt>
                <c:pt idx="202">
                  <c:v>43770</c:v>
                </c:pt>
                <c:pt idx="203">
                  <c:v>43800</c:v>
                </c:pt>
                <c:pt idx="204">
                  <c:v>43831</c:v>
                </c:pt>
                <c:pt idx="205">
                  <c:v>43862</c:v>
                </c:pt>
                <c:pt idx="206">
                  <c:v>43891</c:v>
                </c:pt>
                <c:pt idx="207">
                  <c:v>43922</c:v>
                </c:pt>
                <c:pt idx="208">
                  <c:v>43952</c:v>
                </c:pt>
                <c:pt idx="209">
                  <c:v>43983</c:v>
                </c:pt>
                <c:pt idx="210">
                  <c:v>44013</c:v>
                </c:pt>
                <c:pt idx="211">
                  <c:v>44044</c:v>
                </c:pt>
                <c:pt idx="212">
                  <c:v>44075</c:v>
                </c:pt>
                <c:pt idx="213">
                  <c:v>44105</c:v>
                </c:pt>
                <c:pt idx="214">
                  <c:v>44136</c:v>
                </c:pt>
                <c:pt idx="215">
                  <c:v>44166</c:v>
                </c:pt>
                <c:pt idx="216">
                  <c:v>44197</c:v>
                </c:pt>
                <c:pt idx="217">
                  <c:v>44228</c:v>
                </c:pt>
                <c:pt idx="218">
                  <c:v>44256</c:v>
                </c:pt>
                <c:pt idx="219">
                  <c:v>44287</c:v>
                </c:pt>
                <c:pt idx="220">
                  <c:v>44317</c:v>
                </c:pt>
                <c:pt idx="221">
                  <c:v>44348</c:v>
                </c:pt>
                <c:pt idx="222">
                  <c:v>44378</c:v>
                </c:pt>
                <c:pt idx="223">
                  <c:v>44409</c:v>
                </c:pt>
                <c:pt idx="224">
                  <c:v>44440</c:v>
                </c:pt>
                <c:pt idx="225">
                  <c:v>44470</c:v>
                </c:pt>
                <c:pt idx="226">
                  <c:v>44501</c:v>
                </c:pt>
                <c:pt idx="227">
                  <c:v>44531</c:v>
                </c:pt>
                <c:pt idx="228">
                  <c:v>44562</c:v>
                </c:pt>
                <c:pt idx="229">
                  <c:v>44593</c:v>
                </c:pt>
              </c:numCache>
            </c:numRef>
          </c:cat>
          <c:val>
            <c:numRef>
              <c:f>GRANGER!$I$10:$I$239</c:f>
              <c:numCache>
                <c:formatCode>0.0</c:formatCode>
                <c:ptCount val="230"/>
                <c:pt idx="0">
                  <c:v>0.27312454479242276</c:v>
                </c:pt>
                <c:pt idx="1">
                  <c:v>1.0532050118031564</c:v>
                </c:pt>
                <c:pt idx="2">
                  <c:v>-2.3539982030547981</c:v>
                </c:pt>
                <c:pt idx="3">
                  <c:v>9.2013249907981515E-2</c:v>
                </c:pt>
                <c:pt idx="4">
                  <c:v>0.29417172274314501</c:v>
                </c:pt>
                <c:pt idx="5">
                  <c:v>-0.87992667277726289</c:v>
                </c:pt>
                <c:pt idx="6">
                  <c:v>0.42537451451821134</c:v>
                </c:pt>
                <c:pt idx="7">
                  <c:v>0.88397790055249359</c:v>
                </c:pt>
                <c:pt idx="8">
                  <c:v>-0.18254837531946225</c:v>
                </c:pt>
                <c:pt idx="9">
                  <c:v>0</c:v>
                </c:pt>
                <c:pt idx="10">
                  <c:v>1.1521580102414093</c:v>
                </c:pt>
                <c:pt idx="11">
                  <c:v>0.6327969625745693</c:v>
                </c:pt>
                <c:pt idx="12">
                  <c:v>0.233560905497669</c:v>
                </c:pt>
                <c:pt idx="13">
                  <c:v>1.7565872020075355</c:v>
                </c:pt>
                <c:pt idx="14">
                  <c:v>1.144970935353177</c:v>
                </c:pt>
                <c:pt idx="15">
                  <c:v>0.62695924764890187</c:v>
                </c:pt>
                <c:pt idx="16">
                  <c:v>0.65766701280719186</c:v>
                </c:pt>
                <c:pt idx="17">
                  <c:v>0.75653370013755994</c:v>
                </c:pt>
                <c:pt idx="18">
                  <c:v>0.40955631399317743</c:v>
                </c:pt>
                <c:pt idx="19">
                  <c:v>3.3990482664847076E-2</c:v>
                </c:pt>
                <c:pt idx="20">
                  <c:v>0.50968399592252323</c:v>
                </c:pt>
                <c:pt idx="21">
                  <c:v>1.622718052738338</c:v>
                </c:pt>
                <c:pt idx="22">
                  <c:v>0.58216899534265043</c:v>
                </c:pt>
                <c:pt idx="23">
                  <c:v>2.3317347445014116</c:v>
                </c:pt>
                <c:pt idx="24">
                  <c:v>-2.4886877828054281</c:v>
                </c:pt>
                <c:pt idx="25">
                  <c:v>-3.9111700364600703</c:v>
                </c:pt>
                <c:pt idx="26">
                  <c:v>1.586754053121769</c:v>
                </c:pt>
                <c:pt idx="27">
                  <c:v>-0.33955857385398258</c:v>
                </c:pt>
                <c:pt idx="28">
                  <c:v>1.5332197614991459</c:v>
                </c:pt>
                <c:pt idx="29">
                  <c:v>0.13422818791946023</c:v>
                </c:pt>
                <c:pt idx="30">
                  <c:v>1.508042895442357</c:v>
                </c:pt>
                <c:pt idx="31">
                  <c:v>8.2535490260819189E-2</c:v>
                </c:pt>
                <c:pt idx="32">
                  <c:v>-0.19792182088075957</c:v>
                </c:pt>
                <c:pt idx="33">
                  <c:v>0.77673111882333312</c:v>
                </c:pt>
                <c:pt idx="34">
                  <c:v>-0.11479173499508082</c:v>
                </c:pt>
                <c:pt idx="35">
                  <c:v>1.0343129207026802</c:v>
                </c:pt>
                <c:pt idx="36">
                  <c:v>3.8836529086772842</c:v>
                </c:pt>
                <c:pt idx="37">
                  <c:v>-2.3776005005474787</c:v>
                </c:pt>
                <c:pt idx="38">
                  <c:v>0.94536132030123932</c:v>
                </c:pt>
                <c:pt idx="39">
                  <c:v>1.6507936507936607</c:v>
                </c:pt>
                <c:pt idx="40">
                  <c:v>-0.46845721424110592</c:v>
                </c:pt>
                <c:pt idx="41">
                  <c:v>1.7100721681832385</c:v>
                </c:pt>
                <c:pt idx="42">
                  <c:v>-0.38562393953416629</c:v>
                </c:pt>
                <c:pt idx="43">
                  <c:v>0.68132548776710711</c:v>
                </c:pt>
                <c:pt idx="44">
                  <c:v>1.8455859735466054</c:v>
                </c:pt>
                <c:pt idx="45">
                  <c:v>0.39263062518877245</c:v>
                </c:pt>
                <c:pt idx="46">
                  <c:v>0.10529482551142175</c:v>
                </c:pt>
                <c:pt idx="47">
                  <c:v>-0.16528925619834625</c:v>
                </c:pt>
                <c:pt idx="48">
                  <c:v>0.49668874172185173</c:v>
                </c:pt>
                <c:pt idx="49">
                  <c:v>1.3628875243372935</c:v>
                </c:pt>
                <c:pt idx="50">
                  <c:v>1.0933806146572027</c:v>
                </c:pt>
                <c:pt idx="51">
                  <c:v>0.70154925460392281</c:v>
                </c:pt>
                <c:pt idx="52">
                  <c:v>-0.13062409288824878</c:v>
                </c:pt>
                <c:pt idx="53">
                  <c:v>0.49411422758320506</c:v>
                </c:pt>
                <c:pt idx="54">
                  <c:v>0.49168474331162565</c:v>
                </c:pt>
                <c:pt idx="55">
                  <c:v>-1.3671031803136979</c:v>
                </c:pt>
                <c:pt idx="56">
                  <c:v>3.7058651882112512</c:v>
                </c:pt>
                <c:pt idx="57">
                  <c:v>-1.9555430500844129</c:v>
                </c:pt>
                <c:pt idx="58">
                  <c:v>1.3918783182666077</c:v>
                </c:pt>
                <c:pt idx="59">
                  <c:v>1.1746391168978183</c:v>
                </c:pt>
                <c:pt idx="60">
                  <c:v>0.71338648762065349</c:v>
                </c:pt>
                <c:pt idx="61">
                  <c:v>-2.0694444444444371</c:v>
                </c:pt>
                <c:pt idx="62">
                  <c:v>1.3615090058147692</c:v>
                </c:pt>
                <c:pt idx="63">
                  <c:v>0.5176997341541969</c:v>
                </c:pt>
                <c:pt idx="64">
                  <c:v>1.1275055679287336</c:v>
                </c:pt>
                <c:pt idx="65">
                  <c:v>-0.5092911218169367</c:v>
                </c:pt>
                <c:pt idx="66">
                  <c:v>-0.12451577199779111</c:v>
                </c:pt>
                <c:pt idx="67">
                  <c:v>0.81728771297964187</c:v>
                </c:pt>
                <c:pt idx="68">
                  <c:v>0.83814234679857025</c:v>
                </c:pt>
                <c:pt idx="69">
                  <c:v>0.21801335331788607</c:v>
                </c:pt>
                <c:pt idx="70">
                  <c:v>0.67980965329707677</c:v>
                </c:pt>
                <c:pt idx="71">
                  <c:v>1.5124915597569273</c:v>
                </c:pt>
                <c:pt idx="72">
                  <c:v>-0.30597312757749634</c:v>
                </c:pt>
                <c:pt idx="73">
                  <c:v>2.8823058446757361</c:v>
                </c:pt>
                <c:pt idx="74">
                  <c:v>-0.79118028534370877</c:v>
                </c:pt>
                <c:pt idx="75">
                  <c:v>1.0458883514185011</c:v>
                </c:pt>
                <c:pt idx="76">
                  <c:v>0.75042049424246116</c:v>
                </c:pt>
                <c:pt idx="77">
                  <c:v>0.34673173237446514</c:v>
                </c:pt>
                <c:pt idx="78">
                  <c:v>0.78065011517788507</c:v>
                </c:pt>
                <c:pt idx="79">
                  <c:v>1.0920634920634913</c:v>
                </c:pt>
                <c:pt idx="80">
                  <c:v>2.5122472051244845E-2</c:v>
                </c:pt>
                <c:pt idx="81">
                  <c:v>1.8962702499058208</c:v>
                </c:pt>
                <c:pt idx="82">
                  <c:v>0.69016514666009643</c:v>
                </c:pt>
                <c:pt idx="83">
                  <c:v>0.30599755201958384</c:v>
                </c:pt>
                <c:pt idx="84">
                  <c:v>0.79316656497863502</c:v>
                </c:pt>
                <c:pt idx="85">
                  <c:v>3.4866828087167194</c:v>
                </c:pt>
                <c:pt idx="86">
                  <c:v>-1.1581656527842876</c:v>
                </c:pt>
                <c:pt idx="87">
                  <c:v>-0.28405728488577925</c:v>
                </c:pt>
                <c:pt idx="88">
                  <c:v>0.99703264094955901</c:v>
                </c:pt>
                <c:pt idx="89">
                  <c:v>1.7393348219532139</c:v>
                </c:pt>
                <c:pt idx="90">
                  <c:v>-1.1435832274459916</c:v>
                </c:pt>
                <c:pt idx="91">
                  <c:v>1.4723066136947944</c:v>
                </c:pt>
                <c:pt idx="92">
                  <c:v>-0.19576232151082645</c:v>
                </c:pt>
                <c:pt idx="93">
                  <c:v>5.7690088842733536E-2</c:v>
                </c:pt>
                <c:pt idx="94">
                  <c:v>-0.96863468634686734</c:v>
                </c:pt>
                <c:pt idx="95">
                  <c:v>0.62878435025617874</c:v>
                </c:pt>
                <c:pt idx="96">
                  <c:v>0.24299930571626216</c:v>
                </c:pt>
                <c:pt idx="97">
                  <c:v>0.99272769248528159</c:v>
                </c:pt>
                <c:pt idx="98">
                  <c:v>0.76580180592067859</c:v>
                </c:pt>
                <c:pt idx="99">
                  <c:v>0.60117967332123545</c:v>
                </c:pt>
                <c:pt idx="100">
                  <c:v>0.24805502311421676</c:v>
                </c:pt>
                <c:pt idx="101">
                  <c:v>-0.4836351366550361</c:v>
                </c:pt>
                <c:pt idx="102">
                  <c:v>1.548372513562376</c:v>
                </c:pt>
                <c:pt idx="103">
                  <c:v>-0.11129660545352733</c:v>
                </c:pt>
                <c:pt idx="104">
                  <c:v>-0.40111420612813303</c:v>
                </c:pt>
                <c:pt idx="105">
                  <c:v>0.14543013759927895</c:v>
                </c:pt>
                <c:pt idx="106">
                  <c:v>1.016532618409306</c:v>
                </c:pt>
                <c:pt idx="107">
                  <c:v>-1.4154594714143547</c:v>
                </c:pt>
                <c:pt idx="108">
                  <c:v>7.874369040942228</c:v>
                </c:pt>
                <c:pt idx="109">
                  <c:v>-0.35354060517833358</c:v>
                </c:pt>
                <c:pt idx="110">
                  <c:v>1.0539497025983566</c:v>
                </c:pt>
                <c:pt idx="111">
                  <c:v>-1.0532837670384245</c:v>
                </c:pt>
                <c:pt idx="112">
                  <c:v>0.24003339595074516</c:v>
                </c:pt>
                <c:pt idx="113">
                  <c:v>1.0619469026548631</c:v>
                </c:pt>
                <c:pt idx="114">
                  <c:v>0.64901617389513722</c:v>
                </c:pt>
                <c:pt idx="115">
                  <c:v>-1.2998976458546529</c:v>
                </c:pt>
                <c:pt idx="116">
                  <c:v>1.6177538110546386</c:v>
                </c:pt>
                <c:pt idx="117">
                  <c:v>-0.80620471476680489</c:v>
                </c:pt>
                <c:pt idx="118">
                  <c:v>4.1152263374477409E-2</c:v>
                </c:pt>
                <c:pt idx="119">
                  <c:v>9.2554504319213707E-2</c:v>
                </c:pt>
                <c:pt idx="120">
                  <c:v>0.10274324463167422</c:v>
                </c:pt>
                <c:pt idx="121">
                  <c:v>-0.6363543056553469</c:v>
                </c:pt>
                <c:pt idx="122">
                  <c:v>0.36153289949384809</c:v>
                </c:pt>
                <c:pt idx="123">
                  <c:v>-2.1099217785096722</c:v>
                </c:pt>
                <c:pt idx="124">
                  <c:v>3.3960677110713955</c:v>
                </c:pt>
                <c:pt idx="125">
                  <c:v>-0.9558673988204166</c:v>
                </c:pt>
                <c:pt idx="126">
                  <c:v>2.5770020533880809</c:v>
                </c:pt>
                <c:pt idx="127">
                  <c:v>0.52046842157943174</c:v>
                </c:pt>
                <c:pt idx="128">
                  <c:v>0.58747386239170485</c:v>
                </c:pt>
                <c:pt idx="129">
                  <c:v>-1.5343496337358911</c:v>
                </c:pt>
                <c:pt idx="130">
                  <c:v>1.0555946516537622</c:v>
                </c:pt>
                <c:pt idx="131">
                  <c:v>1.1042578591325105</c:v>
                </c:pt>
                <c:pt idx="132">
                  <c:v>0.10823575715831885</c:v>
                </c:pt>
                <c:pt idx="133">
                  <c:v>-0.16709258895223286</c:v>
                </c:pt>
                <c:pt idx="134">
                  <c:v>-0.25598109678053649</c:v>
                </c:pt>
                <c:pt idx="135">
                  <c:v>-2.8328891521073976</c:v>
                </c:pt>
                <c:pt idx="136">
                  <c:v>1.1072734660707064</c:v>
                </c:pt>
                <c:pt idx="137">
                  <c:v>0.7635888676780922</c:v>
                </c:pt>
                <c:pt idx="138">
                  <c:v>-0.81762887625885672</c:v>
                </c:pt>
                <c:pt idx="139">
                  <c:v>-0.38202473107469131</c:v>
                </c:pt>
                <c:pt idx="140">
                  <c:v>-7.0642849934410529E-2</c:v>
                </c:pt>
                <c:pt idx="141">
                  <c:v>1.4138557867097614</c:v>
                </c:pt>
                <c:pt idx="142">
                  <c:v>-0.64728141804422001</c:v>
                </c:pt>
                <c:pt idx="143">
                  <c:v>0.63145234038289033</c:v>
                </c:pt>
                <c:pt idx="144">
                  <c:v>-0.12948207171315701</c:v>
                </c:pt>
                <c:pt idx="145">
                  <c:v>-0.45876134437019422</c:v>
                </c:pt>
                <c:pt idx="146">
                  <c:v>-0.99188458070334551</c:v>
                </c:pt>
                <c:pt idx="147">
                  <c:v>-0.25298522566282128</c:v>
                </c:pt>
                <c:pt idx="148">
                  <c:v>-0.89276656183422487</c:v>
                </c:pt>
                <c:pt idx="149">
                  <c:v>6.1418773671821345E-2</c:v>
                </c:pt>
                <c:pt idx="150">
                  <c:v>-1.4526854219948866</c:v>
                </c:pt>
                <c:pt idx="151">
                  <c:v>-1.3910515934807468</c:v>
                </c:pt>
                <c:pt idx="152">
                  <c:v>1.5264764712074985</c:v>
                </c:pt>
                <c:pt idx="153">
                  <c:v>1.9805060141020288</c:v>
                </c:pt>
                <c:pt idx="154">
                  <c:v>-2.6537874936451442</c:v>
                </c:pt>
                <c:pt idx="155">
                  <c:v>0.31334865260080569</c:v>
                </c:pt>
                <c:pt idx="156">
                  <c:v>-1.1349437734277419</c:v>
                </c:pt>
                <c:pt idx="157">
                  <c:v>0.62137967351237855</c:v>
                </c:pt>
                <c:pt idx="158">
                  <c:v>-1.1304165794431782</c:v>
                </c:pt>
                <c:pt idx="159">
                  <c:v>0.39170019055685429</c:v>
                </c:pt>
                <c:pt idx="160">
                  <c:v>0.37962670041126167</c:v>
                </c:pt>
                <c:pt idx="161">
                  <c:v>-1.2081100955982682</c:v>
                </c:pt>
                <c:pt idx="162">
                  <c:v>0.85070182900892932</c:v>
                </c:pt>
                <c:pt idx="163">
                  <c:v>-0.20033741037536662</c:v>
                </c:pt>
                <c:pt idx="164">
                  <c:v>-1.1727416798732164</c:v>
                </c:pt>
                <c:pt idx="165">
                  <c:v>1.0690613641213282E-2</c:v>
                </c:pt>
                <c:pt idx="166">
                  <c:v>-0.67343666488508336</c:v>
                </c:pt>
                <c:pt idx="167">
                  <c:v>-2.0017219113215661</c:v>
                </c:pt>
                <c:pt idx="168">
                  <c:v>8.8732703711838319</c:v>
                </c:pt>
                <c:pt idx="169">
                  <c:v>-1.1902360298567751</c:v>
                </c:pt>
                <c:pt idx="170">
                  <c:v>-6.5843201306655663</c:v>
                </c:pt>
                <c:pt idx="171">
                  <c:v>2.1418424215932612</c:v>
                </c:pt>
                <c:pt idx="172">
                  <c:v>0.97357440890124802</c:v>
                </c:pt>
                <c:pt idx="173">
                  <c:v>1.3668150031786463</c:v>
                </c:pt>
                <c:pt idx="174">
                  <c:v>0.20905194940943123</c:v>
                </c:pt>
                <c:pt idx="175">
                  <c:v>-0.76144779388756023</c:v>
                </c:pt>
                <c:pt idx="176">
                  <c:v>2.5331091023754433</c:v>
                </c:pt>
                <c:pt idx="177">
                  <c:v>0.24602767811379711</c:v>
                </c:pt>
                <c:pt idx="178">
                  <c:v>0.48062174046425893</c:v>
                </c:pt>
                <c:pt idx="179">
                  <c:v>0.42743741095054111</c:v>
                </c:pt>
                <c:pt idx="180">
                  <c:v>3.5974868261045776</c:v>
                </c:pt>
                <c:pt idx="181">
                  <c:v>-2.2009194952557953</c:v>
                </c:pt>
                <c:pt idx="182">
                  <c:v>-0.54010802160432714</c:v>
                </c:pt>
                <c:pt idx="183">
                  <c:v>1.5486725663716878</c:v>
                </c:pt>
                <c:pt idx="184">
                  <c:v>0.35650623885917943</c:v>
                </c:pt>
                <c:pt idx="185">
                  <c:v>-3.4635879218472518</c:v>
                </c:pt>
                <c:pt idx="186">
                  <c:v>1.1346212818153936</c:v>
                </c:pt>
                <c:pt idx="187">
                  <c:v>1.0915706488781063</c:v>
                </c:pt>
                <c:pt idx="188">
                  <c:v>-0.91981603679264323</c:v>
                </c:pt>
                <c:pt idx="189">
                  <c:v>0.21190716448033095</c:v>
                </c:pt>
                <c:pt idx="190">
                  <c:v>1.963548484543352</c:v>
                </c:pt>
                <c:pt idx="191">
                  <c:v>0.64191190993481273</c:v>
                </c:pt>
                <c:pt idx="192">
                  <c:v>3.0222745559807658</c:v>
                </c:pt>
                <c:pt idx="193">
                  <c:v>-2.7240689589484708</c:v>
                </c:pt>
                <c:pt idx="194">
                  <c:v>-2.0855772055223691</c:v>
                </c:pt>
                <c:pt idx="195">
                  <c:v>-2.3700000000000045</c:v>
                </c:pt>
                <c:pt idx="196">
                  <c:v>1.7207825463484656</c:v>
                </c:pt>
                <c:pt idx="197">
                  <c:v>-0.16111167052663034</c:v>
                </c:pt>
                <c:pt idx="198">
                  <c:v>0.67574382249116238</c:v>
                </c:pt>
                <c:pt idx="199">
                  <c:v>1.3424163494289756</c:v>
                </c:pt>
                <c:pt idx="200">
                  <c:v>0.84025306445236114</c:v>
                </c:pt>
                <c:pt idx="201">
                  <c:v>-0.5587687481619521</c:v>
                </c:pt>
                <c:pt idx="202">
                  <c:v>0.53233438485805029</c:v>
                </c:pt>
                <c:pt idx="203">
                  <c:v>-0.7942733869386176</c:v>
                </c:pt>
                <c:pt idx="204">
                  <c:v>0.45468024117820866</c:v>
                </c:pt>
                <c:pt idx="205">
                  <c:v>-0.34438650004919252</c:v>
                </c:pt>
                <c:pt idx="206">
                  <c:v>13.892180094786724</c:v>
                </c:pt>
                <c:pt idx="207">
                  <c:v>-11.382748157780664</c:v>
                </c:pt>
                <c:pt idx="208">
                  <c:v>6.4370964586186643</c:v>
                </c:pt>
                <c:pt idx="209">
                  <c:v>0.5974264705882405</c:v>
                </c:pt>
                <c:pt idx="210">
                  <c:v>-0.19186843307447049</c:v>
                </c:pt>
                <c:pt idx="211">
                  <c:v>-2.0322226290735985</c:v>
                </c:pt>
                <c:pt idx="212">
                  <c:v>-0.10278452625677391</c:v>
                </c:pt>
                <c:pt idx="213">
                  <c:v>1.0663174632868775</c:v>
                </c:pt>
                <c:pt idx="214">
                  <c:v>-2.9986117538176726</c:v>
                </c:pt>
                <c:pt idx="215">
                  <c:v>6.6787520274776427E-2</c:v>
                </c:pt>
                <c:pt idx="216">
                  <c:v>-1.2490465293668978</c:v>
                </c:pt>
                <c:pt idx="217">
                  <c:v>-0.28965916771265537</c:v>
                </c:pt>
                <c:pt idx="218">
                  <c:v>3.4085407185049004</c:v>
                </c:pt>
                <c:pt idx="219">
                  <c:v>-2.5657833130443009</c:v>
                </c:pt>
                <c:pt idx="220">
                  <c:v>0.92263334935128105</c:v>
                </c:pt>
                <c:pt idx="221">
                  <c:v>3.8091610322818818E-2</c:v>
                </c:pt>
                <c:pt idx="222">
                  <c:v>0.11423131841980443</c:v>
                </c:pt>
                <c:pt idx="223">
                  <c:v>-0.94133307977559644</c:v>
                </c:pt>
                <c:pt idx="224">
                  <c:v>-0.86388942215396969</c:v>
                </c:pt>
                <c:pt idx="225">
                  <c:v>2.9047250193649433E-2</c:v>
                </c:pt>
                <c:pt idx="226">
                  <c:v>0.75500919562481961</c:v>
                </c:pt>
                <c:pt idx="227">
                  <c:v>-0.45153232779325475</c:v>
                </c:pt>
                <c:pt idx="228">
                  <c:v>0.19301293186642407</c:v>
                </c:pt>
                <c:pt idx="229">
                  <c:v>1.1365825467154758</c:v>
                </c:pt>
              </c:numCache>
            </c:numRef>
          </c:val>
          <c:smooth val="0"/>
          <c:extLst>
            <c:ext xmlns:c16="http://schemas.microsoft.com/office/drawing/2014/chart" uri="{C3380CC4-5D6E-409C-BE32-E72D297353CC}">
              <c16:uniqueId val="{00000002-27D6-4B93-B8B4-5D3D28D9E8E2}"/>
            </c:ext>
          </c:extLst>
        </c:ser>
        <c:dLbls>
          <c:showLegendKey val="0"/>
          <c:showVal val="0"/>
          <c:showCatName val="0"/>
          <c:showSerName val="0"/>
          <c:showPercent val="0"/>
          <c:showBubbleSize val="0"/>
        </c:dLbls>
        <c:smooth val="0"/>
        <c:axId val="1079562271"/>
        <c:axId val="1079564351"/>
      </c:lineChart>
      <c:dateAx>
        <c:axId val="1079562271"/>
        <c:scaling>
          <c:orientation val="minMax"/>
        </c:scaling>
        <c:delete val="0"/>
        <c:axPos val="b"/>
        <c:numFmt formatCode="[$-416]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9564351"/>
        <c:crosses val="autoZero"/>
        <c:auto val="1"/>
        <c:lblOffset val="100"/>
        <c:baseTimeUnit val="months"/>
      </c:dateAx>
      <c:valAx>
        <c:axId val="107956435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956227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8740157499999996" l="0.511811024" r="0.511811024" t="0.78740157499999996" header="0.31496062000000002" footer="0.31496062000000002"/>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t-BR"/>
              <a:t>Brazil</a:t>
            </a:r>
            <a:r>
              <a:rPr lang="pt-BR" baseline="0"/>
              <a:t> IP NSA</a:t>
            </a:r>
            <a:endParaRPr lang="pt-B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Original</c:v>
          </c:tx>
          <c:spPr>
            <a:ln w="12700" cap="rnd">
              <a:solidFill>
                <a:schemeClr val="accent1"/>
              </a:solidFill>
              <a:round/>
            </a:ln>
            <a:effectLst/>
          </c:spPr>
          <c:marker>
            <c:symbol val="none"/>
          </c:marker>
          <c:cat>
            <c:numRef>
              <c:f>LAG!$F$12:$F$29</c:f>
              <c:numCache>
                <c:formatCode>[$-416]mmm\-yy;@</c:formatCode>
                <c:ptCount val="18"/>
                <c:pt idx="0">
                  <c:v>37257</c:v>
                </c:pt>
                <c:pt idx="1">
                  <c:v>37288</c:v>
                </c:pt>
                <c:pt idx="2">
                  <c:v>37316</c:v>
                </c:pt>
                <c:pt idx="3">
                  <c:v>37347</c:v>
                </c:pt>
                <c:pt idx="4">
                  <c:v>37377</c:v>
                </c:pt>
                <c:pt idx="5">
                  <c:v>37408</c:v>
                </c:pt>
                <c:pt idx="6">
                  <c:v>37438</c:v>
                </c:pt>
                <c:pt idx="7">
                  <c:v>37469</c:v>
                </c:pt>
                <c:pt idx="8">
                  <c:v>37500</c:v>
                </c:pt>
                <c:pt idx="9">
                  <c:v>37530</c:v>
                </c:pt>
                <c:pt idx="10">
                  <c:v>37561</c:v>
                </c:pt>
                <c:pt idx="11">
                  <c:v>37591</c:v>
                </c:pt>
                <c:pt idx="12">
                  <c:v>37622</c:v>
                </c:pt>
                <c:pt idx="13">
                  <c:v>37653</c:v>
                </c:pt>
                <c:pt idx="14">
                  <c:v>37681</c:v>
                </c:pt>
                <c:pt idx="15">
                  <c:v>37712</c:v>
                </c:pt>
                <c:pt idx="16">
                  <c:v>37742</c:v>
                </c:pt>
                <c:pt idx="17">
                  <c:v>37773</c:v>
                </c:pt>
              </c:numCache>
            </c:numRef>
          </c:cat>
          <c:val>
            <c:numRef>
              <c:f>LAG!$G$12:$G$29</c:f>
              <c:numCache>
                <c:formatCode>0.0</c:formatCode>
                <c:ptCount val="18"/>
                <c:pt idx="0">
                  <c:v>72.400000000000006</c:v>
                </c:pt>
                <c:pt idx="1">
                  <c:v>69.7</c:v>
                </c:pt>
                <c:pt idx="2">
                  <c:v>77.400000000000006</c:v>
                </c:pt>
                <c:pt idx="3">
                  <c:v>79.599999999999994</c:v>
                </c:pt>
                <c:pt idx="4">
                  <c:v>80.400000000000006</c:v>
                </c:pt>
                <c:pt idx="5">
                  <c:v>77.5</c:v>
                </c:pt>
                <c:pt idx="6">
                  <c:v>83.3</c:v>
                </c:pt>
                <c:pt idx="7">
                  <c:v>83.6</c:v>
                </c:pt>
                <c:pt idx="8">
                  <c:v>82.1</c:v>
                </c:pt>
                <c:pt idx="9">
                  <c:v>89.2</c:v>
                </c:pt>
                <c:pt idx="10">
                  <c:v>83.9</c:v>
                </c:pt>
                <c:pt idx="11">
                  <c:v>74.599999999999994</c:v>
                </c:pt>
                <c:pt idx="12">
                  <c:v>74</c:v>
                </c:pt>
                <c:pt idx="13">
                  <c:v>71.8</c:v>
                </c:pt>
                <c:pt idx="14">
                  <c:v>77.400000000000006</c:v>
                </c:pt>
                <c:pt idx="15">
                  <c:v>76.5</c:v>
                </c:pt>
                <c:pt idx="16">
                  <c:v>79.7</c:v>
                </c:pt>
                <c:pt idx="17">
                  <c:v>76.3</c:v>
                </c:pt>
              </c:numCache>
            </c:numRef>
          </c:val>
          <c:smooth val="0"/>
          <c:extLst>
            <c:ext xmlns:c16="http://schemas.microsoft.com/office/drawing/2014/chart" uri="{C3380CC4-5D6E-409C-BE32-E72D297353CC}">
              <c16:uniqueId val="{00000000-8319-4A25-890A-1260D18CE5B0}"/>
            </c:ext>
          </c:extLst>
        </c:ser>
        <c:ser>
          <c:idx val="1"/>
          <c:order val="1"/>
          <c:tx>
            <c:v>Lag</c:v>
          </c:tx>
          <c:spPr>
            <a:ln w="19050" cap="rnd">
              <a:solidFill>
                <a:schemeClr val="accent2"/>
              </a:solidFill>
              <a:round/>
            </a:ln>
            <a:effectLst/>
          </c:spPr>
          <c:marker>
            <c:symbol val="none"/>
          </c:marker>
          <c:cat>
            <c:numRef>
              <c:f>LAG!$F$12:$F$29</c:f>
              <c:numCache>
                <c:formatCode>[$-416]mmm\-yy;@</c:formatCode>
                <c:ptCount val="18"/>
                <c:pt idx="0">
                  <c:v>37257</c:v>
                </c:pt>
                <c:pt idx="1">
                  <c:v>37288</c:v>
                </c:pt>
                <c:pt idx="2">
                  <c:v>37316</c:v>
                </c:pt>
                <c:pt idx="3">
                  <c:v>37347</c:v>
                </c:pt>
                <c:pt idx="4">
                  <c:v>37377</c:v>
                </c:pt>
                <c:pt idx="5">
                  <c:v>37408</c:v>
                </c:pt>
                <c:pt idx="6">
                  <c:v>37438</c:v>
                </c:pt>
                <c:pt idx="7">
                  <c:v>37469</c:v>
                </c:pt>
                <c:pt idx="8">
                  <c:v>37500</c:v>
                </c:pt>
                <c:pt idx="9">
                  <c:v>37530</c:v>
                </c:pt>
                <c:pt idx="10">
                  <c:v>37561</c:v>
                </c:pt>
                <c:pt idx="11">
                  <c:v>37591</c:v>
                </c:pt>
                <c:pt idx="12">
                  <c:v>37622</c:v>
                </c:pt>
                <c:pt idx="13">
                  <c:v>37653</c:v>
                </c:pt>
                <c:pt idx="14">
                  <c:v>37681</c:v>
                </c:pt>
                <c:pt idx="15">
                  <c:v>37712</c:v>
                </c:pt>
                <c:pt idx="16">
                  <c:v>37742</c:v>
                </c:pt>
                <c:pt idx="17">
                  <c:v>37773</c:v>
                </c:pt>
              </c:numCache>
            </c:numRef>
          </c:cat>
          <c:val>
            <c:numRef>
              <c:f>LAG!$N$12:$N$251</c:f>
              <c:numCache>
                <c:formatCode>0.0</c:formatCode>
                <c:ptCount val="240"/>
                <c:pt idx="0">
                  <c:v>#N/A</c:v>
                </c:pt>
                <c:pt idx="1">
                  <c:v>72.400000000000006</c:v>
                </c:pt>
                <c:pt idx="2">
                  <c:v>69.7</c:v>
                </c:pt>
                <c:pt idx="3">
                  <c:v>77.400000000000006</c:v>
                </c:pt>
                <c:pt idx="4">
                  <c:v>79.599999999999994</c:v>
                </c:pt>
                <c:pt idx="5">
                  <c:v>80.400000000000006</c:v>
                </c:pt>
                <c:pt idx="6">
                  <c:v>77.5</c:v>
                </c:pt>
                <c:pt idx="7">
                  <c:v>83.3</c:v>
                </c:pt>
                <c:pt idx="8">
                  <c:v>83.6</c:v>
                </c:pt>
                <c:pt idx="9">
                  <c:v>82.1</c:v>
                </c:pt>
                <c:pt idx="10">
                  <c:v>89.2</c:v>
                </c:pt>
                <c:pt idx="11">
                  <c:v>83.9</c:v>
                </c:pt>
                <c:pt idx="12">
                  <c:v>74.599999999999994</c:v>
                </c:pt>
                <c:pt idx="13">
                  <c:v>74</c:v>
                </c:pt>
                <c:pt idx="14">
                  <c:v>71.8</c:v>
                </c:pt>
                <c:pt idx="15">
                  <c:v>77.400000000000006</c:v>
                </c:pt>
                <c:pt idx="16">
                  <c:v>76.5</c:v>
                </c:pt>
                <c:pt idx="17">
                  <c:v>79.7</c:v>
                </c:pt>
                <c:pt idx="20" formatCode="General">
                  <c:v>0</c:v>
                </c:pt>
                <c:pt idx="21">
                  <c:v>0</c:v>
                </c:pt>
                <c:pt idx="22">
                  <c:v>#N/A</c:v>
                </c:pt>
                <c:pt idx="23">
                  <c:v>72.400000000000006</c:v>
                </c:pt>
                <c:pt idx="24">
                  <c:v>69.7</c:v>
                </c:pt>
                <c:pt idx="25">
                  <c:v>77.400000000000006</c:v>
                </c:pt>
                <c:pt idx="26">
                  <c:v>79.599999999999994</c:v>
                </c:pt>
                <c:pt idx="27">
                  <c:v>80.400000000000006</c:v>
                </c:pt>
                <c:pt idx="28">
                  <c:v>77.5</c:v>
                </c:pt>
                <c:pt idx="29">
                  <c:v>83.3</c:v>
                </c:pt>
                <c:pt idx="30">
                  <c:v>83.6</c:v>
                </c:pt>
                <c:pt idx="31">
                  <c:v>82.1</c:v>
                </c:pt>
                <c:pt idx="32">
                  <c:v>89.2</c:v>
                </c:pt>
                <c:pt idx="33">
                  <c:v>83.9</c:v>
                </c:pt>
                <c:pt idx="34">
                  <c:v>74.599999999999994</c:v>
                </c:pt>
                <c:pt idx="35">
                  <c:v>74</c:v>
                </c:pt>
                <c:pt idx="36">
                  <c:v>71.8</c:v>
                </c:pt>
                <c:pt idx="37">
                  <c:v>77.400000000000006</c:v>
                </c:pt>
                <c:pt idx="38">
                  <c:v>76.5</c:v>
                </c:pt>
                <c:pt idx="39">
                  <c:v>79.7</c:v>
                </c:pt>
              </c:numCache>
            </c:numRef>
          </c:val>
          <c:smooth val="0"/>
          <c:extLst>
            <c:ext xmlns:c16="http://schemas.microsoft.com/office/drawing/2014/chart" uri="{C3380CC4-5D6E-409C-BE32-E72D297353CC}">
              <c16:uniqueId val="{00000001-8319-4A25-890A-1260D18CE5B0}"/>
            </c:ext>
          </c:extLst>
        </c:ser>
        <c:dLbls>
          <c:showLegendKey val="0"/>
          <c:showVal val="0"/>
          <c:showCatName val="0"/>
          <c:showSerName val="0"/>
          <c:showPercent val="0"/>
          <c:showBubbleSize val="0"/>
        </c:dLbls>
        <c:smooth val="0"/>
        <c:axId val="2040515792"/>
        <c:axId val="2040519952"/>
      </c:lineChart>
      <c:dateAx>
        <c:axId val="2040515792"/>
        <c:scaling>
          <c:orientation val="minMax"/>
        </c:scaling>
        <c:delete val="0"/>
        <c:axPos val="b"/>
        <c:numFmt formatCode="[$-416]mmm\-yy;@"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0519952"/>
        <c:crosses val="autoZero"/>
        <c:auto val="1"/>
        <c:lblOffset val="100"/>
        <c:baseTimeUnit val="months"/>
      </c:dateAx>
      <c:valAx>
        <c:axId val="204051995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051579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8740157499999996" l="0.511811024" r="0.511811024" t="0.78740157499999996" header="0.31496062000000002" footer="0.31496062000000002"/>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t-BR"/>
              <a:t>Brazil</a:t>
            </a:r>
            <a:r>
              <a:rPr lang="pt-BR" baseline="0"/>
              <a:t> IP NSA</a:t>
            </a:r>
            <a:endParaRPr lang="pt-B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Original</c:v>
          </c:tx>
          <c:spPr>
            <a:ln w="12700" cap="rnd">
              <a:solidFill>
                <a:schemeClr val="accent1"/>
              </a:solidFill>
              <a:round/>
            </a:ln>
            <a:effectLst/>
          </c:spPr>
          <c:marker>
            <c:symbol val="none"/>
          </c:marker>
          <c:cat>
            <c:numRef>
              <c:f>LEAD!$F$11:$F$28</c:f>
              <c:numCache>
                <c:formatCode>[$-416]mmm\-yy;@</c:formatCode>
                <c:ptCount val="18"/>
                <c:pt idx="0">
                  <c:v>37257</c:v>
                </c:pt>
                <c:pt idx="1">
                  <c:v>37288</c:v>
                </c:pt>
                <c:pt idx="2">
                  <c:v>37316</c:v>
                </c:pt>
                <c:pt idx="3">
                  <c:v>37347</c:v>
                </c:pt>
                <c:pt idx="4">
                  <c:v>37377</c:v>
                </c:pt>
                <c:pt idx="5">
                  <c:v>37408</c:v>
                </c:pt>
                <c:pt idx="6">
                  <c:v>37438</c:v>
                </c:pt>
                <c:pt idx="7">
                  <c:v>37469</c:v>
                </c:pt>
                <c:pt idx="8">
                  <c:v>37500</c:v>
                </c:pt>
                <c:pt idx="9">
                  <c:v>37530</c:v>
                </c:pt>
                <c:pt idx="10">
                  <c:v>37561</c:v>
                </c:pt>
                <c:pt idx="11">
                  <c:v>37591</c:v>
                </c:pt>
                <c:pt idx="12">
                  <c:v>37622</c:v>
                </c:pt>
                <c:pt idx="13">
                  <c:v>37653</c:v>
                </c:pt>
                <c:pt idx="14">
                  <c:v>37681</c:v>
                </c:pt>
                <c:pt idx="15">
                  <c:v>37712</c:v>
                </c:pt>
                <c:pt idx="16">
                  <c:v>37742</c:v>
                </c:pt>
                <c:pt idx="17">
                  <c:v>37773</c:v>
                </c:pt>
              </c:numCache>
            </c:numRef>
          </c:cat>
          <c:val>
            <c:numRef>
              <c:f>LEAD!$G$11:$G$28</c:f>
              <c:numCache>
                <c:formatCode>0.0</c:formatCode>
                <c:ptCount val="18"/>
                <c:pt idx="0">
                  <c:v>72.400000000000006</c:v>
                </c:pt>
                <c:pt idx="1">
                  <c:v>69.7</c:v>
                </c:pt>
                <c:pt idx="2">
                  <c:v>77.400000000000006</c:v>
                </c:pt>
                <c:pt idx="3">
                  <c:v>79.599999999999994</c:v>
                </c:pt>
                <c:pt idx="4">
                  <c:v>80.400000000000006</c:v>
                </c:pt>
                <c:pt idx="5">
                  <c:v>77.5</c:v>
                </c:pt>
                <c:pt idx="6">
                  <c:v>83.3</c:v>
                </c:pt>
                <c:pt idx="7">
                  <c:v>83.6</c:v>
                </c:pt>
                <c:pt idx="8">
                  <c:v>82.1</c:v>
                </c:pt>
                <c:pt idx="9">
                  <c:v>89.2</c:v>
                </c:pt>
                <c:pt idx="10">
                  <c:v>83.9</c:v>
                </c:pt>
                <c:pt idx="11">
                  <c:v>74.599999999999994</c:v>
                </c:pt>
                <c:pt idx="12">
                  <c:v>74</c:v>
                </c:pt>
                <c:pt idx="13">
                  <c:v>71.8</c:v>
                </c:pt>
                <c:pt idx="14">
                  <c:v>77.400000000000006</c:v>
                </c:pt>
                <c:pt idx="15">
                  <c:v>76.5</c:v>
                </c:pt>
                <c:pt idx="16">
                  <c:v>79.7</c:v>
                </c:pt>
                <c:pt idx="17">
                  <c:v>76.3</c:v>
                </c:pt>
              </c:numCache>
            </c:numRef>
          </c:val>
          <c:smooth val="0"/>
          <c:extLst>
            <c:ext xmlns:c16="http://schemas.microsoft.com/office/drawing/2014/chart" uri="{C3380CC4-5D6E-409C-BE32-E72D297353CC}">
              <c16:uniqueId val="{00000000-FF83-4DCE-82E8-C80E8868B7B8}"/>
            </c:ext>
          </c:extLst>
        </c:ser>
        <c:ser>
          <c:idx val="1"/>
          <c:order val="1"/>
          <c:tx>
            <c:v>Lead</c:v>
          </c:tx>
          <c:spPr>
            <a:ln w="19050" cap="rnd">
              <a:solidFill>
                <a:schemeClr val="accent2"/>
              </a:solidFill>
              <a:round/>
            </a:ln>
            <a:effectLst/>
          </c:spPr>
          <c:marker>
            <c:symbol val="none"/>
          </c:marker>
          <c:cat>
            <c:numRef>
              <c:f>LEAD!$F$11:$F$28</c:f>
              <c:numCache>
                <c:formatCode>[$-416]mmm\-yy;@</c:formatCode>
                <c:ptCount val="18"/>
                <c:pt idx="0">
                  <c:v>37257</c:v>
                </c:pt>
                <c:pt idx="1">
                  <c:v>37288</c:v>
                </c:pt>
                <c:pt idx="2">
                  <c:v>37316</c:v>
                </c:pt>
                <c:pt idx="3">
                  <c:v>37347</c:v>
                </c:pt>
                <c:pt idx="4">
                  <c:v>37377</c:v>
                </c:pt>
                <c:pt idx="5">
                  <c:v>37408</c:v>
                </c:pt>
                <c:pt idx="6">
                  <c:v>37438</c:v>
                </c:pt>
                <c:pt idx="7">
                  <c:v>37469</c:v>
                </c:pt>
                <c:pt idx="8">
                  <c:v>37500</c:v>
                </c:pt>
                <c:pt idx="9">
                  <c:v>37530</c:v>
                </c:pt>
                <c:pt idx="10">
                  <c:v>37561</c:v>
                </c:pt>
                <c:pt idx="11">
                  <c:v>37591</c:v>
                </c:pt>
                <c:pt idx="12">
                  <c:v>37622</c:v>
                </c:pt>
                <c:pt idx="13">
                  <c:v>37653</c:v>
                </c:pt>
                <c:pt idx="14">
                  <c:v>37681</c:v>
                </c:pt>
                <c:pt idx="15">
                  <c:v>37712</c:v>
                </c:pt>
                <c:pt idx="16">
                  <c:v>37742</c:v>
                </c:pt>
                <c:pt idx="17">
                  <c:v>37773</c:v>
                </c:pt>
              </c:numCache>
            </c:numRef>
          </c:cat>
          <c:val>
            <c:numRef>
              <c:f>LEAD!$N$11:$N$250</c:f>
              <c:numCache>
                <c:formatCode>0.0</c:formatCode>
                <c:ptCount val="240"/>
                <c:pt idx="0">
                  <c:v>79.599999999999994</c:v>
                </c:pt>
                <c:pt idx="1">
                  <c:v>80.400000000000006</c:v>
                </c:pt>
                <c:pt idx="2">
                  <c:v>77.5</c:v>
                </c:pt>
                <c:pt idx="3">
                  <c:v>83.3</c:v>
                </c:pt>
                <c:pt idx="4">
                  <c:v>83.6</c:v>
                </c:pt>
                <c:pt idx="5">
                  <c:v>82.1</c:v>
                </c:pt>
                <c:pt idx="6">
                  <c:v>89.2</c:v>
                </c:pt>
                <c:pt idx="7">
                  <c:v>83.9</c:v>
                </c:pt>
                <c:pt idx="8">
                  <c:v>74.599999999999994</c:v>
                </c:pt>
                <c:pt idx="9">
                  <c:v>74</c:v>
                </c:pt>
                <c:pt idx="10">
                  <c:v>71.8</c:v>
                </c:pt>
                <c:pt idx="11">
                  <c:v>77.400000000000006</c:v>
                </c:pt>
                <c:pt idx="12">
                  <c:v>76.5</c:v>
                </c:pt>
                <c:pt idx="13">
                  <c:v>79.7</c:v>
                </c:pt>
                <c:pt idx="14">
                  <c:v>76.3</c:v>
                </c:pt>
                <c:pt idx="15">
                  <c:v>#N/A</c:v>
                </c:pt>
                <c:pt idx="16">
                  <c:v>#N/A</c:v>
                </c:pt>
                <c:pt idx="17">
                  <c:v>#N/A</c:v>
                </c:pt>
                <c:pt idx="20" formatCode="General">
                  <c:v>0</c:v>
                </c:pt>
                <c:pt idx="21">
                  <c:v>0</c:v>
                </c:pt>
                <c:pt idx="22">
                  <c:v>79.599999999999994</c:v>
                </c:pt>
                <c:pt idx="23">
                  <c:v>80.400000000000006</c:v>
                </c:pt>
                <c:pt idx="24">
                  <c:v>77.5</c:v>
                </c:pt>
                <c:pt idx="25">
                  <c:v>83.3</c:v>
                </c:pt>
                <c:pt idx="26">
                  <c:v>83.6</c:v>
                </c:pt>
                <c:pt idx="27">
                  <c:v>82.1</c:v>
                </c:pt>
                <c:pt idx="28">
                  <c:v>89.2</c:v>
                </c:pt>
                <c:pt idx="29">
                  <c:v>83.9</c:v>
                </c:pt>
                <c:pt idx="30">
                  <c:v>74.599999999999994</c:v>
                </c:pt>
                <c:pt idx="31">
                  <c:v>74</c:v>
                </c:pt>
                <c:pt idx="32">
                  <c:v>71.8</c:v>
                </c:pt>
                <c:pt idx="33">
                  <c:v>77.400000000000006</c:v>
                </c:pt>
                <c:pt idx="34">
                  <c:v>76.5</c:v>
                </c:pt>
                <c:pt idx="35">
                  <c:v>79.7</c:v>
                </c:pt>
                <c:pt idx="36">
                  <c:v>76.3</c:v>
                </c:pt>
                <c:pt idx="37">
                  <c:v>#N/A</c:v>
                </c:pt>
                <c:pt idx="38">
                  <c:v>#N/A</c:v>
                </c:pt>
                <c:pt idx="39">
                  <c:v>#N/A</c:v>
                </c:pt>
              </c:numCache>
            </c:numRef>
          </c:val>
          <c:smooth val="0"/>
          <c:extLst>
            <c:ext xmlns:c16="http://schemas.microsoft.com/office/drawing/2014/chart" uri="{C3380CC4-5D6E-409C-BE32-E72D297353CC}">
              <c16:uniqueId val="{00000001-FF83-4DCE-82E8-C80E8868B7B8}"/>
            </c:ext>
          </c:extLst>
        </c:ser>
        <c:dLbls>
          <c:showLegendKey val="0"/>
          <c:showVal val="0"/>
          <c:showCatName val="0"/>
          <c:showSerName val="0"/>
          <c:showPercent val="0"/>
          <c:showBubbleSize val="0"/>
        </c:dLbls>
        <c:smooth val="0"/>
        <c:axId val="2040515792"/>
        <c:axId val="2040519952"/>
      </c:lineChart>
      <c:dateAx>
        <c:axId val="2040515792"/>
        <c:scaling>
          <c:orientation val="minMax"/>
        </c:scaling>
        <c:delete val="0"/>
        <c:axPos val="b"/>
        <c:numFmt formatCode="[$-416]mmm\-yy;@"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0519952"/>
        <c:crosses val="autoZero"/>
        <c:auto val="1"/>
        <c:lblOffset val="100"/>
        <c:baseTimeUnit val="months"/>
      </c:dateAx>
      <c:valAx>
        <c:axId val="204051995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051579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8740157499999996" l="0.511811024" r="0.511811024" t="0.78740157499999996" header="0.31496062000000002" footer="0.31496062000000002"/>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t-BR"/>
              <a:t>IBC-Br SA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Original</c:v>
          </c:tx>
          <c:spPr>
            <a:ln w="12700" cap="rnd">
              <a:solidFill>
                <a:schemeClr val="accent1"/>
              </a:solidFill>
              <a:round/>
            </a:ln>
            <a:effectLst/>
          </c:spPr>
          <c:marker>
            <c:symbol val="none"/>
          </c:marker>
          <c:cat>
            <c:numRef>
              <c:f>HPFILTER!$F$9:$F$247</c:f>
              <c:numCache>
                <c:formatCode>[$-416]mmm\-yy;@</c:formatCode>
                <c:ptCount val="239"/>
                <c:pt idx="0">
                  <c:v>37653</c:v>
                </c:pt>
                <c:pt idx="1">
                  <c:v>37681</c:v>
                </c:pt>
                <c:pt idx="2">
                  <c:v>37712</c:v>
                </c:pt>
                <c:pt idx="3">
                  <c:v>37742</c:v>
                </c:pt>
                <c:pt idx="4">
                  <c:v>37773</c:v>
                </c:pt>
                <c:pt idx="5">
                  <c:v>37803</c:v>
                </c:pt>
                <c:pt idx="6">
                  <c:v>37834</c:v>
                </c:pt>
                <c:pt idx="7">
                  <c:v>37865</c:v>
                </c:pt>
                <c:pt idx="8">
                  <c:v>37895</c:v>
                </c:pt>
                <c:pt idx="9">
                  <c:v>37926</c:v>
                </c:pt>
                <c:pt idx="10">
                  <c:v>37956</c:v>
                </c:pt>
                <c:pt idx="11">
                  <c:v>37987</c:v>
                </c:pt>
                <c:pt idx="12">
                  <c:v>38018</c:v>
                </c:pt>
                <c:pt idx="13">
                  <c:v>38047</c:v>
                </c:pt>
                <c:pt idx="14">
                  <c:v>38078</c:v>
                </c:pt>
                <c:pt idx="15">
                  <c:v>38108</c:v>
                </c:pt>
                <c:pt idx="16">
                  <c:v>38139</c:v>
                </c:pt>
                <c:pt idx="17">
                  <c:v>38169</c:v>
                </c:pt>
                <c:pt idx="18">
                  <c:v>38200</c:v>
                </c:pt>
                <c:pt idx="19">
                  <c:v>38231</c:v>
                </c:pt>
                <c:pt idx="20">
                  <c:v>38261</c:v>
                </c:pt>
                <c:pt idx="21">
                  <c:v>38292</c:v>
                </c:pt>
                <c:pt idx="22">
                  <c:v>38322</c:v>
                </c:pt>
                <c:pt idx="23">
                  <c:v>38353</c:v>
                </c:pt>
                <c:pt idx="24">
                  <c:v>38384</c:v>
                </c:pt>
                <c:pt idx="25">
                  <c:v>38412</c:v>
                </c:pt>
                <c:pt idx="26">
                  <c:v>38443</c:v>
                </c:pt>
                <c:pt idx="27">
                  <c:v>38473</c:v>
                </c:pt>
                <c:pt idx="28">
                  <c:v>38504</c:v>
                </c:pt>
                <c:pt idx="29">
                  <c:v>38534</c:v>
                </c:pt>
                <c:pt idx="30">
                  <c:v>38565</c:v>
                </c:pt>
                <c:pt idx="31">
                  <c:v>38596</c:v>
                </c:pt>
                <c:pt idx="32">
                  <c:v>38626</c:v>
                </c:pt>
                <c:pt idx="33">
                  <c:v>38657</c:v>
                </c:pt>
                <c:pt idx="34">
                  <c:v>38687</c:v>
                </c:pt>
                <c:pt idx="35">
                  <c:v>38718</c:v>
                </c:pt>
                <c:pt idx="36">
                  <c:v>38749</c:v>
                </c:pt>
                <c:pt idx="37">
                  <c:v>38777</c:v>
                </c:pt>
                <c:pt idx="38">
                  <c:v>38808</c:v>
                </c:pt>
                <c:pt idx="39">
                  <c:v>38838</c:v>
                </c:pt>
                <c:pt idx="40">
                  <c:v>38869</c:v>
                </c:pt>
                <c:pt idx="41">
                  <c:v>38899</c:v>
                </c:pt>
                <c:pt idx="42">
                  <c:v>38930</c:v>
                </c:pt>
                <c:pt idx="43">
                  <c:v>38961</c:v>
                </c:pt>
                <c:pt idx="44">
                  <c:v>38991</c:v>
                </c:pt>
                <c:pt idx="45">
                  <c:v>39022</c:v>
                </c:pt>
                <c:pt idx="46">
                  <c:v>39052</c:v>
                </c:pt>
                <c:pt idx="47">
                  <c:v>39083</c:v>
                </c:pt>
                <c:pt idx="48">
                  <c:v>39114</c:v>
                </c:pt>
                <c:pt idx="49">
                  <c:v>39142</c:v>
                </c:pt>
                <c:pt idx="50">
                  <c:v>39173</c:v>
                </c:pt>
                <c:pt idx="51">
                  <c:v>39203</c:v>
                </c:pt>
                <c:pt idx="52">
                  <c:v>39234</c:v>
                </c:pt>
                <c:pt idx="53">
                  <c:v>39264</c:v>
                </c:pt>
                <c:pt idx="54">
                  <c:v>39295</c:v>
                </c:pt>
                <c:pt idx="55">
                  <c:v>39326</c:v>
                </c:pt>
                <c:pt idx="56">
                  <c:v>39356</c:v>
                </c:pt>
                <c:pt idx="57">
                  <c:v>39387</c:v>
                </c:pt>
                <c:pt idx="58">
                  <c:v>39417</c:v>
                </c:pt>
                <c:pt idx="59">
                  <c:v>39448</c:v>
                </c:pt>
                <c:pt idx="60">
                  <c:v>39479</c:v>
                </c:pt>
                <c:pt idx="61">
                  <c:v>39508</c:v>
                </c:pt>
                <c:pt idx="62">
                  <c:v>39539</c:v>
                </c:pt>
                <c:pt idx="63">
                  <c:v>39569</c:v>
                </c:pt>
                <c:pt idx="64">
                  <c:v>39600</c:v>
                </c:pt>
                <c:pt idx="65">
                  <c:v>39630</c:v>
                </c:pt>
                <c:pt idx="66">
                  <c:v>39661</c:v>
                </c:pt>
                <c:pt idx="67">
                  <c:v>39692</c:v>
                </c:pt>
                <c:pt idx="68">
                  <c:v>39722</c:v>
                </c:pt>
                <c:pt idx="69">
                  <c:v>39753</c:v>
                </c:pt>
                <c:pt idx="70">
                  <c:v>39783</c:v>
                </c:pt>
                <c:pt idx="71">
                  <c:v>39814</c:v>
                </c:pt>
                <c:pt idx="72">
                  <c:v>39845</c:v>
                </c:pt>
                <c:pt idx="73">
                  <c:v>39873</c:v>
                </c:pt>
                <c:pt idx="74">
                  <c:v>39904</c:v>
                </c:pt>
                <c:pt idx="75">
                  <c:v>39934</c:v>
                </c:pt>
                <c:pt idx="76">
                  <c:v>39965</c:v>
                </c:pt>
                <c:pt idx="77">
                  <c:v>39995</c:v>
                </c:pt>
                <c:pt idx="78">
                  <c:v>40026</c:v>
                </c:pt>
                <c:pt idx="79">
                  <c:v>40057</c:v>
                </c:pt>
                <c:pt idx="80">
                  <c:v>40087</c:v>
                </c:pt>
                <c:pt idx="81">
                  <c:v>40118</c:v>
                </c:pt>
                <c:pt idx="82">
                  <c:v>40148</c:v>
                </c:pt>
                <c:pt idx="83">
                  <c:v>40179</c:v>
                </c:pt>
                <c:pt idx="84">
                  <c:v>40210</c:v>
                </c:pt>
                <c:pt idx="85">
                  <c:v>40238</c:v>
                </c:pt>
                <c:pt idx="86">
                  <c:v>40269</c:v>
                </c:pt>
                <c:pt idx="87">
                  <c:v>40299</c:v>
                </c:pt>
                <c:pt idx="88">
                  <c:v>40330</c:v>
                </c:pt>
                <c:pt idx="89">
                  <c:v>40360</c:v>
                </c:pt>
                <c:pt idx="90">
                  <c:v>40391</c:v>
                </c:pt>
                <c:pt idx="91">
                  <c:v>40422</c:v>
                </c:pt>
                <c:pt idx="92">
                  <c:v>40452</c:v>
                </c:pt>
                <c:pt idx="93">
                  <c:v>40483</c:v>
                </c:pt>
                <c:pt idx="94">
                  <c:v>40513</c:v>
                </c:pt>
                <c:pt idx="95">
                  <c:v>40544</c:v>
                </c:pt>
                <c:pt idx="96">
                  <c:v>40575</c:v>
                </c:pt>
                <c:pt idx="97">
                  <c:v>40603</c:v>
                </c:pt>
                <c:pt idx="98">
                  <c:v>40634</c:v>
                </c:pt>
                <c:pt idx="99">
                  <c:v>40664</c:v>
                </c:pt>
                <c:pt idx="100">
                  <c:v>40695</c:v>
                </c:pt>
                <c:pt idx="101">
                  <c:v>40725</c:v>
                </c:pt>
                <c:pt idx="102">
                  <c:v>40756</c:v>
                </c:pt>
                <c:pt idx="103">
                  <c:v>40787</c:v>
                </c:pt>
                <c:pt idx="104">
                  <c:v>40817</c:v>
                </c:pt>
                <c:pt idx="105">
                  <c:v>40848</c:v>
                </c:pt>
                <c:pt idx="106">
                  <c:v>40878</c:v>
                </c:pt>
                <c:pt idx="107">
                  <c:v>40909</c:v>
                </c:pt>
                <c:pt idx="108">
                  <c:v>40940</c:v>
                </c:pt>
                <c:pt idx="109">
                  <c:v>40969</c:v>
                </c:pt>
                <c:pt idx="110">
                  <c:v>41000</c:v>
                </c:pt>
                <c:pt idx="111">
                  <c:v>41030</c:v>
                </c:pt>
                <c:pt idx="112">
                  <c:v>41061</c:v>
                </c:pt>
                <c:pt idx="113">
                  <c:v>41091</c:v>
                </c:pt>
                <c:pt idx="114">
                  <c:v>41122</c:v>
                </c:pt>
                <c:pt idx="115">
                  <c:v>41153</c:v>
                </c:pt>
                <c:pt idx="116">
                  <c:v>41183</c:v>
                </c:pt>
                <c:pt idx="117">
                  <c:v>41214</c:v>
                </c:pt>
                <c:pt idx="118">
                  <c:v>41244</c:v>
                </c:pt>
                <c:pt idx="119">
                  <c:v>41275</c:v>
                </c:pt>
                <c:pt idx="120">
                  <c:v>41306</c:v>
                </c:pt>
                <c:pt idx="121">
                  <c:v>41334</c:v>
                </c:pt>
                <c:pt idx="122">
                  <c:v>41365</c:v>
                </c:pt>
                <c:pt idx="123">
                  <c:v>41395</c:v>
                </c:pt>
                <c:pt idx="124">
                  <c:v>41426</c:v>
                </c:pt>
                <c:pt idx="125">
                  <c:v>41456</c:v>
                </c:pt>
                <c:pt idx="126">
                  <c:v>41487</c:v>
                </c:pt>
                <c:pt idx="127">
                  <c:v>41518</c:v>
                </c:pt>
                <c:pt idx="128">
                  <c:v>41548</c:v>
                </c:pt>
                <c:pt idx="129">
                  <c:v>41579</c:v>
                </c:pt>
                <c:pt idx="130">
                  <c:v>41609</c:v>
                </c:pt>
                <c:pt idx="131">
                  <c:v>41640</c:v>
                </c:pt>
                <c:pt idx="132">
                  <c:v>41671</c:v>
                </c:pt>
                <c:pt idx="133">
                  <c:v>41699</c:v>
                </c:pt>
                <c:pt idx="134">
                  <c:v>41730</c:v>
                </c:pt>
                <c:pt idx="135">
                  <c:v>41760</c:v>
                </c:pt>
                <c:pt idx="136">
                  <c:v>41791</c:v>
                </c:pt>
                <c:pt idx="137">
                  <c:v>41821</c:v>
                </c:pt>
                <c:pt idx="138">
                  <c:v>41852</c:v>
                </c:pt>
                <c:pt idx="139">
                  <c:v>41883</c:v>
                </c:pt>
                <c:pt idx="140">
                  <c:v>41913</c:v>
                </c:pt>
                <c:pt idx="141">
                  <c:v>41944</c:v>
                </c:pt>
                <c:pt idx="142">
                  <c:v>41974</c:v>
                </c:pt>
                <c:pt idx="143">
                  <c:v>42005</c:v>
                </c:pt>
                <c:pt idx="144">
                  <c:v>42036</c:v>
                </c:pt>
                <c:pt idx="145">
                  <c:v>42064</c:v>
                </c:pt>
                <c:pt idx="146">
                  <c:v>42095</c:v>
                </c:pt>
                <c:pt idx="147">
                  <c:v>42125</c:v>
                </c:pt>
                <c:pt idx="148">
                  <c:v>42156</c:v>
                </c:pt>
                <c:pt idx="149">
                  <c:v>42186</c:v>
                </c:pt>
                <c:pt idx="150">
                  <c:v>42217</c:v>
                </c:pt>
                <c:pt idx="151">
                  <c:v>42248</c:v>
                </c:pt>
                <c:pt idx="152">
                  <c:v>42278</c:v>
                </c:pt>
                <c:pt idx="153">
                  <c:v>42309</c:v>
                </c:pt>
                <c:pt idx="154">
                  <c:v>42339</c:v>
                </c:pt>
                <c:pt idx="155">
                  <c:v>42370</c:v>
                </c:pt>
                <c:pt idx="156">
                  <c:v>42401</c:v>
                </c:pt>
                <c:pt idx="157">
                  <c:v>42430</c:v>
                </c:pt>
                <c:pt idx="158">
                  <c:v>42461</c:v>
                </c:pt>
                <c:pt idx="159">
                  <c:v>42491</c:v>
                </c:pt>
                <c:pt idx="160">
                  <c:v>42522</c:v>
                </c:pt>
                <c:pt idx="161">
                  <c:v>42552</c:v>
                </c:pt>
                <c:pt idx="162">
                  <c:v>42583</c:v>
                </c:pt>
                <c:pt idx="163">
                  <c:v>42614</c:v>
                </c:pt>
                <c:pt idx="164">
                  <c:v>42644</c:v>
                </c:pt>
                <c:pt idx="165">
                  <c:v>42675</c:v>
                </c:pt>
                <c:pt idx="166">
                  <c:v>42705</c:v>
                </c:pt>
                <c:pt idx="167">
                  <c:v>42736</c:v>
                </c:pt>
                <c:pt idx="168">
                  <c:v>42767</c:v>
                </c:pt>
                <c:pt idx="169">
                  <c:v>42795</c:v>
                </c:pt>
                <c:pt idx="170">
                  <c:v>42826</c:v>
                </c:pt>
                <c:pt idx="171">
                  <c:v>42856</c:v>
                </c:pt>
                <c:pt idx="172">
                  <c:v>42887</c:v>
                </c:pt>
                <c:pt idx="173">
                  <c:v>42917</c:v>
                </c:pt>
                <c:pt idx="174">
                  <c:v>42948</c:v>
                </c:pt>
                <c:pt idx="175">
                  <c:v>42979</c:v>
                </c:pt>
                <c:pt idx="176">
                  <c:v>43009</c:v>
                </c:pt>
                <c:pt idx="177">
                  <c:v>43040</c:v>
                </c:pt>
                <c:pt idx="178">
                  <c:v>43070</c:v>
                </c:pt>
                <c:pt idx="179">
                  <c:v>43101</c:v>
                </c:pt>
                <c:pt idx="180">
                  <c:v>43132</c:v>
                </c:pt>
                <c:pt idx="181">
                  <c:v>43160</c:v>
                </c:pt>
                <c:pt idx="182">
                  <c:v>43191</c:v>
                </c:pt>
                <c:pt idx="183">
                  <c:v>43221</c:v>
                </c:pt>
                <c:pt idx="184">
                  <c:v>43252</c:v>
                </c:pt>
                <c:pt idx="185">
                  <c:v>43282</c:v>
                </c:pt>
                <c:pt idx="186">
                  <c:v>43313</c:v>
                </c:pt>
                <c:pt idx="187">
                  <c:v>43344</c:v>
                </c:pt>
                <c:pt idx="188">
                  <c:v>43374</c:v>
                </c:pt>
                <c:pt idx="189">
                  <c:v>43405</c:v>
                </c:pt>
                <c:pt idx="190">
                  <c:v>43435</c:v>
                </c:pt>
                <c:pt idx="191">
                  <c:v>43466</c:v>
                </c:pt>
                <c:pt idx="192">
                  <c:v>43497</c:v>
                </c:pt>
                <c:pt idx="193">
                  <c:v>43525</c:v>
                </c:pt>
                <c:pt idx="194">
                  <c:v>43556</c:v>
                </c:pt>
                <c:pt idx="195">
                  <c:v>43586</c:v>
                </c:pt>
                <c:pt idx="196">
                  <c:v>43617</c:v>
                </c:pt>
                <c:pt idx="197">
                  <c:v>43647</c:v>
                </c:pt>
                <c:pt idx="198">
                  <c:v>43678</c:v>
                </c:pt>
                <c:pt idx="199">
                  <c:v>43709</c:v>
                </c:pt>
                <c:pt idx="200">
                  <c:v>43739</c:v>
                </c:pt>
                <c:pt idx="201">
                  <c:v>43770</c:v>
                </c:pt>
                <c:pt idx="202">
                  <c:v>43800</c:v>
                </c:pt>
                <c:pt idx="203">
                  <c:v>43831</c:v>
                </c:pt>
                <c:pt idx="204">
                  <c:v>43862</c:v>
                </c:pt>
                <c:pt idx="205">
                  <c:v>43891</c:v>
                </c:pt>
                <c:pt idx="206">
                  <c:v>43922</c:v>
                </c:pt>
                <c:pt idx="207">
                  <c:v>43952</c:v>
                </c:pt>
                <c:pt idx="208">
                  <c:v>43983</c:v>
                </c:pt>
                <c:pt idx="209">
                  <c:v>44013</c:v>
                </c:pt>
                <c:pt idx="210">
                  <c:v>44044</c:v>
                </c:pt>
                <c:pt idx="211">
                  <c:v>44075</c:v>
                </c:pt>
                <c:pt idx="212">
                  <c:v>44105</c:v>
                </c:pt>
                <c:pt idx="213">
                  <c:v>44136</c:v>
                </c:pt>
                <c:pt idx="214">
                  <c:v>44166</c:v>
                </c:pt>
                <c:pt idx="215">
                  <c:v>44197</c:v>
                </c:pt>
                <c:pt idx="216">
                  <c:v>44228</c:v>
                </c:pt>
                <c:pt idx="217">
                  <c:v>44256</c:v>
                </c:pt>
                <c:pt idx="218">
                  <c:v>44287</c:v>
                </c:pt>
                <c:pt idx="219">
                  <c:v>44317</c:v>
                </c:pt>
                <c:pt idx="220">
                  <c:v>44348</c:v>
                </c:pt>
                <c:pt idx="221">
                  <c:v>44378</c:v>
                </c:pt>
                <c:pt idx="222">
                  <c:v>44409</c:v>
                </c:pt>
                <c:pt idx="223">
                  <c:v>44440</c:v>
                </c:pt>
                <c:pt idx="224">
                  <c:v>44470</c:v>
                </c:pt>
                <c:pt idx="225">
                  <c:v>44501</c:v>
                </c:pt>
                <c:pt idx="226">
                  <c:v>44531</c:v>
                </c:pt>
                <c:pt idx="227">
                  <c:v>44562</c:v>
                </c:pt>
                <c:pt idx="228">
                  <c:v>44593</c:v>
                </c:pt>
              </c:numCache>
            </c:numRef>
          </c:cat>
          <c:val>
            <c:numRef>
              <c:f>HPFILTER!$G$9:$G$247</c:f>
              <c:numCache>
                <c:formatCode>0.0</c:formatCode>
                <c:ptCount val="239"/>
                <c:pt idx="0">
                  <c:v>101.95</c:v>
                </c:pt>
                <c:pt idx="1">
                  <c:v>102.03</c:v>
                </c:pt>
                <c:pt idx="2">
                  <c:v>100.92</c:v>
                </c:pt>
                <c:pt idx="3">
                  <c:v>99.89</c:v>
                </c:pt>
                <c:pt idx="4">
                  <c:v>100.28</c:v>
                </c:pt>
                <c:pt idx="5">
                  <c:v>99.07</c:v>
                </c:pt>
                <c:pt idx="6">
                  <c:v>99.73</c:v>
                </c:pt>
                <c:pt idx="7">
                  <c:v>101.71</c:v>
                </c:pt>
                <c:pt idx="8">
                  <c:v>101.88</c:v>
                </c:pt>
                <c:pt idx="9">
                  <c:v>101.97</c:v>
                </c:pt>
                <c:pt idx="10">
                  <c:v>101.58</c:v>
                </c:pt>
                <c:pt idx="11">
                  <c:v>103.57</c:v>
                </c:pt>
                <c:pt idx="12">
                  <c:v>104.49</c:v>
                </c:pt>
                <c:pt idx="13">
                  <c:v>105.98</c:v>
                </c:pt>
                <c:pt idx="14">
                  <c:v>106.41</c:v>
                </c:pt>
                <c:pt idx="15">
                  <c:v>106.44</c:v>
                </c:pt>
                <c:pt idx="16">
                  <c:v>107.22</c:v>
                </c:pt>
                <c:pt idx="17">
                  <c:v>107.82</c:v>
                </c:pt>
                <c:pt idx="18">
                  <c:v>108.19</c:v>
                </c:pt>
                <c:pt idx="19">
                  <c:v>109.46</c:v>
                </c:pt>
                <c:pt idx="20">
                  <c:v>108.73</c:v>
                </c:pt>
                <c:pt idx="21">
                  <c:v>109.62</c:v>
                </c:pt>
                <c:pt idx="22">
                  <c:v>108.79</c:v>
                </c:pt>
                <c:pt idx="23">
                  <c:v>109.62</c:v>
                </c:pt>
                <c:pt idx="24">
                  <c:v>110.14</c:v>
                </c:pt>
                <c:pt idx="25">
                  <c:v>110.43</c:v>
                </c:pt>
                <c:pt idx="26">
                  <c:v>110.95</c:v>
                </c:pt>
                <c:pt idx="27">
                  <c:v>110.99</c:v>
                </c:pt>
                <c:pt idx="28">
                  <c:v>110.63</c:v>
                </c:pt>
                <c:pt idx="29">
                  <c:v>110.63</c:v>
                </c:pt>
                <c:pt idx="30">
                  <c:v>111.29</c:v>
                </c:pt>
                <c:pt idx="31">
                  <c:v>110.86</c:v>
                </c:pt>
                <c:pt idx="32">
                  <c:v>111.05</c:v>
                </c:pt>
                <c:pt idx="33">
                  <c:v>111.81</c:v>
                </c:pt>
                <c:pt idx="34">
                  <c:v>112.32</c:v>
                </c:pt>
                <c:pt idx="35">
                  <c:v>113.38</c:v>
                </c:pt>
                <c:pt idx="36">
                  <c:v>113.61</c:v>
                </c:pt>
                <c:pt idx="37">
                  <c:v>113.55</c:v>
                </c:pt>
                <c:pt idx="38">
                  <c:v>114.23</c:v>
                </c:pt>
                <c:pt idx="39">
                  <c:v>115.66</c:v>
                </c:pt>
                <c:pt idx="40">
                  <c:v>114.72</c:v>
                </c:pt>
                <c:pt idx="41">
                  <c:v>116.94</c:v>
                </c:pt>
                <c:pt idx="42">
                  <c:v>116.62</c:v>
                </c:pt>
                <c:pt idx="43">
                  <c:v>116.82</c:v>
                </c:pt>
                <c:pt idx="44">
                  <c:v>118.07</c:v>
                </c:pt>
                <c:pt idx="45">
                  <c:v>118.87</c:v>
                </c:pt>
                <c:pt idx="46">
                  <c:v>119.87</c:v>
                </c:pt>
                <c:pt idx="47">
                  <c:v>119.66</c:v>
                </c:pt>
                <c:pt idx="48">
                  <c:v>120.17</c:v>
                </c:pt>
                <c:pt idx="49">
                  <c:v>119.4</c:v>
                </c:pt>
                <c:pt idx="50">
                  <c:v>121.18</c:v>
                </c:pt>
                <c:pt idx="51">
                  <c:v>122.38</c:v>
                </c:pt>
                <c:pt idx="52">
                  <c:v>123.41</c:v>
                </c:pt>
                <c:pt idx="53">
                  <c:v>124.23</c:v>
                </c:pt>
                <c:pt idx="54">
                  <c:v>124.34</c:v>
                </c:pt>
                <c:pt idx="55">
                  <c:v>125.35</c:v>
                </c:pt>
                <c:pt idx="56">
                  <c:v>126.32</c:v>
                </c:pt>
                <c:pt idx="57">
                  <c:v>126.17</c:v>
                </c:pt>
                <c:pt idx="58">
                  <c:v>126.96</c:v>
                </c:pt>
                <c:pt idx="59">
                  <c:v>127.22</c:v>
                </c:pt>
                <c:pt idx="60">
                  <c:v>126.83</c:v>
                </c:pt>
                <c:pt idx="61">
                  <c:v>126.44</c:v>
                </c:pt>
                <c:pt idx="62">
                  <c:v>127.7</c:v>
                </c:pt>
                <c:pt idx="63">
                  <c:v>129.4</c:v>
                </c:pt>
                <c:pt idx="64">
                  <c:v>131.19</c:v>
                </c:pt>
                <c:pt idx="65">
                  <c:v>130.93</c:v>
                </c:pt>
                <c:pt idx="66">
                  <c:v>130.99</c:v>
                </c:pt>
                <c:pt idx="67">
                  <c:v>130.93</c:v>
                </c:pt>
                <c:pt idx="68">
                  <c:v>128.19</c:v>
                </c:pt>
                <c:pt idx="69">
                  <c:v>124.95</c:v>
                </c:pt>
                <c:pt idx="70">
                  <c:v>120.93</c:v>
                </c:pt>
                <c:pt idx="71">
                  <c:v>120.82</c:v>
                </c:pt>
                <c:pt idx="72">
                  <c:v>122.19</c:v>
                </c:pt>
                <c:pt idx="73">
                  <c:v>122.97</c:v>
                </c:pt>
                <c:pt idx="74">
                  <c:v>123.64</c:v>
                </c:pt>
                <c:pt idx="75">
                  <c:v>124.87</c:v>
                </c:pt>
                <c:pt idx="76">
                  <c:v>125.93</c:v>
                </c:pt>
                <c:pt idx="77">
                  <c:v>126.29</c:v>
                </c:pt>
                <c:pt idx="78">
                  <c:v>128.09</c:v>
                </c:pt>
                <c:pt idx="79">
                  <c:v>129.12</c:v>
                </c:pt>
                <c:pt idx="80">
                  <c:v>129.79</c:v>
                </c:pt>
                <c:pt idx="81">
                  <c:v>130.02000000000001</c:v>
                </c:pt>
                <c:pt idx="82">
                  <c:v>131.30000000000001</c:v>
                </c:pt>
                <c:pt idx="83">
                  <c:v>133.47</c:v>
                </c:pt>
                <c:pt idx="84">
                  <c:v>135.16999999999999</c:v>
                </c:pt>
                <c:pt idx="85">
                  <c:v>136.59</c:v>
                </c:pt>
                <c:pt idx="86">
                  <c:v>137.05000000000001</c:v>
                </c:pt>
                <c:pt idx="87">
                  <c:v>136.49</c:v>
                </c:pt>
                <c:pt idx="88">
                  <c:v>136.22999999999999</c:v>
                </c:pt>
                <c:pt idx="89">
                  <c:v>136.93</c:v>
                </c:pt>
                <c:pt idx="90">
                  <c:v>137.66999999999999</c:v>
                </c:pt>
                <c:pt idx="91">
                  <c:v>139.41</c:v>
                </c:pt>
                <c:pt idx="92">
                  <c:v>138.72</c:v>
                </c:pt>
                <c:pt idx="93">
                  <c:v>140.09</c:v>
                </c:pt>
                <c:pt idx="94">
                  <c:v>138.29</c:v>
                </c:pt>
                <c:pt idx="95">
                  <c:v>140.13999999999999</c:v>
                </c:pt>
                <c:pt idx="96">
                  <c:v>140.72</c:v>
                </c:pt>
                <c:pt idx="97">
                  <c:v>141.1</c:v>
                </c:pt>
                <c:pt idx="98">
                  <c:v>140.84</c:v>
                </c:pt>
                <c:pt idx="99">
                  <c:v>141.27000000000001</c:v>
                </c:pt>
                <c:pt idx="100">
                  <c:v>142.22</c:v>
                </c:pt>
                <c:pt idx="101">
                  <c:v>142.25</c:v>
                </c:pt>
                <c:pt idx="102">
                  <c:v>141.96</c:v>
                </c:pt>
                <c:pt idx="103">
                  <c:v>141.79</c:v>
                </c:pt>
                <c:pt idx="104">
                  <c:v>141.58000000000001</c:v>
                </c:pt>
                <c:pt idx="105">
                  <c:v>142.25</c:v>
                </c:pt>
                <c:pt idx="106">
                  <c:v>140.44999999999999</c:v>
                </c:pt>
                <c:pt idx="107">
                  <c:v>138.87</c:v>
                </c:pt>
                <c:pt idx="108">
                  <c:v>140.49</c:v>
                </c:pt>
                <c:pt idx="109">
                  <c:v>140.06</c:v>
                </c:pt>
                <c:pt idx="110">
                  <c:v>141.04</c:v>
                </c:pt>
                <c:pt idx="111">
                  <c:v>142.66999999999999</c:v>
                </c:pt>
                <c:pt idx="112">
                  <c:v>143.56</c:v>
                </c:pt>
                <c:pt idx="113">
                  <c:v>144.03</c:v>
                </c:pt>
                <c:pt idx="114">
                  <c:v>144.35</c:v>
                </c:pt>
                <c:pt idx="115">
                  <c:v>143.71</c:v>
                </c:pt>
                <c:pt idx="116">
                  <c:v>144.86000000000001</c:v>
                </c:pt>
                <c:pt idx="117">
                  <c:v>144.58000000000001</c:v>
                </c:pt>
                <c:pt idx="118">
                  <c:v>144.16</c:v>
                </c:pt>
                <c:pt idx="119">
                  <c:v>144.99</c:v>
                </c:pt>
                <c:pt idx="120">
                  <c:v>143.77000000000001</c:v>
                </c:pt>
                <c:pt idx="121">
                  <c:v>144.94999999999999</c:v>
                </c:pt>
                <c:pt idx="122">
                  <c:v>146.24</c:v>
                </c:pt>
                <c:pt idx="123">
                  <c:v>146.83000000000001</c:v>
                </c:pt>
                <c:pt idx="124">
                  <c:v>146.35</c:v>
                </c:pt>
                <c:pt idx="125">
                  <c:v>147.19</c:v>
                </c:pt>
                <c:pt idx="126">
                  <c:v>147.11000000000001</c:v>
                </c:pt>
                <c:pt idx="127">
                  <c:v>148.13999999999999</c:v>
                </c:pt>
                <c:pt idx="128">
                  <c:v>147.99</c:v>
                </c:pt>
                <c:pt idx="129">
                  <c:v>148.34</c:v>
                </c:pt>
                <c:pt idx="130">
                  <c:v>148.61000000000001</c:v>
                </c:pt>
                <c:pt idx="131">
                  <c:v>148.27000000000001</c:v>
                </c:pt>
                <c:pt idx="132">
                  <c:v>147.85</c:v>
                </c:pt>
                <c:pt idx="133">
                  <c:v>147.88999999999999</c:v>
                </c:pt>
                <c:pt idx="134">
                  <c:v>146.88</c:v>
                </c:pt>
                <c:pt idx="135">
                  <c:v>146.30000000000001</c:v>
                </c:pt>
                <c:pt idx="136">
                  <c:v>143.61000000000001</c:v>
                </c:pt>
                <c:pt idx="137">
                  <c:v>144.81</c:v>
                </c:pt>
                <c:pt idx="138">
                  <c:v>145.58000000000001</c:v>
                </c:pt>
                <c:pt idx="139">
                  <c:v>146.24</c:v>
                </c:pt>
                <c:pt idx="140">
                  <c:v>145.41999999999999</c:v>
                </c:pt>
                <c:pt idx="141">
                  <c:v>145.56</c:v>
                </c:pt>
                <c:pt idx="142">
                  <c:v>146.21</c:v>
                </c:pt>
                <c:pt idx="143">
                  <c:v>144.96</c:v>
                </c:pt>
                <c:pt idx="144">
                  <c:v>143.97999999999999</c:v>
                </c:pt>
                <c:pt idx="145">
                  <c:v>143.72999999999999</c:v>
                </c:pt>
                <c:pt idx="146">
                  <c:v>142.38</c:v>
                </c:pt>
                <c:pt idx="147">
                  <c:v>141.08000000000001</c:v>
                </c:pt>
                <c:pt idx="148">
                  <c:v>139.58000000000001</c:v>
                </c:pt>
                <c:pt idx="149">
                  <c:v>138.66999999999999</c:v>
                </c:pt>
                <c:pt idx="150">
                  <c:v>138.93</c:v>
                </c:pt>
                <c:pt idx="151">
                  <c:v>137.57</c:v>
                </c:pt>
                <c:pt idx="152">
                  <c:v>138.51</c:v>
                </c:pt>
                <c:pt idx="153">
                  <c:v>136.68</c:v>
                </c:pt>
                <c:pt idx="154">
                  <c:v>136.31</c:v>
                </c:pt>
                <c:pt idx="155">
                  <c:v>135.52000000000001</c:v>
                </c:pt>
                <c:pt idx="156">
                  <c:v>135.51</c:v>
                </c:pt>
                <c:pt idx="157">
                  <c:v>134.61000000000001</c:v>
                </c:pt>
                <c:pt idx="158">
                  <c:v>134.72999999999999</c:v>
                </c:pt>
                <c:pt idx="159">
                  <c:v>134.29</c:v>
                </c:pt>
                <c:pt idx="160">
                  <c:v>134.84</c:v>
                </c:pt>
                <c:pt idx="161">
                  <c:v>134.61000000000001</c:v>
                </c:pt>
                <c:pt idx="162">
                  <c:v>134</c:v>
                </c:pt>
                <c:pt idx="163">
                  <c:v>133.75</c:v>
                </c:pt>
                <c:pt idx="164">
                  <c:v>133.30000000000001</c:v>
                </c:pt>
                <c:pt idx="165">
                  <c:v>133.02000000000001</c:v>
                </c:pt>
                <c:pt idx="166">
                  <c:v>132.36000000000001</c:v>
                </c:pt>
                <c:pt idx="167">
                  <c:v>133.37</c:v>
                </c:pt>
                <c:pt idx="168">
                  <c:v>135.4</c:v>
                </c:pt>
                <c:pt idx="169">
                  <c:v>135.65</c:v>
                </c:pt>
                <c:pt idx="170">
                  <c:v>135.77000000000001</c:v>
                </c:pt>
                <c:pt idx="171">
                  <c:v>135.16999999999999</c:v>
                </c:pt>
                <c:pt idx="172">
                  <c:v>136.04</c:v>
                </c:pt>
                <c:pt idx="173">
                  <c:v>136.49</c:v>
                </c:pt>
                <c:pt idx="174">
                  <c:v>135.81</c:v>
                </c:pt>
                <c:pt idx="175">
                  <c:v>135.49</c:v>
                </c:pt>
                <c:pt idx="176">
                  <c:v>135.77000000000001</c:v>
                </c:pt>
                <c:pt idx="177">
                  <c:v>135.57</c:v>
                </c:pt>
                <c:pt idx="178">
                  <c:v>137.43</c:v>
                </c:pt>
                <c:pt idx="179">
                  <c:v>136.85</c:v>
                </c:pt>
                <c:pt idx="180">
                  <c:v>136.63999999999999</c:v>
                </c:pt>
                <c:pt idx="181">
                  <c:v>137.26</c:v>
                </c:pt>
                <c:pt idx="182">
                  <c:v>138.36000000000001</c:v>
                </c:pt>
                <c:pt idx="183">
                  <c:v>133.38999999999999</c:v>
                </c:pt>
                <c:pt idx="184">
                  <c:v>137.44</c:v>
                </c:pt>
                <c:pt idx="185">
                  <c:v>138.04</c:v>
                </c:pt>
                <c:pt idx="186">
                  <c:v>139.32</c:v>
                </c:pt>
                <c:pt idx="187">
                  <c:v>137.99</c:v>
                </c:pt>
                <c:pt idx="188">
                  <c:v>138.06</c:v>
                </c:pt>
                <c:pt idx="189">
                  <c:v>137.86000000000001</c:v>
                </c:pt>
                <c:pt idx="190">
                  <c:v>138.53</c:v>
                </c:pt>
                <c:pt idx="191">
                  <c:v>138.47999999999999</c:v>
                </c:pt>
                <c:pt idx="192">
                  <c:v>137.38</c:v>
                </c:pt>
                <c:pt idx="193">
                  <c:v>138.41999999999999</c:v>
                </c:pt>
                <c:pt idx="194">
                  <c:v>138.09</c:v>
                </c:pt>
                <c:pt idx="195">
                  <c:v>138.96</c:v>
                </c:pt>
                <c:pt idx="196">
                  <c:v>138.99</c:v>
                </c:pt>
                <c:pt idx="197">
                  <c:v>138.56</c:v>
                </c:pt>
                <c:pt idx="198">
                  <c:v>138.59</c:v>
                </c:pt>
                <c:pt idx="199">
                  <c:v>139.09</c:v>
                </c:pt>
                <c:pt idx="200">
                  <c:v>139.96</c:v>
                </c:pt>
                <c:pt idx="201">
                  <c:v>138.79</c:v>
                </c:pt>
                <c:pt idx="202">
                  <c:v>138.09</c:v>
                </c:pt>
                <c:pt idx="203">
                  <c:v>138.83000000000001</c:v>
                </c:pt>
                <c:pt idx="204">
                  <c:v>139.36000000000001</c:v>
                </c:pt>
                <c:pt idx="205">
                  <c:v>132.13</c:v>
                </c:pt>
                <c:pt idx="206">
                  <c:v>118.98</c:v>
                </c:pt>
                <c:pt idx="207">
                  <c:v>121.47</c:v>
                </c:pt>
                <c:pt idx="208">
                  <c:v>127.62</c:v>
                </c:pt>
                <c:pt idx="209">
                  <c:v>131.76</c:v>
                </c:pt>
                <c:pt idx="210">
                  <c:v>134.5</c:v>
                </c:pt>
                <c:pt idx="211">
                  <c:v>136.44</c:v>
                </c:pt>
                <c:pt idx="212">
                  <c:v>138.36000000000001</c:v>
                </c:pt>
                <c:pt idx="213">
                  <c:v>137.9</c:v>
                </c:pt>
                <c:pt idx="214">
                  <c:v>138.19</c:v>
                </c:pt>
                <c:pt idx="215">
                  <c:v>139.01</c:v>
                </c:pt>
                <c:pt idx="216">
                  <c:v>141.1</c:v>
                </c:pt>
                <c:pt idx="217">
                  <c:v>138.85</c:v>
                </c:pt>
                <c:pt idx="218">
                  <c:v>139.22999999999999</c:v>
                </c:pt>
                <c:pt idx="219">
                  <c:v>139.28</c:v>
                </c:pt>
                <c:pt idx="220">
                  <c:v>139.53</c:v>
                </c:pt>
                <c:pt idx="221">
                  <c:v>139.36000000000001</c:v>
                </c:pt>
                <c:pt idx="222">
                  <c:v>139.5</c:v>
                </c:pt>
                <c:pt idx="223">
                  <c:v>138.69999999999999</c:v>
                </c:pt>
                <c:pt idx="224">
                  <c:v>138.77000000000001</c:v>
                </c:pt>
                <c:pt idx="225">
                  <c:v>139.4</c:v>
                </c:pt>
                <c:pt idx="226">
                  <c:v>139.85</c:v>
                </c:pt>
                <c:pt idx="227">
                  <c:v>138.83000000000001</c:v>
                </c:pt>
                <c:pt idx="228">
                  <c:v>139.30000000000001</c:v>
                </c:pt>
              </c:numCache>
            </c:numRef>
          </c:val>
          <c:smooth val="0"/>
          <c:extLst>
            <c:ext xmlns:c16="http://schemas.microsoft.com/office/drawing/2014/chart" uri="{C3380CC4-5D6E-409C-BE32-E72D297353CC}">
              <c16:uniqueId val="{00000000-A199-40C0-AF8C-CEC058C83184}"/>
            </c:ext>
          </c:extLst>
        </c:ser>
        <c:ser>
          <c:idx val="1"/>
          <c:order val="1"/>
          <c:tx>
            <c:v>HP trend</c:v>
          </c:tx>
          <c:spPr>
            <a:ln w="19050" cap="rnd">
              <a:solidFill>
                <a:schemeClr val="accent2"/>
              </a:solidFill>
              <a:round/>
            </a:ln>
            <a:effectLst/>
          </c:spPr>
          <c:marker>
            <c:symbol val="none"/>
          </c:marker>
          <c:cat>
            <c:numRef>
              <c:f>HPFILTER!$F$9:$F$247</c:f>
              <c:numCache>
                <c:formatCode>[$-416]mmm\-yy;@</c:formatCode>
                <c:ptCount val="239"/>
                <c:pt idx="0">
                  <c:v>37653</c:v>
                </c:pt>
                <c:pt idx="1">
                  <c:v>37681</c:v>
                </c:pt>
                <c:pt idx="2">
                  <c:v>37712</c:v>
                </c:pt>
                <c:pt idx="3">
                  <c:v>37742</c:v>
                </c:pt>
                <c:pt idx="4">
                  <c:v>37773</c:v>
                </c:pt>
                <c:pt idx="5">
                  <c:v>37803</c:v>
                </c:pt>
                <c:pt idx="6">
                  <c:v>37834</c:v>
                </c:pt>
                <c:pt idx="7">
                  <c:v>37865</c:v>
                </c:pt>
                <c:pt idx="8">
                  <c:v>37895</c:v>
                </c:pt>
                <c:pt idx="9">
                  <c:v>37926</c:v>
                </c:pt>
                <c:pt idx="10">
                  <c:v>37956</c:v>
                </c:pt>
                <c:pt idx="11">
                  <c:v>37987</c:v>
                </c:pt>
                <c:pt idx="12">
                  <c:v>38018</c:v>
                </c:pt>
                <c:pt idx="13">
                  <c:v>38047</c:v>
                </c:pt>
                <c:pt idx="14">
                  <c:v>38078</c:v>
                </c:pt>
                <c:pt idx="15">
                  <c:v>38108</c:v>
                </c:pt>
                <c:pt idx="16">
                  <c:v>38139</c:v>
                </c:pt>
                <c:pt idx="17">
                  <c:v>38169</c:v>
                </c:pt>
                <c:pt idx="18">
                  <c:v>38200</c:v>
                </c:pt>
                <c:pt idx="19">
                  <c:v>38231</c:v>
                </c:pt>
                <c:pt idx="20">
                  <c:v>38261</c:v>
                </c:pt>
                <c:pt idx="21">
                  <c:v>38292</c:v>
                </c:pt>
                <c:pt idx="22">
                  <c:v>38322</c:v>
                </c:pt>
                <c:pt idx="23">
                  <c:v>38353</c:v>
                </c:pt>
                <c:pt idx="24">
                  <c:v>38384</c:v>
                </c:pt>
                <c:pt idx="25">
                  <c:v>38412</c:v>
                </c:pt>
                <c:pt idx="26">
                  <c:v>38443</c:v>
                </c:pt>
                <c:pt idx="27">
                  <c:v>38473</c:v>
                </c:pt>
                <c:pt idx="28">
                  <c:v>38504</c:v>
                </c:pt>
                <c:pt idx="29">
                  <c:v>38534</c:v>
                </c:pt>
                <c:pt idx="30">
                  <c:v>38565</c:v>
                </c:pt>
                <c:pt idx="31">
                  <c:v>38596</c:v>
                </c:pt>
                <c:pt idx="32">
                  <c:v>38626</c:v>
                </c:pt>
                <c:pt idx="33">
                  <c:v>38657</c:v>
                </c:pt>
                <c:pt idx="34">
                  <c:v>38687</c:v>
                </c:pt>
                <c:pt idx="35">
                  <c:v>38718</c:v>
                </c:pt>
                <c:pt idx="36">
                  <c:v>38749</c:v>
                </c:pt>
                <c:pt idx="37">
                  <c:v>38777</c:v>
                </c:pt>
                <c:pt idx="38">
                  <c:v>38808</c:v>
                </c:pt>
                <c:pt idx="39">
                  <c:v>38838</c:v>
                </c:pt>
                <c:pt idx="40">
                  <c:v>38869</c:v>
                </c:pt>
                <c:pt idx="41">
                  <c:v>38899</c:v>
                </c:pt>
                <c:pt idx="42">
                  <c:v>38930</c:v>
                </c:pt>
                <c:pt idx="43">
                  <c:v>38961</c:v>
                </c:pt>
                <c:pt idx="44">
                  <c:v>38991</c:v>
                </c:pt>
                <c:pt idx="45">
                  <c:v>39022</c:v>
                </c:pt>
                <c:pt idx="46">
                  <c:v>39052</c:v>
                </c:pt>
                <c:pt idx="47">
                  <c:v>39083</c:v>
                </c:pt>
                <c:pt idx="48">
                  <c:v>39114</c:v>
                </c:pt>
                <c:pt idx="49">
                  <c:v>39142</c:v>
                </c:pt>
                <c:pt idx="50">
                  <c:v>39173</c:v>
                </c:pt>
                <c:pt idx="51">
                  <c:v>39203</c:v>
                </c:pt>
                <c:pt idx="52">
                  <c:v>39234</c:v>
                </c:pt>
                <c:pt idx="53">
                  <c:v>39264</c:v>
                </c:pt>
                <c:pt idx="54">
                  <c:v>39295</c:v>
                </c:pt>
                <c:pt idx="55">
                  <c:v>39326</c:v>
                </c:pt>
                <c:pt idx="56">
                  <c:v>39356</c:v>
                </c:pt>
                <c:pt idx="57">
                  <c:v>39387</c:v>
                </c:pt>
                <c:pt idx="58">
                  <c:v>39417</c:v>
                </c:pt>
                <c:pt idx="59">
                  <c:v>39448</c:v>
                </c:pt>
                <c:pt idx="60">
                  <c:v>39479</c:v>
                </c:pt>
                <c:pt idx="61">
                  <c:v>39508</c:v>
                </c:pt>
                <c:pt idx="62">
                  <c:v>39539</c:v>
                </c:pt>
                <c:pt idx="63">
                  <c:v>39569</c:v>
                </c:pt>
                <c:pt idx="64">
                  <c:v>39600</c:v>
                </c:pt>
                <c:pt idx="65">
                  <c:v>39630</c:v>
                </c:pt>
                <c:pt idx="66">
                  <c:v>39661</c:v>
                </c:pt>
                <c:pt idx="67">
                  <c:v>39692</c:v>
                </c:pt>
                <c:pt idx="68">
                  <c:v>39722</c:v>
                </c:pt>
                <c:pt idx="69">
                  <c:v>39753</c:v>
                </c:pt>
                <c:pt idx="70">
                  <c:v>39783</c:v>
                </c:pt>
                <c:pt idx="71">
                  <c:v>39814</c:v>
                </c:pt>
                <c:pt idx="72">
                  <c:v>39845</c:v>
                </c:pt>
                <c:pt idx="73">
                  <c:v>39873</c:v>
                </c:pt>
                <c:pt idx="74">
                  <c:v>39904</c:v>
                </c:pt>
                <c:pt idx="75">
                  <c:v>39934</c:v>
                </c:pt>
                <c:pt idx="76">
                  <c:v>39965</c:v>
                </c:pt>
                <c:pt idx="77">
                  <c:v>39995</c:v>
                </c:pt>
                <c:pt idx="78">
                  <c:v>40026</c:v>
                </c:pt>
                <c:pt idx="79">
                  <c:v>40057</c:v>
                </c:pt>
                <c:pt idx="80">
                  <c:v>40087</c:v>
                </c:pt>
                <c:pt idx="81">
                  <c:v>40118</c:v>
                </c:pt>
                <c:pt idx="82">
                  <c:v>40148</c:v>
                </c:pt>
                <c:pt idx="83">
                  <c:v>40179</c:v>
                </c:pt>
                <c:pt idx="84">
                  <c:v>40210</c:v>
                </c:pt>
                <c:pt idx="85">
                  <c:v>40238</c:v>
                </c:pt>
                <c:pt idx="86">
                  <c:v>40269</c:v>
                </c:pt>
                <c:pt idx="87">
                  <c:v>40299</c:v>
                </c:pt>
                <c:pt idx="88">
                  <c:v>40330</c:v>
                </c:pt>
                <c:pt idx="89">
                  <c:v>40360</c:v>
                </c:pt>
                <c:pt idx="90">
                  <c:v>40391</c:v>
                </c:pt>
                <c:pt idx="91">
                  <c:v>40422</c:v>
                </c:pt>
                <c:pt idx="92">
                  <c:v>40452</c:v>
                </c:pt>
                <c:pt idx="93">
                  <c:v>40483</c:v>
                </c:pt>
                <c:pt idx="94">
                  <c:v>40513</c:v>
                </c:pt>
                <c:pt idx="95">
                  <c:v>40544</c:v>
                </c:pt>
                <c:pt idx="96">
                  <c:v>40575</c:v>
                </c:pt>
                <c:pt idx="97">
                  <c:v>40603</c:v>
                </c:pt>
                <c:pt idx="98">
                  <c:v>40634</c:v>
                </c:pt>
                <c:pt idx="99">
                  <c:v>40664</c:v>
                </c:pt>
                <c:pt idx="100">
                  <c:v>40695</c:v>
                </c:pt>
                <c:pt idx="101">
                  <c:v>40725</c:v>
                </c:pt>
                <c:pt idx="102">
                  <c:v>40756</c:v>
                </c:pt>
                <c:pt idx="103">
                  <c:v>40787</c:v>
                </c:pt>
                <c:pt idx="104">
                  <c:v>40817</c:v>
                </c:pt>
                <c:pt idx="105">
                  <c:v>40848</c:v>
                </c:pt>
                <c:pt idx="106">
                  <c:v>40878</c:v>
                </c:pt>
                <c:pt idx="107">
                  <c:v>40909</c:v>
                </c:pt>
                <c:pt idx="108">
                  <c:v>40940</c:v>
                </c:pt>
                <c:pt idx="109">
                  <c:v>40969</c:v>
                </c:pt>
                <c:pt idx="110">
                  <c:v>41000</c:v>
                </c:pt>
                <c:pt idx="111">
                  <c:v>41030</c:v>
                </c:pt>
                <c:pt idx="112">
                  <c:v>41061</c:v>
                </c:pt>
                <c:pt idx="113">
                  <c:v>41091</c:v>
                </c:pt>
                <c:pt idx="114">
                  <c:v>41122</c:v>
                </c:pt>
                <c:pt idx="115">
                  <c:v>41153</c:v>
                </c:pt>
                <c:pt idx="116">
                  <c:v>41183</c:v>
                </c:pt>
                <c:pt idx="117">
                  <c:v>41214</c:v>
                </c:pt>
                <c:pt idx="118">
                  <c:v>41244</c:v>
                </c:pt>
                <c:pt idx="119">
                  <c:v>41275</c:v>
                </c:pt>
                <c:pt idx="120">
                  <c:v>41306</c:v>
                </c:pt>
                <c:pt idx="121">
                  <c:v>41334</c:v>
                </c:pt>
                <c:pt idx="122">
                  <c:v>41365</c:v>
                </c:pt>
                <c:pt idx="123">
                  <c:v>41395</c:v>
                </c:pt>
                <c:pt idx="124">
                  <c:v>41426</c:v>
                </c:pt>
                <c:pt idx="125">
                  <c:v>41456</c:v>
                </c:pt>
                <c:pt idx="126">
                  <c:v>41487</c:v>
                </c:pt>
                <c:pt idx="127">
                  <c:v>41518</c:v>
                </c:pt>
                <c:pt idx="128">
                  <c:v>41548</c:v>
                </c:pt>
                <c:pt idx="129">
                  <c:v>41579</c:v>
                </c:pt>
                <c:pt idx="130">
                  <c:v>41609</c:v>
                </c:pt>
                <c:pt idx="131">
                  <c:v>41640</c:v>
                </c:pt>
                <c:pt idx="132">
                  <c:v>41671</c:v>
                </c:pt>
                <c:pt idx="133">
                  <c:v>41699</c:v>
                </c:pt>
                <c:pt idx="134">
                  <c:v>41730</c:v>
                </c:pt>
                <c:pt idx="135">
                  <c:v>41760</c:v>
                </c:pt>
                <c:pt idx="136">
                  <c:v>41791</c:v>
                </c:pt>
                <c:pt idx="137">
                  <c:v>41821</c:v>
                </c:pt>
                <c:pt idx="138">
                  <c:v>41852</c:v>
                </c:pt>
                <c:pt idx="139">
                  <c:v>41883</c:v>
                </c:pt>
                <c:pt idx="140">
                  <c:v>41913</c:v>
                </c:pt>
                <c:pt idx="141">
                  <c:v>41944</c:v>
                </c:pt>
                <c:pt idx="142">
                  <c:v>41974</c:v>
                </c:pt>
                <c:pt idx="143">
                  <c:v>42005</c:v>
                </c:pt>
                <c:pt idx="144">
                  <c:v>42036</c:v>
                </c:pt>
                <c:pt idx="145">
                  <c:v>42064</c:v>
                </c:pt>
                <c:pt idx="146">
                  <c:v>42095</c:v>
                </c:pt>
                <c:pt idx="147">
                  <c:v>42125</c:v>
                </c:pt>
                <c:pt idx="148">
                  <c:v>42156</c:v>
                </c:pt>
                <c:pt idx="149">
                  <c:v>42186</c:v>
                </c:pt>
                <c:pt idx="150">
                  <c:v>42217</c:v>
                </c:pt>
                <c:pt idx="151">
                  <c:v>42248</c:v>
                </c:pt>
                <c:pt idx="152">
                  <c:v>42278</c:v>
                </c:pt>
                <c:pt idx="153">
                  <c:v>42309</c:v>
                </c:pt>
                <c:pt idx="154">
                  <c:v>42339</c:v>
                </c:pt>
                <c:pt idx="155">
                  <c:v>42370</c:v>
                </c:pt>
                <c:pt idx="156">
                  <c:v>42401</c:v>
                </c:pt>
                <c:pt idx="157">
                  <c:v>42430</c:v>
                </c:pt>
                <c:pt idx="158">
                  <c:v>42461</c:v>
                </c:pt>
                <c:pt idx="159">
                  <c:v>42491</c:v>
                </c:pt>
                <c:pt idx="160">
                  <c:v>42522</c:v>
                </c:pt>
                <c:pt idx="161">
                  <c:v>42552</c:v>
                </c:pt>
                <c:pt idx="162">
                  <c:v>42583</c:v>
                </c:pt>
                <c:pt idx="163">
                  <c:v>42614</c:v>
                </c:pt>
                <c:pt idx="164">
                  <c:v>42644</c:v>
                </c:pt>
                <c:pt idx="165">
                  <c:v>42675</c:v>
                </c:pt>
                <c:pt idx="166">
                  <c:v>42705</c:v>
                </c:pt>
                <c:pt idx="167">
                  <c:v>42736</c:v>
                </c:pt>
                <c:pt idx="168">
                  <c:v>42767</c:v>
                </c:pt>
                <c:pt idx="169">
                  <c:v>42795</c:v>
                </c:pt>
                <c:pt idx="170">
                  <c:v>42826</c:v>
                </c:pt>
                <c:pt idx="171">
                  <c:v>42856</c:v>
                </c:pt>
                <c:pt idx="172">
                  <c:v>42887</c:v>
                </c:pt>
                <c:pt idx="173">
                  <c:v>42917</c:v>
                </c:pt>
                <c:pt idx="174">
                  <c:v>42948</c:v>
                </c:pt>
                <c:pt idx="175">
                  <c:v>42979</c:v>
                </c:pt>
                <c:pt idx="176">
                  <c:v>43009</c:v>
                </c:pt>
                <c:pt idx="177">
                  <c:v>43040</c:v>
                </c:pt>
                <c:pt idx="178">
                  <c:v>43070</c:v>
                </c:pt>
                <c:pt idx="179">
                  <c:v>43101</c:v>
                </c:pt>
                <c:pt idx="180">
                  <c:v>43132</c:v>
                </c:pt>
                <c:pt idx="181">
                  <c:v>43160</c:v>
                </c:pt>
                <c:pt idx="182">
                  <c:v>43191</c:v>
                </c:pt>
                <c:pt idx="183">
                  <c:v>43221</c:v>
                </c:pt>
                <c:pt idx="184">
                  <c:v>43252</c:v>
                </c:pt>
                <c:pt idx="185">
                  <c:v>43282</c:v>
                </c:pt>
                <c:pt idx="186">
                  <c:v>43313</c:v>
                </c:pt>
                <c:pt idx="187">
                  <c:v>43344</c:v>
                </c:pt>
                <c:pt idx="188">
                  <c:v>43374</c:v>
                </c:pt>
                <c:pt idx="189">
                  <c:v>43405</c:v>
                </c:pt>
                <c:pt idx="190">
                  <c:v>43435</c:v>
                </c:pt>
                <c:pt idx="191">
                  <c:v>43466</c:v>
                </c:pt>
                <c:pt idx="192">
                  <c:v>43497</c:v>
                </c:pt>
                <c:pt idx="193">
                  <c:v>43525</c:v>
                </c:pt>
                <c:pt idx="194">
                  <c:v>43556</c:v>
                </c:pt>
                <c:pt idx="195">
                  <c:v>43586</c:v>
                </c:pt>
                <c:pt idx="196">
                  <c:v>43617</c:v>
                </c:pt>
                <c:pt idx="197">
                  <c:v>43647</c:v>
                </c:pt>
                <c:pt idx="198">
                  <c:v>43678</c:v>
                </c:pt>
                <c:pt idx="199">
                  <c:v>43709</c:v>
                </c:pt>
                <c:pt idx="200">
                  <c:v>43739</c:v>
                </c:pt>
                <c:pt idx="201">
                  <c:v>43770</c:v>
                </c:pt>
                <c:pt idx="202">
                  <c:v>43800</c:v>
                </c:pt>
                <c:pt idx="203">
                  <c:v>43831</c:v>
                </c:pt>
                <c:pt idx="204">
                  <c:v>43862</c:v>
                </c:pt>
                <c:pt idx="205">
                  <c:v>43891</c:v>
                </c:pt>
                <c:pt idx="206">
                  <c:v>43922</c:v>
                </c:pt>
                <c:pt idx="207">
                  <c:v>43952</c:v>
                </c:pt>
                <c:pt idx="208">
                  <c:v>43983</c:v>
                </c:pt>
                <c:pt idx="209">
                  <c:v>44013</c:v>
                </c:pt>
                <c:pt idx="210">
                  <c:v>44044</c:v>
                </c:pt>
                <c:pt idx="211">
                  <c:v>44075</c:v>
                </c:pt>
                <c:pt idx="212">
                  <c:v>44105</c:v>
                </c:pt>
                <c:pt idx="213">
                  <c:v>44136</c:v>
                </c:pt>
                <c:pt idx="214">
                  <c:v>44166</c:v>
                </c:pt>
                <c:pt idx="215">
                  <c:v>44197</c:v>
                </c:pt>
                <c:pt idx="216">
                  <c:v>44228</c:v>
                </c:pt>
                <c:pt idx="217">
                  <c:v>44256</c:v>
                </c:pt>
                <c:pt idx="218">
                  <c:v>44287</c:v>
                </c:pt>
                <c:pt idx="219">
                  <c:v>44317</c:v>
                </c:pt>
                <c:pt idx="220">
                  <c:v>44348</c:v>
                </c:pt>
                <c:pt idx="221">
                  <c:v>44378</c:v>
                </c:pt>
                <c:pt idx="222">
                  <c:v>44409</c:v>
                </c:pt>
                <c:pt idx="223">
                  <c:v>44440</c:v>
                </c:pt>
                <c:pt idx="224">
                  <c:v>44470</c:v>
                </c:pt>
                <c:pt idx="225">
                  <c:v>44501</c:v>
                </c:pt>
                <c:pt idx="226">
                  <c:v>44531</c:v>
                </c:pt>
                <c:pt idx="227">
                  <c:v>44562</c:v>
                </c:pt>
                <c:pt idx="228">
                  <c:v>44593</c:v>
                </c:pt>
              </c:numCache>
            </c:numRef>
          </c:cat>
          <c:val>
            <c:numRef>
              <c:f>HPFILTER!$M$9:$M$297</c:f>
              <c:numCache>
                <c:formatCode>0.0</c:formatCode>
                <c:ptCount val="289"/>
                <c:pt idx="0">
                  <c:v>99.778505732491766</c:v>
                </c:pt>
                <c:pt idx="1">
                  <c:v>100.12079778485426</c:v>
                </c:pt>
                <c:pt idx="2">
                  <c:v>100.46571346250781</c:v>
                </c:pt>
                <c:pt idx="3">
                  <c:v>100.81643642144117</c:v>
                </c:pt>
                <c:pt idx="4">
                  <c:v>101.17643424672869</c:v>
                </c:pt>
                <c:pt idx="5">
                  <c:v>101.54859550068154</c:v>
                </c:pt>
                <c:pt idx="6">
                  <c:v>101.93524847420672</c:v>
                </c:pt>
                <c:pt idx="7">
                  <c:v>102.33717233602304</c:v>
                </c:pt>
                <c:pt idx="8">
                  <c:v>102.75376797455331</c:v>
                </c:pt>
                <c:pt idx="9">
                  <c:v>103.18404429550976</c:v>
                </c:pt>
                <c:pt idx="10">
                  <c:v>103.62646409962105</c:v>
                </c:pt>
                <c:pt idx="11">
                  <c:v>104.07873140993098</c:v>
                </c:pt>
                <c:pt idx="12">
                  <c:v>104.53727120942108</c:v>
                </c:pt>
                <c:pt idx="13">
                  <c:v>104.998190523942</c:v>
                </c:pt>
                <c:pt idx="14">
                  <c:v>105.45756683483786</c:v>
                </c:pt>
                <c:pt idx="15">
                  <c:v>105.91209125437609</c:v>
                </c:pt>
                <c:pt idx="16">
                  <c:v>106.35905016555165</c:v>
                </c:pt>
                <c:pt idx="17">
                  <c:v>106.79605989432595</c:v>
                </c:pt>
                <c:pt idx="18">
                  <c:v>107.22127486030696</c:v>
                </c:pt>
                <c:pt idx="19">
                  <c:v>107.63348944566813</c:v>
                </c:pt>
                <c:pt idx="20">
                  <c:v>108.03210348579594</c:v>
                </c:pt>
                <c:pt idx="21">
                  <c:v>108.41765838517246</c:v>
                </c:pt>
                <c:pt idx="22">
                  <c:v>108.79113173360183</c:v>
                </c:pt>
                <c:pt idx="23">
                  <c:v>109.15425258439663</c:v>
                </c:pt>
                <c:pt idx="24">
                  <c:v>109.50874928353706</c:v>
                </c:pt>
                <c:pt idx="25">
                  <c:v>109.85664126913728</c:v>
                </c:pt>
                <c:pt idx="26">
                  <c:v>110.20034251100934</c:v>
                </c:pt>
                <c:pt idx="27">
                  <c:v>110.54262532817241</c:v>
                </c:pt>
                <c:pt idx="28">
                  <c:v>110.88673057557597</c:v>
                </c:pt>
                <c:pt idx="29">
                  <c:v>111.23617871733977</c:v>
                </c:pt>
                <c:pt idx="30">
                  <c:v>111.59432976097314</c:v>
                </c:pt>
                <c:pt idx="31">
                  <c:v>111.96416485228801</c:v>
                </c:pt>
                <c:pt idx="32">
                  <c:v>112.34847493099501</c:v>
                </c:pt>
                <c:pt idx="33">
                  <c:v>112.74936083377223</c:v>
                </c:pt>
                <c:pt idx="34">
                  <c:v>113.16811185046606</c:v>
                </c:pt>
                <c:pt idx="35">
                  <c:v>113.60543017040166</c:v>
                </c:pt>
                <c:pt idx="36">
                  <c:v>114.06148791299742</c:v>
                </c:pt>
                <c:pt idx="37">
                  <c:v>114.53631630381561</c:v>
                </c:pt>
                <c:pt idx="38">
                  <c:v>115.02966438847253</c:v>
                </c:pt>
                <c:pt idx="39">
                  <c:v>115.54066476489501</c:v>
                </c:pt>
                <c:pt idx="40">
                  <c:v>116.06795024076641</c:v>
                </c:pt>
                <c:pt idx="41">
                  <c:v>116.61022820829227</c:v>
                </c:pt>
                <c:pt idx="42">
                  <c:v>117.16536359077821</c:v>
                </c:pt>
                <c:pt idx="43">
                  <c:v>117.73142741889913</c:v>
                </c:pt>
                <c:pt idx="44">
                  <c:v>118.30614987108561</c:v>
                </c:pt>
                <c:pt idx="45">
                  <c:v>118.88669148363186</c:v>
                </c:pt>
                <c:pt idx="46">
                  <c:v>119.47006519916222</c:v>
                </c:pt>
                <c:pt idx="47">
                  <c:v>120.05327352812397</c:v>
                </c:pt>
                <c:pt idx="48">
                  <c:v>120.63356894021486</c:v>
                </c:pt>
                <c:pt idx="49">
                  <c:v>121.20795810917768</c:v>
                </c:pt>
                <c:pt idx="50">
                  <c:v>121.77315797816721</c:v>
                </c:pt>
                <c:pt idx="51">
                  <c:v>122.32475551652027</c:v>
                </c:pt>
                <c:pt idx="52">
                  <c:v>122.85796696983728</c:v>
                </c:pt>
                <c:pt idx="53">
                  <c:v>123.36804311152036</c:v>
                </c:pt>
                <c:pt idx="54">
                  <c:v>123.85057973561665</c:v>
                </c:pt>
                <c:pt idx="55">
                  <c:v>124.30171135922731</c:v>
                </c:pt>
                <c:pt idx="56">
                  <c:v>124.7178783871197</c:v>
                </c:pt>
                <c:pt idx="57">
                  <c:v>125.09617640446112</c:v>
                </c:pt>
                <c:pt idx="58">
                  <c:v>125.43470232242747</c:v>
                </c:pt>
                <c:pt idx="59">
                  <c:v>125.73222419194119</c:v>
                </c:pt>
                <c:pt idx="60">
                  <c:v>125.98846337497385</c:v>
                </c:pt>
                <c:pt idx="61">
                  <c:v>126.20407109337651</c:v>
                </c:pt>
                <c:pt idx="62">
                  <c:v>126.38022452939107</c:v>
                </c:pt>
                <c:pt idx="63">
                  <c:v>126.51824832082593</c:v>
                </c:pt>
                <c:pt idx="64">
                  <c:v>126.62029196515856</c:v>
                </c:pt>
                <c:pt idx="65">
                  <c:v>126.69030605466614</c:v>
                </c:pt>
                <c:pt idx="66">
                  <c:v>126.7350972491473</c:v>
                </c:pt>
                <c:pt idx="67">
                  <c:v>126.76412201711685</c:v>
                </c:pt>
                <c:pt idx="68">
                  <c:v>126.78949614130859</c:v>
                </c:pt>
                <c:pt idx="69">
                  <c:v>126.82593907819594</c:v>
                </c:pt>
                <c:pt idx="70">
                  <c:v>126.88904559916357</c:v>
                </c:pt>
                <c:pt idx="71">
                  <c:v>126.99323801367291</c:v>
                </c:pt>
                <c:pt idx="72">
                  <c:v>127.14921422768508</c:v>
                </c:pt>
                <c:pt idx="73">
                  <c:v>127.36381387340319</c:v>
                </c:pt>
                <c:pt idx="74">
                  <c:v>127.64077707413762</c:v>
                </c:pt>
                <c:pt idx="75">
                  <c:v>127.98109781952773</c:v>
                </c:pt>
                <c:pt idx="76">
                  <c:v>128.38326961354201</c:v>
                </c:pt>
                <c:pt idx="77">
                  <c:v>128.84384152401157</c:v>
                </c:pt>
                <c:pt idx="78">
                  <c:v>129.35782932525862</c:v>
                </c:pt>
                <c:pt idx="79">
                  <c:v>129.91865264065356</c:v>
                </c:pt>
                <c:pt idx="80">
                  <c:v>130.51893870023824</c:v>
                </c:pt>
                <c:pt idx="81">
                  <c:v>131.15081557615329</c:v>
                </c:pt>
                <c:pt idx="82">
                  <c:v>131.80595575385303</c:v>
                </c:pt>
                <c:pt idx="83">
                  <c:v>132.475324959056</c:v>
                </c:pt>
                <c:pt idx="84">
                  <c:v>133.14957269513411</c:v>
                </c:pt>
                <c:pt idx="85">
                  <c:v>133.81997013736111</c:v>
                </c:pt>
                <c:pt idx="86">
                  <c:v>134.47905122807515</c:v>
                </c:pt>
                <c:pt idx="87">
                  <c:v>135.12108117827924</c:v>
                </c:pt>
                <c:pt idx="88">
                  <c:v>135.74193204195879</c:v>
                </c:pt>
                <c:pt idx="89">
                  <c:v>136.33833144736329</c:v>
                </c:pt>
                <c:pt idx="90">
                  <c:v>136.90731206521437</c:v>
                </c:pt>
                <c:pt idx="91">
                  <c:v>137.44627635908066</c:v>
                </c:pt>
                <c:pt idx="92">
                  <c:v>137.95310347248957</c:v>
                </c:pt>
                <c:pt idx="93">
                  <c:v>138.42689987624411</c:v>
                </c:pt>
                <c:pt idx="94">
                  <c:v>138.86725135147694</c:v>
                </c:pt>
                <c:pt idx="95">
                  <c:v>139.27478311689774</c:v>
                </c:pt>
                <c:pt idx="96">
                  <c:v>139.64975960912238</c:v>
                </c:pt>
                <c:pt idx="97">
                  <c:v>139.99298602531749</c:v>
                </c:pt>
                <c:pt idx="98">
                  <c:v>140.30593646289492</c:v>
                </c:pt>
                <c:pt idx="99">
                  <c:v>140.59077690300066</c:v>
                </c:pt>
                <c:pt idx="100">
                  <c:v>140.85000711649124</c:v>
                </c:pt>
                <c:pt idx="101">
                  <c:v>141.08655138865819</c:v>
                </c:pt>
                <c:pt idx="102">
                  <c:v>141.30419025034615</c:v>
                </c:pt>
                <c:pt idx="103">
                  <c:v>141.50743138778193</c:v>
                </c:pt>
                <c:pt idx="104">
                  <c:v>141.70119236828478</c:v>
                </c:pt>
                <c:pt idx="105">
                  <c:v>141.89056736455754</c:v>
                </c:pt>
                <c:pt idx="106">
                  <c:v>142.08057480407277</c:v>
                </c:pt>
                <c:pt idx="107">
                  <c:v>142.27645775970004</c:v>
                </c:pt>
                <c:pt idx="108">
                  <c:v>142.482440195056</c:v>
                </c:pt>
                <c:pt idx="109">
                  <c:v>142.70061703765853</c:v>
                </c:pt>
                <c:pt idx="110">
                  <c:v>142.93183793990289</c:v>
                </c:pt>
                <c:pt idx="111">
                  <c:v>143.17530216853615</c:v>
                </c:pt>
                <c:pt idx="112">
                  <c:v>143.4290265915925</c:v>
                </c:pt>
                <c:pt idx="113">
                  <c:v>143.6907122632511</c:v>
                </c:pt>
                <c:pt idx="114">
                  <c:v>143.95814209607136</c:v>
                </c:pt>
                <c:pt idx="115">
                  <c:v>144.22931105744766</c:v>
                </c:pt>
                <c:pt idx="116">
                  <c:v>144.50245902596535</c:v>
                </c:pt>
                <c:pt idx="117">
                  <c:v>144.77550131079826</c:v>
                </c:pt>
                <c:pt idx="118">
                  <c:v>145.04657668422865</c:v>
                </c:pt>
                <c:pt idx="119">
                  <c:v>145.31370173021986</c:v>
                </c:pt>
                <c:pt idx="120">
                  <c:v>145.57433892230776</c:v>
                </c:pt>
                <c:pt idx="121">
                  <c:v>145.82574842044656</c:v>
                </c:pt>
                <c:pt idx="122">
                  <c:v>146.06406267276415</c:v>
                </c:pt>
                <c:pt idx="123">
                  <c:v>146.28486678462571</c:v>
                </c:pt>
                <c:pt idx="124">
                  <c:v>146.48385582222588</c:v>
                </c:pt>
                <c:pt idx="125">
                  <c:v>146.65706556001851</c:v>
                </c:pt>
                <c:pt idx="126">
                  <c:v>146.8004481125696</c:v>
                </c:pt>
                <c:pt idx="127">
                  <c:v>146.91028867846939</c:v>
                </c:pt>
                <c:pt idx="128">
                  <c:v>146.98306592623734</c:v>
                </c:pt>
                <c:pt idx="129">
                  <c:v>147.01602709396968</c:v>
                </c:pt>
                <c:pt idx="130">
                  <c:v>147.00704875355828</c:v>
                </c:pt>
                <c:pt idx="131">
                  <c:v>146.95483495996115</c:v>
                </c:pt>
                <c:pt idx="132">
                  <c:v>146.85909161266596</c:v>
                </c:pt>
                <c:pt idx="133">
                  <c:v>146.72034658930906</c:v>
                </c:pt>
                <c:pt idx="134">
                  <c:v>146.53974708527008</c:v>
                </c:pt>
                <c:pt idx="135">
                  <c:v>146.31917132931011</c:v>
                </c:pt>
                <c:pt idx="136">
                  <c:v>146.06071020826127</c:v>
                </c:pt>
                <c:pt idx="137">
                  <c:v>145.76644262687537</c:v>
                </c:pt>
                <c:pt idx="138">
                  <c:v>145.43691579602358</c:v>
                </c:pt>
                <c:pt idx="139">
                  <c:v>145.07207914993617</c:v>
                </c:pt>
                <c:pt idx="140">
                  <c:v>144.67197155046949</c:v>
                </c:pt>
                <c:pt idx="141">
                  <c:v>144.23736181001226</c:v>
                </c:pt>
                <c:pt idx="142">
                  <c:v>143.76948625873348</c:v>
                </c:pt>
                <c:pt idx="143">
                  <c:v>143.27040787567151</c:v>
                </c:pt>
                <c:pt idx="144">
                  <c:v>142.7437149609523</c:v>
                </c:pt>
                <c:pt idx="145">
                  <c:v>142.19405180977992</c:v>
                </c:pt>
                <c:pt idx="146">
                  <c:v>141.62683539550764</c:v>
                </c:pt>
                <c:pt idx="147">
                  <c:v>141.04844265910805</c:v>
                </c:pt>
                <c:pt idx="148">
                  <c:v>140.46572126943113</c:v>
                </c:pt>
                <c:pt idx="149">
                  <c:v>139.88553861866538</c:v>
                </c:pt>
                <c:pt idx="150">
                  <c:v>139.31420852320562</c:v>
                </c:pt>
                <c:pt idx="151">
                  <c:v>138.75728508781037</c:v>
                </c:pt>
                <c:pt idx="152">
                  <c:v>138.22008228691064</c:v>
                </c:pt>
                <c:pt idx="153">
                  <c:v>137.70717204175784</c:v>
                </c:pt>
                <c:pt idx="154">
                  <c:v>137.22330747217381</c:v>
                </c:pt>
                <c:pt idx="155">
                  <c:v>136.77259971545482</c:v>
                </c:pt>
                <c:pt idx="156">
                  <c:v>136.35858909172651</c:v>
                </c:pt>
                <c:pt idx="157">
                  <c:v>135.98403304629281</c:v>
                </c:pt>
                <c:pt idx="158">
                  <c:v>135.65115865627442</c:v>
                </c:pt>
                <c:pt idx="159">
                  <c:v>135.36133422813913</c:v>
                </c:pt>
                <c:pt idx="160">
                  <c:v>135.11535234419418</c:v>
                </c:pt>
                <c:pt idx="161">
                  <c:v>134.91333600285404</c:v>
                </c:pt>
                <c:pt idx="162">
                  <c:v>134.75523610731841</c:v>
                </c:pt>
                <c:pt idx="163">
                  <c:v>134.64081397578468</c:v>
                </c:pt>
                <c:pt idx="164">
                  <c:v>134.56935890388357</c:v>
                </c:pt>
                <c:pt idx="165">
                  <c:v>134.5396034285109</c:v>
                </c:pt>
                <c:pt idx="166">
                  <c:v>134.54948673724715</c:v>
                </c:pt>
                <c:pt idx="167">
                  <c:v>134.5959982655306</c:v>
                </c:pt>
                <c:pt idx="168">
                  <c:v>134.67475901958849</c:v>
                </c:pt>
                <c:pt idx="169">
                  <c:v>134.78062375673238</c:v>
                </c:pt>
                <c:pt idx="170">
                  <c:v>134.90890050988614</c:v>
                </c:pt>
                <c:pt idx="171">
                  <c:v>135.05544067212591</c:v>
                </c:pt>
                <c:pt idx="172">
                  <c:v>135.21663382370937</c:v>
                </c:pt>
                <c:pt idx="173">
                  <c:v>135.38894114447399</c:v>
                </c:pt>
                <c:pt idx="174">
                  <c:v>135.5693384181171</c:v>
                </c:pt>
                <c:pt idx="175">
                  <c:v>135.75548959012107</c:v>
                </c:pt>
                <c:pt idx="176">
                  <c:v>135.94520901945683</c:v>
                </c:pt>
                <c:pt idx="177">
                  <c:v>136.13614513410121</c:v>
                </c:pt>
                <c:pt idx="178">
                  <c:v>136.32583685639446</c:v>
                </c:pt>
                <c:pt idx="179">
                  <c:v>136.5114692679675</c:v>
                </c:pt>
                <c:pt idx="180">
                  <c:v>136.69091755241629</c:v>
                </c:pt>
                <c:pt idx="181">
                  <c:v>136.862268475044</c:v>
                </c:pt>
                <c:pt idx="182">
                  <c:v>137.02357697768394</c:v>
                </c:pt>
                <c:pt idx="183">
                  <c:v>137.17314658437212</c:v>
                </c:pt>
                <c:pt idx="184">
                  <c:v>137.31011608353387</c:v>
                </c:pt>
                <c:pt idx="185">
                  <c:v>137.43125979697902</c:v>
                </c:pt>
                <c:pt idx="186">
                  <c:v>137.53343322396535</c:v>
                </c:pt>
                <c:pt idx="187">
                  <c:v>137.61387232637784</c:v>
                </c:pt>
                <c:pt idx="188">
                  <c:v>137.67092967033608</c:v>
                </c:pt>
                <c:pt idx="189">
                  <c:v>137.70319290175598</c:v>
                </c:pt>
                <c:pt idx="190">
                  <c:v>137.70949283550925</c:v>
                </c:pt>
                <c:pt idx="191">
                  <c:v>137.68875829090416</c:v>
                </c:pt>
                <c:pt idx="192">
                  <c:v>137.64043090422678</c:v>
                </c:pt>
                <c:pt idx="193">
                  <c:v>137.56444683783155</c:v>
                </c:pt>
                <c:pt idx="194">
                  <c:v>137.46057948475763</c:v>
                </c:pt>
                <c:pt idx="195">
                  <c:v>137.32913695877053</c:v>
                </c:pt>
                <c:pt idx="196">
                  <c:v>137.17082076145817</c:v>
                </c:pt>
                <c:pt idx="197">
                  <c:v>136.98735168380844</c:v>
                </c:pt>
                <c:pt idx="198">
                  <c:v>136.78158750383395</c:v>
                </c:pt>
                <c:pt idx="199">
                  <c:v>136.55736890474466</c:v>
                </c:pt>
                <c:pt idx="200">
                  <c:v>136.31966682756067</c:v>
                </c:pt>
                <c:pt idx="201">
                  <c:v>136.07503510773651</c:v>
                </c:pt>
                <c:pt idx="202">
                  <c:v>135.83230278895965</c:v>
                </c:pt>
                <c:pt idx="203">
                  <c:v>135.6019957679749</c:v>
                </c:pt>
                <c:pt idx="204">
                  <c:v>135.39605100228448</c:v>
                </c:pt>
                <c:pt idx="205">
                  <c:v>135.22842295203517</c:v>
                </c:pt>
                <c:pt idx="206">
                  <c:v>135.11554354549739</c:v>
                </c:pt>
                <c:pt idx="207">
                  <c:v>135.07190819659655</c:v>
                </c:pt>
                <c:pt idx="208">
                  <c:v>135.10192760454217</c:v>
                </c:pt>
                <c:pt idx="209">
                  <c:v>135.20151127592072</c:v>
                </c:pt>
                <c:pt idx="210">
                  <c:v>135.36189251256616</c:v>
                </c:pt>
                <c:pt idx="211">
                  <c:v>135.57215367176465</c:v>
                </c:pt>
                <c:pt idx="212">
                  <c:v>135.82083842798218</c:v>
                </c:pt>
                <c:pt idx="213">
                  <c:v>136.09703285963965</c:v>
                </c:pt>
                <c:pt idx="214">
                  <c:v>136.39141002114076</c:v>
                </c:pt>
                <c:pt idx="215">
                  <c:v>136.69576982135166</c:v>
                </c:pt>
                <c:pt idx="216">
                  <c:v>137.00303628787537</c:v>
                </c:pt>
                <c:pt idx="217">
                  <c:v>137.30757984217672</c:v>
                </c:pt>
                <c:pt idx="218">
                  <c:v>137.60633150804051</c:v>
                </c:pt>
                <c:pt idx="219">
                  <c:v>137.8971863218504</c:v>
                </c:pt>
                <c:pt idx="220">
                  <c:v>138.17905411279739</c:v>
                </c:pt>
                <c:pt idx="221">
                  <c:v>138.45170896862135</c:v>
                </c:pt>
                <c:pt idx="222">
                  <c:v>138.71576931824166</c:v>
                </c:pt>
                <c:pt idx="223">
                  <c:v>138.97242127247236</c:v>
                </c:pt>
                <c:pt idx="224">
                  <c:v>139.22334108630366</c:v>
                </c:pt>
                <c:pt idx="225">
                  <c:v>139.47003475143046</c:v>
                </c:pt>
                <c:pt idx="226">
                  <c:v>139.71372492136877</c:v>
                </c:pt>
                <c:pt idx="227">
                  <c:v>139.95559047791477</c:v>
                </c:pt>
                <c:pt idx="228">
                  <c:v>140.19689547478907</c:v>
                </c:pt>
              </c:numCache>
            </c:numRef>
          </c:val>
          <c:smooth val="0"/>
          <c:extLst>
            <c:ext xmlns:c16="http://schemas.microsoft.com/office/drawing/2014/chart" uri="{C3380CC4-5D6E-409C-BE32-E72D297353CC}">
              <c16:uniqueId val="{00000001-A199-40C0-AF8C-CEC058C83184}"/>
            </c:ext>
          </c:extLst>
        </c:ser>
        <c:dLbls>
          <c:showLegendKey val="0"/>
          <c:showVal val="0"/>
          <c:showCatName val="0"/>
          <c:showSerName val="0"/>
          <c:showPercent val="0"/>
          <c:showBubbleSize val="0"/>
        </c:dLbls>
        <c:marker val="1"/>
        <c:smooth val="0"/>
        <c:axId val="2040515792"/>
        <c:axId val="2040519952"/>
      </c:lineChart>
      <c:lineChart>
        <c:grouping val="standard"/>
        <c:varyColors val="0"/>
        <c:ser>
          <c:idx val="2"/>
          <c:order val="2"/>
          <c:tx>
            <c:v>HP Cycle (rhs)</c:v>
          </c:tx>
          <c:spPr>
            <a:ln w="28575" cap="rnd">
              <a:solidFill>
                <a:schemeClr val="accent3"/>
              </a:solidFill>
              <a:round/>
            </a:ln>
            <a:effectLst/>
          </c:spPr>
          <c:marker>
            <c:symbol val="none"/>
          </c:marker>
          <c:cat>
            <c:numRef>
              <c:f>HPFILTER!$F$9:$F$247</c:f>
              <c:numCache>
                <c:formatCode>[$-416]mmm\-yy;@</c:formatCode>
                <c:ptCount val="239"/>
                <c:pt idx="0">
                  <c:v>37653</c:v>
                </c:pt>
                <c:pt idx="1">
                  <c:v>37681</c:v>
                </c:pt>
                <c:pt idx="2">
                  <c:v>37712</c:v>
                </c:pt>
                <c:pt idx="3">
                  <c:v>37742</c:v>
                </c:pt>
                <c:pt idx="4">
                  <c:v>37773</c:v>
                </c:pt>
                <c:pt idx="5">
                  <c:v>37803</c:v>
                </c:pt>
                <c:pt idx="6">
                  <c:v>37834</c:v>
                </c:pt>
                <c:pt idx="7">
                  <c:v>37865</c:v>
                </c:pt>
                <c:pt idx="8">
                  <c:v>37895</c:v>
                </c:pt>
                <c:pt idx="9">
                  <c:v>37926</c:v>
                </c:pt>
                <c:pt idx="10">
                  <c:v>37956</c:v>
                </c:pt>
                <c:pt idx="11">
                  <c:v>37987</c:v>
                </c:pt>
                <c:pt idx="12">
                  <c:v>38018</c:v>
                </c:pt>
                <c:pt idx="13">
                  <c:v>38047</c:v>
                </c:pt>
                <c:pt idx="14">
                  <c:v>38078</c:v>
                </c:pt>
                <c:pt idx="15">
                  <c:v>38108</c:v>
                </c:pt>
                <c:pt idx="16">
                  <c:v>38139</c:v>
                </c:pt>
                <c:pt idx="17">
                  <c:v>38169</c:v>
                </c:pt>
                <c:pt idx="18">
                  <c:v>38200</c:v>
                </c:pt>
                <c:pt idx="19">
                  <c:v>38231</c:v>
                </c:pt>
                <c:pt idx="20">
                  <c:v>38261</c:v>
                </c:pt>
                <c:pt idx="21">
                  <c:v>38292</c:v>
                </c:pt>
                <c:pt idx="22">
                  <c:v>38322</c:v>
                </c:pt>
                <c:pt idx="23">
                  <c:v>38353</c:v>
                </c:pt>
                <c:pt idx="24">
                  <c:v>38384</c:v>
                </c:pt>
                <c:pt idx="25">
                  <c:v>38412</c:v>
                </c:pt>
                <c:pt idx="26">
                  <c:v>38443</c:v>
                </c:pt>
                <c:pt idx="27">
                  <c:v>38473</c:v>
                </c:pt>
                <c:pt idx="28">
                  <c:v>38504</c:v>
                </c:pt>
                <c:pt idx="29">
                  <c:v>38534</c:v>
                </c:pt>
                <c:pt idx="30">
                  <c:v>38565</c:v>
                </c:pt>
                <c:pt idx="31">
                  <c:v>38596</c:v>
                </c:pt>
                <c:pt idx="32">
                  <c:v>38626</c:v>
                </c:pt>
                <c:pt idx="33">
                  <c:v>38657</c:v>
                </c:pt>
                <c:pt idx="34">
                  <c:v>38687</c:v>
                </c:pt>
                <c:pt idx="35">
                  <c:v>38718</c:v>
                </c:pt>
                <c:pt idx="36">
                  <c:v>38749</c:v>
                </c:pt>
                <c:pt idx="37">
                  <c:v>38777</c:v>
                </c:pt>
                <c:pt idx="38">
                  <c:v>38808</c:v>
                </c:pt>
                <c:pt idx="39">
                  <c:v>38838</c:v>
                </c:pt>
                <c:pt idx="40">
                  <c:v>38869</c:v>
                </c:pt>
                <c:pt idx="41">
                  <c:v>38899</c:v>
                </c:pt>
                <c:pt idx="42">
                  <c:v>38930</c:v>
                </c:pt>
                <c:pt idx="43">
                  <c:v>38961</c:v>
                </c:pt>
                <c:pt idx="44">
                  <c:v>38991</c:v>
                </c:pt>
                <c:pt idx="45">
                  <c:v>39022</c:v>
                </c:pt>
                <c:pt idx="46">
                  <c:v>39052</c:v>
                </c:pt>
                <c:pt idx="47">
                  <c:v>39083</c:v>
                </c:pt>
                <c:pt idx="48">
                  <c:v>39114</c:v>
                </c:pt>
                <c:pt idx="49">
                  <c:v>39142</c:v>
                </c:pt>
                <c:pt idx="50">
                  <c:v>39173</c:v>
                </c:pt>
                <c:pt idx="51">
                  <c:v>39203</c:v>
                </c:pt>
                <c:pt idx="52">
                  <c:v>39234</c:v>
                </c:pt>
                <c:pt idx="53">
                  <c:v>39264</c:v>
                </c:pt>
                <c:pt idx="54">
                  <c:v>39295</c:v>
                </c:pt>
                <c:pt idx="55">
                  <c:v>39326</c:v>
                </c:pt>
                <c:pt idx="56">
                  <c:v>39356</c:v>
                </c:pt>
                <c:pt idx="57">
                  <c:v>39387</c:v>
                </c:pt>
                <c:pt idx="58">
                  <c:v>39417</c:v>
                </c:pt>
                <c:pt idx="59">
                  <c:v>39448</c:v>
                </c:pt>
                <c:pt idx="60">
                  <c:v>39479</c:v>
                </c:pt>
                <c:pt idx="61">
                  <c:v>39508</c:v>
                </c:pt>
                <c:pt idx="62">
                  <c:v>39539</c:v>
                </c:pt>
                <c:pt idx="63">
                  <c:v>39569</c:v>
                </c:pt>
                <c:pt idx="64">
                  <c:v>39600</c:v>
                </c:pt>
                <c:pt idx="65">
                  <c:v>39630</c:v>
                </c:pt>
                <c:pt idx="66">
                  <c:v>39661</c:v>
                </c:pt>
                <c:pt idx="67">
                  <c:v>39692</c:v>
                </c:pt>
                <c:pt idx="68">
                  <c:v>39722</c:v>
                </c:pt>
                <c:pt idx="69">
                  <c:v>39753</c:v>
                </c:pt>
                <c:pt idx="70">
                  <c:v>39783</c:v>
                </c:pt>
                <c:pt idx="71">
                  <c:v>39814</c:v>
                </c:pt>
                <c:pt idx="72">
                  <c:v>39845</c:v>
                </c:pt>
                <c:pt idx="73">
                  <c:v>39873</c:v>
                </c:pt>
                <c:pt idx="74">
                  <c:v>39904</c:v>
                </c:pt>
                <c:pt idx="75">
                  <c:v>39934</c:v>
                </c:pt>
                <c:pt idx="76">
                  <c:v>39965</c:v>
                </c:pt>
                <c:pt idx="77">
                  <c:v>39995</c:v>
                </c:pt>
                <c:pt idx="78">
                  <c:v>40026</c:v>
                </c:pt>
                <c:pt idx="79">
                  <c:v>40057</c:v>
                </c:pt>
                <c:pt idx="80">
                  <c:v>40087</c:v>
                </c:pt>
                <c:pt idx="81">
                  <c:v>40118</c:v>
                </c:pt>
                <c:pt idx="82">
                  <c:v>40148</c:v>
                </c:pt>
                <c:pt idx="83">
                  <c:v>40179</c:v>
                </c:pt>
                <c:pt idx="84">
                  <c:v>40210</c:v>
                </c:pt>
                <c:pt idx="85">
                  <c:v>40238</c:v>
                </c:pt>
                <c:pt idx="86">
                  <c:v>40269</c:v>
                </c:pt>
                <c:pt idx="87">
                  <c:v>40299</c:v>
                </c:pt>
                <c:pt idx="88">
                  <c:v>40330</c:v>
                </c:pt>
                <c:pt idx="89">
                  <c:v>40360</c:v>
                </c:pt>
                <c:pt idx="90">
                  <c:v>40391</c:v>
                </c:pt>
                <c:pt idx="91">
                  <c:v>40422</c:v>
                </c:pt>
                <c:pt idx="92">
                  <c:v>40452</c:v>
                </c:pt>
                <c:pt idx="93">
                  <c:v>40483</c:v>
                </c:pt>
                <c:pt idx="94">
                  <c:v>40513</c:v>
                </c:pt>
                <c:pt idx="95">
                  <c:v>40544</c:v>
                </c:pt>
                <c:pt idx="96">
                  <c:v>40575</c:v>
                </c:pt>
                <c:pt idx="97">
                  <c:v>40603</c:v>
                </c:pt>
                <c:pt idx="98">
                  <c:v>40634</c:v>
                </c:pt>
                <c:pt idx="99">
                  <c:v>40664</c:v>
                </c:pt>
                <c:pt idx="100">
                  <c:v>40695</c:v>
                </c:pt>
                <c:pt idx="101">
                  <c:v>40725</c:v>
                </c:pt>
                <c:pt idx="102">
                  <c:v>40756</c:v>
                </c:pt>
                <c:pt idx="103">
                  <c:v>40787</c:v>
                </c:pt>
                <c:pt idx="104">
                  <c:v>40817</c:v>
                </c:pt>
                <c:pt idx="105">
                  <c:v>40848</c:v>
                </c:pt>
                <c:pt idx="106">
                  <c:v>40878</c:v>
                </c:pt>
                <c:pt idx="107">
                  <c:v>40909</c:v>
                </c:pt>
                <c:pt idx="108">
                  <c:v>40940</c:v>
                </c:pt>
                <c:pt idx="109">
                  <c:v>40969</c:v>
                </c:pt>
                <c:pt idx="110">
                  <c:v>41000</c:v>
                </c:pt>
                <c:pt idx="111">
                  <c:v>41030</c:v>
                </c:pt>
                <c:pt idx="112">
                  <c:v>41061</c:v>
                </c:pt>
                <c:pt idx="113">
                  <c:v>41091</c:v>
                </c:pt>
                <c:pt idx="114">
                  <c:v>41122</c:v>
                </c:pt>
                <c:pt idx="115">
                  <c:v>41153</c:v>
                </c:pt>
                <c:pt idx="116">
                  <c:v>41183</c:v>
                </c:pt>
                <c:pt idx="117">
                  <c:v>41214</c:v>
                </c:pt>
                <c:pt idx="118">
                  <c:v>41244</c:v>
                </c:pt>
                <c:pt idx="119">
                  <c:v>41275</c:v>
                </c:pt>
                <c:pt idx="120">
                  <c:v>41306</c:v>
                </c:pt>
                <c:pt idx="121">
                  <c:v>41334</c:v>
                </c:pt>
                <c:pt idx="122">
                  <c:v>41365</c:v>
                </c:pt>
                <c:pt idx="123">
                  <c:v>41395</c:v>
                </c:pt>
                <c:pt idx="124">
                  <c:v>41426</c:v>
                </c:pt>
                <c:pt idx="125">
                  <c:v>41456</c:v>
                </c:pt>
                <c:pt idx="126">
                  <c:v>41487</c:v>
                </c:pt>
                <c:pt idx="127">
                  <c:v>41518</c:v>
                </c:pt>
                <c:pt idx="128">
                  <c:v>41548</c:v>
                </c:pt>
                <c:pt idx="129">
                  <c:v>41579</c:v>
                </c:pt>
                <c:pt idx="130">
                  <c:v>41609</c:v>
                </c:pt>
                <c:pt idx="131">
                  <c:v>41640</c:v>
                </c:pt>
                <c:pt idx="132">
                  <c:v>41671</c:v>
                </c:pt>
                <c:pt idx="133">
                  <c:v>41699</c:v>
                </c:pt>
                <c:pt idx="134">
                  <c:v>41730</c:v>
                </c:pt>
                <c:pt idx="135">
                  <c:v>41760</c:v>
                </c:pt>
                <c:pt idx="136">
                  <c:v>41791</c:v>
                </c:pt>
                <c:pt idx="137">
                  <c:v>41821</c:v>
                </c:pt>
                <c:pt idx="138">
                  <c:v>41852</c:v>
                </c:pt>
                <c:pt idx="139">
                  <c:v>41883</c:v>
                </c:pt>
                <c:pt idx="140">
                  <c:v>41913</c:v>
                </c:pt>
                <c:pt idx="141">
                  <c:v>41944</c:v>
                </c:pt>
                <c:pt idx="142">
                  <c:v>41974</c:v>
                </c:pt>
                <c:pt idx="143">
                  <c:v>42005</c:v>
                </c:pt>
                <c:pt idx="144">
                  <c:v>42036</c:v>
                </c:pt>
                <c:pt idx="145">
                  <c:v>42064</c:v>
                </c:pt>
                <c:pt idx="146">
                  <c:v>42095</c:v>
                </c:pt>
                <c:pt idx="147">
                  <c:v>42125</c:v>
                </c:pt>
                <c:pt idx="148">
                  <c:v>42156</c:v>
                </c:pt>
                <c:pt idx="149">
                  <c:v>42186</c:v>
                </c:pt>
                <c:pt idx="150">
                  <c:v>42217</c:v>
                </c:pt>
                <c:pt idx="151">
                  <c:v>42248</c:v>
                </c:pt>
                <c:pt idx="152">
                  <c:v>42278</c:v>
                </c:pt>
                <c:pt idx="153">
                  <c:v>42309</c:v>
                </c:pt>
                <c:pt idx="154">
                  <c:v>42339</c:v>
                </c:pt>
                <c:pt idx="155">
                  <c:v>42370</c:v>
                </c:pt>
                <c:pt idx="156">
                  <c:v>42401</c:v>
                </c:pt>
                <c:pt idx="157">
                  <c:v>42430</c:v>
                </c:pt>
                <c:pt idx="158">
                  <c:v>42461</c:v>
                </c:pt>
                <c:pt idx="159">
                  <c:v>42491</c:v>
                </c:pt>
                <c:pt idx="160">
                  <c:v>42522</c:v>
                </c:pt>
                <c:pt idx="161">
                  <c:v>42552</c:v>
                </c:pt>
                <c:pt idx="162">
                  <c:v>42583</c:v>
                </c:pt>
                <c:pt idx="163">
                  <c:v>42614</c:v>
                </c:pt>
                <c:pt idx="164">
                  <c:v>42644</c:v>
                </c:pt>
                <c:pt idx="165">
                  <c:v>42675</c:v>
                </c:pt>
                <c:pt idx="166">
                  <c:v>42705</c:v>
                </c:pt>
                <c:pt idx="167">
                  <c:v>42736</c:v>
                </c:pt>
                <c:pt idx="168">
                  <c:v>42767</c:v>
                </c:pt>
                <c:pt idx="169">
                  <c:v>42795</c:v>
                </c:pt>
                <c:pt idx="170">
                  <c:v>42826</c:v>
                </c:pt>
                <c:pt idx="171">
                  <c:v>42856</c:v>
                </c:pt>
                <c:pt idx="172">
                  <c:v>42887</c:v>
                </c:pt>
                <c:pt idx="173">
                  <c:v>42917</c:v>
                </c:pt>
                <c:pt idx="174">
                  <c:v>42948</c:v>
                </c:pt>
                <c:pt idx="175">
                  <c:v>42979</c:v>
                </c:pt>
                <c:pt idx="176">
                  <c:v>43009</c:v>
                </c:pt>
                <c:pt idx="177">
                  <c:v>43040</c:v>
                </c:pt>
                <c:pt idx="178">
                  <c:v>43070</c:v>
                </c:pt>
                <c:pt idx="179">
                  <c:v>43101</c:v>
                </c:pt>
                <c:pt idx="180">
                  <c:v>43132</c:v>
                </c:pt>
                <c:pt idx="181">
                  <c:v>43160</c:v>
                </c:pt>
                <c:pt idx="182">
                  <c:v>43191</c:v>
                </c:pt>
                <c:pt idx="183">
                  <c:v>43221</c:v>
                </c:pt>
                <c:pt idx="184">
                  <c:v>43252</c:v>
                </c:pt>
                <c:pt idx="185">
                  <c:v>43282</c:v>
                </c:pt>
                <c:pt idx="186">
                  <c:v>43313</c:v>
                </c:pt>
                <c:pt idx="187">
                  <c:v>43344</c:v>
                </c:pt>
                <c:pt idx="188">
                  <c:v>43374</c:v>
                </c:pt>
                <c:pt idx="189">
                  <c:v>43405</c:v>
                </c:pt>
                <c:pt idx="190">
                  <c:v>43435</c:v>
                </c:pt>
                <c:pt idx="191">
                  <c:v>43466</c:v>
                </c:pt>
                <c:pt idx="192">
                  <c:v>43497</c:v>
                </c:pt>
                <c:pt idx="193">
                  <c:v>43525</c:v>
                </c:pt>
                <c:pt idx="194">
                  <c:v>43556</c:v>
                </c:pt>
                <c:pt idx="195">
                  <c:v>43586</c:v>
                </c:pt>
                <c:pt idx="196">
                  <c:v>43617</c:v>
                </c:pt>
                <c:pt idx="197">
                  <c:v>43647</c:v>
                </c:pt>
                <c:pt idx="198">
                  <c:v>43678</c:v>
                </c:pt>
                <c:pt idx="199">
                  <c:v>43709</c:v>
                </c:pt>
                <c:pt idx="200">
                  <c:v>43739</c:v>
                </c:pt>
                <c:pt idx="201">
                  <c:v>43770</c:v>
                </c:pt>
                <c:pt idx="202">
                  <c:v>43800</c:v>
                </c:pt>
                <c:pt idx="203">
                  <c:v>43831</c:v>
                </c:pt>
                <c:pt idx="204">
                  <c:v>43862</c:v>
                </c:pt>
                <c:pt idx="205">
                  <c:v>43891</c:v>
                </c:pt>
                <c:pt idx="206">
                  <c:v>43922</c:v>
                </c:pt>
                <c:pt idx="207">
                  <c:v>43952</c:v>
                </c:pt>
                <c:pt idx="208">
                  <c:v>43983</c:v>
                </c:pt>
                <c:pt idx="209">
                  <c:v>44013</c:v>
                </c:pt>
                <c:pt idx="210">
                  <c:v>44044</c:v>
                </c:pt>
                <c:pt idx="211">
                  <c:v>44075</c:v>
                </c:pt>
                <c:pt idx="212">
                  <c:v>44105</c:v>
                </c:pt>
                <c:pt idx="213">
                  <c:v>44136</c:v>
                </c:pt>
                <c:pt idx="214">
                  <c:v>44166</c:v>
                </c:pt>
                <c:pt idx="215">
                  <c:v>44197</c:v>
                </c:pt>
                <c:pt idx="216">
                  <c:v>44228</c:v>
                </c:pt>
                <c:pt idx="217">
                  <c:v>44256</c:v>
                </c:pt>
                <c:pt idx="218">
                  <c:v>44287</c:v>
                </c:pt>
                <c:pt idx="219">
                  <c:v>44317</c:v>
                </c:pt>
                <c:pt idx="220">
                  <c:v>44348</c:v>
                </c:pt>
                <c:pt idx="221">
                  <c:v>44378</c:v>
                </c:pt>
                <c:pt idx="222">
                  <c:v>44409</c:v>
                </c:pt>
                <c:pt idx="223">
                  <c:v>44440</c:v>
                </c:pt>
                <c:pt idx="224">
                  <c:v>44470</c:v>
                </c:pt>
                <c:pt idx="225">
                  <c:v>44501</c:v>
                </c:pt>
                <c:pt idx="226">
                  <c:v>44531</c:v>
                </c:pt>
                <c:pt idx="227">
                  <c:v>44562</c:v>
                </c:pt>
                <c:pt idx="228">
                  <c:v>44593</c:v>
                </c:pt>
              </c:numCache>
            </c:numRef>
          </c:cat>
          <c:val>
            <c:numRef>
              <c:f>HPFILTER!$P$8:$P$237</c:f>
              <c:numCache>
                <c:formatCode>General</c:formatCode>
                <c:ptCount val="230"/>
                <c:pt idx="0">
                  <c:v>1.0131530991836968</c:v>
                </c:pt>
                <c:pt idx="1">
                  <c:v>2.1714942675082369</c:v>
                </c:pt>
                <c:pt idx="2">
                  <c:v>1.90920221514574</c:v>
                </c:pt>
                <c:pt idx="3">
                  <c:v>0.4542865374921945</c:v>
                </c:pt>
                <c:pt idx="4">
                  <c:v>-0.92643642144116711</c:v>
                </c:pt>
                <c:pt idx="5">
                  <c:v>-0.89643424672868832</c:v>
                </c:pt>
                <c:pt idx="6">
                  <c:v>-2.4785955006815499</c:v>
                </c:pt>
                <c:pt idx="7">
                  <c:v>-2.2052484742067122</c:v>
                </c:pt>
                <c:pt idx="8">
                  <c:v>-0.627172336023051</c:v>
                </c:pt>
                <c:pt idx="9">
                  <c:v>-0.87376797455331712</c:v>
                </c:pt>
                <c:pt idx="10">
                  <c:v>-1.2140442955097654</c:v>
                </c:pt>
                <c:pt idx="11">
                  <c:v>-2.0464640996210477</c:v>
                </c:pt>
                <c:pt idx="12">
                  <c:v>-0.50873140993098787</c:v>
                </c:pt>
                <c:pt idx="13">
                  <c:v>-4.7271209421083427E-2</c:v>
                </c:pt>
                <c:pt idx="14">
                  <c:v>0.98180947605800384</c:v>
                </c:pt>
                <c:pt idx="15">
                  <c:v>0.95243316516213383</c:v>
                </c:pt>
                <c:pt idx="16">
                  <c:v>0.527908745623904</c:v>
                </c:pt>
                <c:pt idx="17">
                  <c:v>0.86094983444834838</c:v>
                </c:pt>
                <c:pt idx="18">
                  <c:v>1.0239401056740434</c:v>
                </c:pt>
                <c:pt idx="19">
                  <c:v>0.96872513969303498</c:v>
                </c:pt>
                <c:pt idx="20">
                  <c:v>1.8265105543318612</c:v>
                </c:pt>
                <c:pt idx="21">
                  <c:v>0.69789651420406074</c:v>
                </c:pt>
                <c:pt idx="22">
                  <c:v>1.2023416148275459</c:v>
                </c:pt>
                <c:pt idx="23">
                  <c:v>-1.1317336018237256E-3</c:v>
                </c:pt>
                <c:pt idx="24">
                  <c:v>0.46574741560337429</c:v>
                </c:pt>
                <c:pt idx="25">
                  <c:v>0.63125071646294373</c:v>
                </c:pt>
                <c:pt idx="26">
                  <c:v>0.57335873086272215</c:v>
                </c:pt>
                <c:pt idx="27">
                  <c:v>0.74965748899066398</c:v>
                </c:pt>
                <c:pt idx="28">
                  <c:v>0.44737467182758905</c:v>
                </c:pt>
                <c:pt idx="29">
                  <c:v>-0.2567305755759719</c:v>
                </c:pt>
                <c:pt idx="30">
                  <c:v>-0.60617871733977324</c:v>
                </c:pt>
                <c:pt idx="31">
                  <c:v>-0.30432976097313258</c:v>
                </c:pt>
                <c:pt idx="32">
                  <c:v>-1.1041648522880081</c:v>
                </c:pt>
                <c:pt idx="33">
                  <c:v>-1.2984749309950132</c:v>
                </c:pt>
                <c:pt idx="34">
                  <c:v>-0.93936083377222701</c:v>
                </c:pt>
                <c:pt idx="35">
                  <c:v>-0.84811185046606852</c:v>
                </c:pt>
                <c:pt idx="36">
                  <c:v>-0.22543017040166546</c:v>
                </c:pt>
                <c:pt idx="37">
                  <c:v>-0.45148791299742186</c:v>
                </c:pt>
                <c:pt idx="38">
                  <c:v>-0.98631630381561308</c:v>
                </c:pt>
                <c:pt idx="39">
                  <c:v>-0.79966438847252164</c:v>
                </c:pt>
                <c:pt idx="40">
                  <c:v>0.11933523510498389</c:v>
                </c:pt>
                <c:pt idx="41">
                  <c:v>-1.3479502407664086</c:v>
                </c:pt>
                <c:pt idx="42">
                  <c:v>0.32977179170772786</c:v>
                </c:pt>
                <c:pt idx="43">
                  <c:v>-0.54536359077820862</c:v>
                </c:pt>
                <c:pt idx="44">
                  <c:v>-0.91142741889913736</c:v>
                </c:pt>
                <c:pt idx="45">
                  <c:v>-0.23614987108561536</c:v>
                </c:pt>
                <c:pt idx="46">
                  <c:v>-1.6691483631859683E-2</c:v>
                </c:pt>
                <c:pt idx="47">
                  <c:v>0.39993480083778365</c:v>
                </c:pt>
                <c:pt idx="48">
                  <c:v>-0.3932735281239701</c:v>
                </c:pt>
                <c:pt idx="49">
                  <c:v>-0.46356894021485573</c:v>
                </c:pt>
                <c:pt idx="50">
                  <c:v>-1.807958109177676</c:v>
                </c:pt>
                <c:pt idx="51">
                  <c:v>-0.59315797816719851</c:v>
                </c:pt>
                <c:pt idx="52">
                  <c:v>5.5244483479725659E-2</c:v>
                </c:pt>
                <c:pt idx="53">
                  <c:v>0.55203303016271832</c:v>
                </c:pt>
                <c:pt idx="54">
                  <c:v>0.86195688847963936</c:v>
                </c:pt>
                <c:pt idx="55">
                  <c:v>0.48942026438335517</c:v>
                </c:pt>
                <c:pt idx="56">
                  <c:v>1.0482886407726824</c:v>
                </c:pt>
                <c:pt idx="57">
                  <c:v>1.6021216128802962</c:v>
                </c:pt>
                <c:pt idx="58">
                  <c:v>1.0738235955388831</c:v>
                </c:pt>
                <c:pt idx="59">
                  <c:v>1.5252976775725244</c:v>
                </c:pt>
                <c:pt idx="60">
                  <c:v>1.4877758080588137</c:v>
                </c:pt>
                <c:pt idx="61">
                  <c:v>0.84153662502615134</c:v>
                </c:pt>
                <c:pt idx="62">
                  <c:v>0.23592890662348509</c:v>
                </c:pt>
                <c:pt idx="63">
                  <c:v>1.3197754706089313</c:v>
                </c:pt>
                <c:pt idx="64">
                  <c:v>2.8817516791740729</c:v>
                </c:pt>
                <c:pt idx="65">
                  <c:v>4.5697080348414403</c:v>
                </c:pt>
                <c:pt idx="66">
                  <c:v>4.2396939453338689</c:v>
                </c:pt>
                <c:pt idx="67">
                  <c:v>4.2549027508527075</c:v>
                </c:pt>
                <c:pt idx="68">
                  <c:v>4.1658779828831598</c:v>
                </c:pt>
                <c:pt idx="69">
                  <c:v>1.4005038586914083</c:v>
                </c:pt>
                <c:pt idx="70">
                  <c:v>-1.8759390781959411</c:v>
                </c:pt>
                <c:pt idx="71">
                  <c:v>-5.9590455991635594</c:v>
                </c:pt>
                <c:pt idx="72">
                  <c:v>-6.1732380136729148</c:v>
                </c:pt>
                <c:pt idx="73">
                  <c:v>-4.9592142276850808</c:v>
                </c:pt>
                <c:pt idx="74">
                  <c:v>-4.3938138734031895</c:v>
                </c:pt>
                <c:pt idx="75">
                  <c:v>-4.0007770741376163</c:v>
                </c:pt>
                <c:pt idx="76">
                  <c:v>-3.1110978195277283</c:v>
                </c:pt>
                <c:pt idx="77">
                  <c:v>-2.4532696135420053</c:v>
                </c:pt>
                <c:pt idx="78">
                  <c:v>-2.5538415240115597</c:v>
                </c:pt>
                <c:pt idx="79">
                  <c:v>-1.2678293252586172</c:v>
                </c:pt>
                <c:pt idx="80">
                  <c:v>-0.79865264065355746</c:v>
                </c:pt>
                <c:pt idx="81">
                  <c:v>-0.72893870023824547</c:v>
                </c:pt>
                <c:pt idx="82">
                  <c:v>-1.1308155761532817</c:v>
                </c:pt>
                <c:pt idx="83">
                  <c:v>-0.50595575385301572</c:v>
                </c:pt>
                <c:pt idx="84">
                  <c:v>0.99467504094400283</c:v>
                </c:pt>
                <c:pt idx="85">
                  <c:v>2.0204273048658763</c:v>
                </c:pt>
                <c:pt idx="86">
                  <c:v>2.7700298626388928</c:v>
                </c:pt>
                <c:pt idx="87">
                  <c:v>2.5709487719248614</c:v>
                </c:pt>
                <c:pt idx="88">
                  <c:v>1.3689188217207686</c:v>
                </c:pt>
                <c:pt idx="89">
                  <c:v>0.48806795804119929</c:v>
                </c:pt>
                <c:pt idx="90">
                  <c:v>0.59166855263671891</c:v>
                </c:pt>
                <c:pt idx="91">
                  <c:v>0.76268793478561747</c:v>
                </c:pt>
                <c:pt idx="92">
                  <c:v>1.9637236409193406</c:v>
                </c:pt>
                <c:pt idx="93">
                  <c:v>0.76689652751042559</c:v>
                </c:pt>
                <c:pt idx="94">
                  <c:v>1.6631001237558962</c:v>
                </c:pt>
                <c:pt idx="95">
                  <c:v>-0.57725135147694573</c:v>
                </c:pt>
                <c:pt idx="96">
                  <c:v>0.86521688310224931</c:v>
                </c:pt>
                <c:pt idx="97">
                  <c:v>1.0702403908776148</c:v>
                </c:pt>
                <c:pt idx="98">
                  <c:v>1.1070139746825021</c:v>
                </c:pt>
                <c:pt idx="99">
                  <c:v>0.5340635371050837</c:v>
                </c:pt>
                <c:pt idx="100">
                  <c:v>0.67922309699935113</c:v>
                </c:pt>
                <c:pt idx="101">
                  <c:v>1.3699928835087576</c:v>
                </c:pt>
                <c:pt idx="102">
                  <c:v>1.1634486113418063</c:v>
                </c:pt>
                <c:pt idx="103">
                  <c:v>0.65580974965385508</c:v>
                </c:pt>
                <c:pt idx="104">
                  <c:v>0.28256861221805707</c:v>
                </c:pt>
                <c:pt idx="105">
                  <c:v>-0.12119236828476687</c:v>
                </c:pt>
                <c:pt idx="106">
                  <c:v>0.35943263544245951</c:v>
                </c:pt>
                <c:pt idx="107">
                  <c:v>-1.6305748040727792</c:v>
                </c:pt>
                <c:pt idx="108">
                  <c:v>-3.4064577597000323</c:v>
                </c:pt>
                <c:pt idx="109">
                  <c:v>-1.9924401950559911</c:v>
                </c:pt>
                <c:pt idx="110">
                  <c:v>-2.6406170376585294</c:v>
                </c:pt>
                <c:pt idx="111">
                  <c:v>-1.8918379399028993</c:v>
                </c:pt>
                <c:pt idx="112">
                  <c:v>-0.50530216853616139</c:v>
                </c:pt>
                <c:pt idx="113">
                  <c:v>0.13097340840749894</c:v>
                </c:pt>
                <c:pt idx="114">
                  <c:v>0.33928773674890067</c:v>
                </c:pt>
                <c:pt idx="115">
                  <c:v>0.39185790392863851</c:v>
                </c:pt>
                <c:pt idx="116">
                  <c:v>-0.51931105744765205</c:v>
                </c:pt>
                <c:pt idx="117">
                  <c:v>0.3575409740346629</c:v>
                </c:pt>
                <c:pt idx="118">
                  <c:v>-0.19550131079824951</c:v>
                </c:pt>
                <c:pt idx="119">
                  <c:v>-0.88657668422865754</c:v>
                </c:pt>
                <c:pt idx="120">
                  <c:v>-0.32370173021985238</c:v>
                </c:pt>
                <c:pt idx="121">
                  <c:v>-1.8043389223077497</c:v>
                </c:pt>
                <c:pt idx="122">
                  <c:v>-0.87574842044656975</c:v>
                </c:pt>
                <c:pt idx="123">
                  <c:v>0.17593732723585731</c:v>
                </c:pt>
                <c:pt idx="124">
                  <c:v>0.5451332153743067</c:v>
                </c:pt>
                <c:pt idx="125">
                  <c:v>-0.13385582222588255</c:v>
                </c:pt>
                <c:pt idx="126">
                  <c:v>0.53293443998148859</c:v>
                </c:pt>
                <c:pt idx="127">
                  <c:v>0.30955188743041617</c:v>
                </c:pt>
                <c:pt idx="128">
                  <c:v>1.2297113215306013</c:v>
                </c:pt>
                <c:pt idx="129">
                  <c:v>1.0069340737626646</c:v>
                </c:pt>
                <c:pt idx="130">
                  <c:v>1.3239729060303205</c:v>
                </c:pt>
                <c:pt idx="131">
                  <c:v>1.6029512464417337</c:v>
                </c:pt>
                <c:pt idx="132">
                  <c:v>1.3151650400388633</c:v>
                </c:pt>
                <c:pt idx="133">
                  <c:v>0.99090838733403075</c:v>
                </c:pt>
                <c:pt idx="134">
                  <c:v>1.1696534106909269</c:v>
                </c:pt>
                <c:pt idx="135">
                  <c:v>0.34025291472991626</c:v>
                </c:pt>
                <c:pt idx="136">
                  <c:v>-1.9171329310097462E-2</c:v>
                </c:pt>
                <c:pt idx="137">
                  <c:v>-2.4507102082612562</c:v>
                </c:pt>
                <c:pt idx="138">
                  <c:v>-0.95644262687537207</c:v>
                </c:pt>
                <c:pt idx="139">
                  <c:v>0.14308420397642863</c:v>
                </c:pt>
                <c:pt idx="140">
                  <c:v>1.1679208500638367</c:v>
                </c:pt>
                <c:pt idx="141">
                  <c:v>0.7480284495304943</c:v>
                </c:pt>
                <c:pt idx="142">
                  <c:v>1.3226381899877424</c:v>
                </c:pt>
                <c:pt idx="143">
                  <c:v>2.4405137412665283</c:v>
                </c:pt>
                <c:pt idx="144">
                  <c:v>1.6895921243284988</c:v>
                </c:pt>
                <c:pt idx="145">
                  <c:v>1.2362850390476865</c:v>
                </c:pt>
                <c:pt idx="146">
                  <c:v>1.5359481902200685</c:v>
                </c:pt>
                <c:pt idx="147">
                  <c:v>0.75316460449235478</c:v>
                </c:pt>
                <c:pt idx="148">
                  <c:v>3.1557340891964714E-2</c:v>
                </c:pt>
                <c:pt idx="149">
                  <c:v>-0.88572126943111584</c:v>
                </c:pt>
                <c:pt idx="150">
                  <c:v>-1.2155386186653914</c:v>
                </c:pt>
                <c:pt idx="151">
                  <c:v>-0.38420852320561494</c:v>
                </c:pt>
                <c:pt idx="152">
                  <c:v>-1.1872850878103804</c:v>
                </c:pt>
                <c:pt idx="153">
                  <c:v>0.28991771308935199</c:v>
                </c:pt>
                <c:pt idx="154">
                  <c:v>-1.0271720417578365</c:v>
                </c:pt>
                <c:pt idx="155">
                  <c:v>-0.91330747217381258</c:v>
                </c:pt>
                <c:pt idx="156">
                  <c:v>-1.2525997154548065</c:v>
                </c:pt>
                <c:pt idx="157">
                  <c:v>-0.84858909172652375</c:v>
                </c:pt>
                <c:pt idx="158">
                  <c:v>-1.3740330462927943</c:v>
                </c:pt>
                <c:pt idx="159">
                  <c:v>-0.92115865627442872</c:v>
                </c:pt>
                <c:pt idx="160">
                  <c:v>-1.0713342281391363</c:v>
                </c:pt>
                <c:pt idx="161">
                  <c:v>-0.2753523441941752</c:v>
                </c:pt>
                <c:pt idx="162">
                  <c:v>-0.3033360028540244</c:v>
                </c:pt>
                <c:pt idx="163">
                  <c:v>-0.75523610731841018</c:v>
                </c:pt>
                <c:pt idx="164">
                  <c:v>-0.89081397578468113</c:v>
                </c:pt>
                <c:pt idx="165">
                  <c:v>-1.2693589038835569</c:v>
                </c:pt>
                <c:pt idx="166">
                  <c:v>-1.5196034285108908</c:v>
                </c:pt>
                <c:pt idx="167">
                  <c:v>-2.1894867372471367</c:v>
                </c:pt>
                <c:pt idx="168">
                  <c:v>-1.2259982655305919</c:v>
                </c:pt>
                <c:pt idx="169">
                  <c:v>0.72524098041151319</c:v>
                </c:pt>
                <c:pt idx="170">
                  <c:v>0.86937624326762375</c:v>
                </c:pt>
                <c:pt idx="171">
                  <c:v>0.86109949011387243</c:v>
                </c:pt>
                <c:pt idx="172">
                  <c:v>0.11455932787407619</c:v>
                </c:pt>
                <c:pt idx="173">
                  <c:v>0.82336617629061948</c:v>
                </c:pt>
                <c:pt idx="174">
                  <c:v>1.1010588555260199</c:v>
                </c:pt>
                <c:pt idx="175">
                  <c:v>0.24066158188290387</c:v>
                </c:pt>
                <c:pt idx="176">
                  <c:v>-0.26548959012106366</c:v>
                </c:pt>
                <c:pt idx="177">
                  <c:v>-0.17520901945681544</c:v>
                </c:pt>
                <c:pt idx="178">
                  <c:v>-0.56614513410121958</c:v>
                </c:pt>
                <c:pt idx="179">
                  <c:v>1.1041631436055468</c:v>
                </c:pt>
                <c:pt idx="180">
                  <c:v>0.33853073203249551</c:v>
                </c:pt>
                <c:pt idx="181">
                  <c:v>-5.0917552416308354E-2</c:v>
                </c:pt>
                <c:pt idx="182">
                  <c:v>0.39773152495598652</c:v>
                </c:pt>
                <c:pt idx="183">
                  <c:v>1.3364230223160689</c:v>
                </c:pt>
                <c:pt idx="184">
                  <c:v>-3.7831465843721332</c:v>
                </c:pt>
                <c:pt idx="185">
                  <c:v>0.1298839164661274</c:v>
                </c:pt>
                <c:pt idx="186">
                  <c:v>0.60874020302097165</c:v>
                </c:pt>
                <c:pt idx="187">
                  <c:v>1.7865667760346469</c:v>
                </c:pt>
                <c:pt idx="188">
                  <c:v>0.37612767362216459</c:v>
                </c:pt>
                <c:pt idx="189">
                  <c:v>0.38907032966392308</c:v>
                </c:pt>
                <c:pt idx="190">
                  <c:v>0.15680709824403039</c:v>
                </c:pt>
                <c:pt idx="191">
                  <c:v>0.82050716449074912</c:v>
                </c:pt>
                <c:pt idx="192">
                  <c:v>0.79124170909582858</c:v>
                </c:pt>
                <c:pt idx="193">
                  <c:v>-0.26043090422678006</c:v>
                </c:pt>
                <c:pt idx="194">
                  <c:v>0.8555531621684338</c:v>
                </c:pt>
                <c:pt idx="195">
                  <c:v>0.62942051524237286</c:v>
                </c:pt>
                <c:pt idx="196">
                  <c:v>1.6308630412294747</c:v>
                </c:pt>
                <c:pt idx="197">
                  <c:v>1.8191792385418353</c:v>
                </c:pt>
                <c:pt idx="198">
                  <c:v>1.572648316191561</c:v>
                </c:pt>
                <c:pt idx="199">
                  <c:v>1.8084124961660564</c:v>
                </c:pt>
                <c:pt idx="200">
                  <c:v>2.5326310952553399</c:v>
                </c:pt>
                <c:pt idx="201">
                  <c:v>3.6403331724393411</c:v>
                </c:pt>
                <c:pt idx="202">
                  <c:v>2.714964892263481</c:v>
                </c:pt>
                <c:pt idx="203">
                  <c:v>2.2576972110403517</c:v>
                </c:pt>
                <c:pt idx="204">
                  <c:v>3.2280042320251141</c:v>
                </c:pt>
                <c:pt idx="205">
                  <c:v>3.9639489977155336</c:v>
                </c:pt>
                <c:pt idx="206">
                  <c:v>-3.0984229520351789</c:v>
                </c:pt>
                <c:pt idx="207">
                  <c:v>-16.135543545497384</c:v>
                </c:pt>
                <c:pt idx="208">
                  <c:v>-13.601908196596554</c:v>
                </c:pt>
                <c:pt idx="209">
                  <c:v>-7.4819276045421645</c:v>
                </c:pt>
                <c:pt idx="210">
                  <c:v>-3.4415112759207318</c:v>
                </c:pt>
                <c:pt idx="211">
                  <c:v>-0.86189251256615762</c:v>
                </c:pt>
                <c:pt idx="212">
                  <c:v>0.8678463282353448</c:v>
                </c:pt>
                <c:pt idx="213">
                  <c:v>2.5391615720178322</c:v>
                </c:pt>
                <c:pt idx="214">
                  <c:v>1.8029671403603516</c:v>
                </c:pt>
                <c:pt idx="215">
                  <c:v>1.7985899788592405</c:v>
                </c:pt>
                <c:pt idx="216">
                  <c:v>2.3142301786483301</c:v>
                </c:pt>
                <c:pt idx="217">
                  <c:v>4.0969637121246194</c:v>
                </c:pt>
                <c:pt idx="218">
                  <c:v>1.5424201578232726</c:v>
                </c:pt>
                <c:pt idx="219">
                  <c:v>1.6236684919594779</c:v>
                </c:pt>
                <c:pt idx="220">
                  <c:v>1.3828136781496028</c:v>
                </c:pt>
                <c:pt idx="221">
                  <c:v>1.350945887202613</c:v>
                </c:pt>
                <c:pt idx="222">
                  <c:v>0.90829103137866696</c:v>
                </c:pt>
                <c:pt idx="223">
                  <c:v>0.78423068175834487</c:v>
                </c:pt>
                <c:pt idx="224">
                  <c:v>-0.27242127247237136</c:v>
                </c:pt>
                <c:pt idx="225">
                  <c:v>-0.45334108630365222</c:v>
                </c:pt>
                <c:pt idx="226">
                  <c:v>-7.0034751430455344E-2</c:v>
                </c:pt>
                <c:pt idx="227">
                  <c:v>0.13627507863122901</c:v>
                </c:pt>
                <c:pt idx="228">
                  <c:v>-1.1255904779147556</c:v>
                </c:pt>
                <c:pt idx="229">
                  <c:v>-0.89689547478906206</c:v>
                </c:pt>
              </c:numCache>
            </c:numRef>
          </c:val>
          <c:smooth val="0"/>
          <c:extLst>
            <c:ext xmlns:c16="http://schemas.microsoft.com/office/drawing/2014/chart" uri="{C3380CC4-5D6E-409C-BE32-E72D297353CC}">
              <c16:uniqueId val="{00000003-A199-40C0-AF8C-CEC058C83184}"/>
            </c:ext>
          </c:extLst>
        </c:ser>
        <c:dLbls>
          <c:showLegendKey val="0"/>
          <c:showVal val="0"/>
          <c:showCatName val="0"/>
          <c:showSerName val="0"/>
          <c:showPercent val="0"/>
          <c:showBubbleSize val="0"/>
        </c:dLbls>
        <c:marker val="1"/>
        <c:smooth val="0"/>
        <c:axId val="1773992240"/>
        <c:axId val="1773995568"/>
      </c:lineChart>
      <c:dateAx>
        <c:axId val="2040515792"/>
        <c:scaling>
          <c:orientation val="minMax"/>
        </c:scaling>
        <c:delete val="0"/>
        <c:axPos val="b"/>
        <c:numFmt formatCode="[$-416]mmm\-yy;@"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0519952"/>
        <c:crosses val="autoZero"/>
        <c:auto val="1"/>
        <c:lblOffset val="100"/>
        <c:baseTimeUnit val="months"/>
      </c:dateAx>
      <c:valAx>
        <c:axId val="2040519952"/>
        <c:scaling>
          <c:orientation val="minMax"/>
          <c:min val="7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0515792"/>
        <c:crosses val="autoZero"/>
        <c:crossBetween val="between"/>
      </c:valAx>
      <c:valAx>
        <c:axId val="1773995568"/>
        <c:scaling>
          <c:orientation val="minMax"/>
          <c:max val="90"/>
          <c:min val="-20"/>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3992240"/>
        <c:crosses val="max"/>
        <c:crossBetween val="between"/>
        <c:majorUnit val="10"/>
      </c:valAx>
      <c:dateAx>
        <c:axId val="1773992240"/>
        <c:scaling>
          <c:orientation val="minMax"/>
        </c:scaling>
        <c:delete val="1"/>
        <c:axPos val="b"/>
        <c:numFmt formatCode="[$-416]mmm\-yy;@" sourceLinked="1"/>
        <c:majorTickMark val="out"/>
        <c:minorTickMark val="none"/>
        <c:tickLblPos val="nextTo"/>
        <c:crossAx val="1773995568"/>
        <c:crosses val="autoZero"/>
        <c:auto val="1"/>
        <c:lblOffset val="100"/>
        <c:baseTimeUnit val="months"/>
      </c:date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8740157499999996" l="0.511811024" r="0.511811024" t="0.78740157499999996" header="0.31496062000000002" footer="0.31496062000000002"/>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t-BR"/>
              <a:t>Brazil</a:t>
            </a:r>
            <a:r>
              <a:rPr lang="pt-BR" baseline="0"/>
              <a:t> IP NSA</a:t>
            </a:r>
            <a:endParaRPr lang="pt-B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NSA</c:v>
          </c:tx>
          <c:spPr>
            <a:ln w="12700" cap="rnd">
              <a:solidFill>
                <a:schemeClr val="accent1"/>
              </a:solidFill>
              <a:round/>
            </a:ln>
            <a:effectLst/>
          </c:spPr>
          <c:marker>
            <c:symbol val="none"/>
          </c:marker>
          <c:cat>
            <c:numRef>
              <c:f>DIFF!$F$10:$F$248</c:f>
              <c:numCache>
                <c:formatCode>[$-416]mmm\-yy;@</c:formatCode>
                <c:ptCount val="239"/>
                <c:pt idx="0">
                  <c:v>37288</c:v>
                </c:pt>
                <c:pt idx="1">
                  <c:v>37316</c:v>
                </c:pt>
                <c:pt idx="2">
                  <c:v>37347</c:v>
                </c:pt>
                <c:pt idx="3">
                  <c:v>37377</c:v>
                </c:pt>
                <c:pt idx="4">
                  <c:v>37408</c:v>
                </c:pt>
                <c:pt idx="5">
                  <c:v>37438</c:v>
                </c:pt>
                <c:pt idx="6">
                  <c:v>37469</c:v>
                </c:pt>
                <c:pt idx="7">
                  <c:v>37500</c:v>
                </c:pt>
                <c:pt idx="8">
                  <c:v>37530</c:v>
                </c:pt>
                <c:pt idx="9">
                  <c:v>37561</c:v>
                </c:pt>
                <c:pt idx="10">
                  <c:v>37591</c:v>
                </c:pt>
                <c:pt idx="11">
                  <c:v>37622</c:v>
                </c:pt>
                <c:pt idx="12">
                  <c:v>37653</c:v>
                </c:pt>
                <c:pt idx="13">
                  <c:v>37681</c:v>
                </c:pt>
                <c:pt idx="14">
                  <c:v>37712</c:v>
                </c:pt>
                <c:pt idx="15">
                  <c:v>37742</c:v>
                </c:pt>
                <c:pt idx="16">
                  <c:v>37773</c:v>
                </c:pt>
                <c:pt idx="17">
                  <c:v>37803</c:v>
                </c:pt>
                <c:pt idx="18">
                  <c:v>37834</c:v>
                </c:pt>
                <c:pt idx="19">
                  <c:v>37865</c:v>
                </c:pt>
                <c:pt idx="20">
                  <c:v>37895</c:v>
                </c:pt>
                <c:pt idx="21">
                  <c:v>37926</c:v>
                </c:pt>
                <c:pt idx="22">
                  <c:v>37956</c:v>
                </c:pt>
                <c:pt idx="23">
                  <c:v>37987</c:v>
                </c:pt>
                <c:pt idx="24">
                  <c:v>38018</c:v>
                </c:pt>
                <c:pt idx="25">
                  <c:v>38047</c:v>
                </c:pt>
                <c:pt idx="26">
                  <c:v>38078</c:v>
                </c:pt>
                <c:pt idx="27">
                  <c:v>38108</c:v>
                </c:pt>
                <c:pt idx="28">
                  <c:v>38139</c:v>
                </c:pt>
                <c:pt idx="29">
                  <c:v>38169</c:v>
                </c:pt>
                <c:pt idx="30">
                  <c:v>38200</c:v>
                </c:pt>
                <c:pt idx="31">
                  <c:v>38231</c:v>
                </c:pt>
                <c:pt idx="32">
                  <c:v>38261</c:v>
                </c:pt>
                <c:pt idx="33">
                  <c:v>38292</c:v>
                </c:pt>
                <c:pt idx="34">
                  <c:v>38322</c:v>
                </c:pt>
                <c:pt idx="35">
                  <c:v>38353</c:v>
                </c:pt>
                <c:pt idx="36">
                  <c:v>38384</c:v>
                </c:pt>
                <c:pt idx="37">
                  <c:v>38412</c:v>
                </c:pt>
                <c:pt idx="38">
                  <c:v>38443</c:v>
                </c:pt>
                <c:pt idx="39">
                  <c:v>38473</c:v>
                </c:pt>
                <c:pt idx="40">
                  <c:v>38504</c:v>
                </c:pt>
                <c:pt idx="41">
                  <c:v>38534</c:v>
                </c:pt>
                <c:pt idx="42">
                  <c:v>38565</c:v>
                </c:pt>
                <c:pt idx="43">
                  <c:v>38596</c:v>
                </c:pt>
                <c:pt idx="44">
                  <c:v>38626</c:v>
                </c:pt>
                <c:pt idx="45">
                  <c:v>38657</c:v>
                </c:pt>
                <c:pt idx="46">
                  <c:v>38687</c:v>
                </c:pt>
                <c:pt idx="47">
                  <c:v>38718</c:v>
                </c:pt>
                <c:pt idx="48">
                  <c:v>38749</c:v>
                </c:pt>
                <c:pt idx="49">
                  <c:v>38777</c:v>
                </c:pt>
                <c:pt idx="50">
                  <c:v>38808</c:v>
                </c:pt>
                <c:pt idx="51">
                  <c:v>38838</c:v>
                </c:pt>
                <c:pt idx="52">
                  <c:v>38869</c:v>
                </c:pt>
                <c:pt idx="53">
                  <c:v>38899</c:v>
                </c:pt>
                <c:pt idx="54">
                  <c:v>38930</c:v>
                </c:pt>
                <c:pt idx="55">
                  <c:v>38961</c:v>
                </c:pt>
                <c:pt idx="56">
                  <c:v>38991</c:v>
                </c:pt>
                <c:pt idx="57">
                  <c:v>39022</c:v>
                </c:pt>
                <c:pt idx="58">
                  <c:v>39052</c:v>
                </c:pt>
                <c:pt idx="59">
                  <c:v>39083</c:v>
                </c:pt>
                <c:pt idx="60">
                  <c:v>39114</c:v>
                </c:pt>
                <c:pt idx="61">
                  <c:v>39142</c:v>
                </c:pt>
                <c:pt idx="62">
                  <c:v>39173</c:v>
                </c:pt>
                <c:pt idx="63">
                  <c:v>39203</c:v>
                </c:pt>
                <c:pt idx="64">
                  <c:v>39234</c:v>
                </c:pt>
                <c:pt idx="65">
                  <c:v>39264</c:v>
                </c:pt>
                <c:pt idx="66">
                  <c:v>39295</c:v>
                </c:pt>
                <c:pt idx="67">
                  <c:v>39326</c:v>
                </c:pt>
                <c:pt idx="68">
                  <c:v>39356</c:v>
                </c:pt>
                <c:pt idx="69">
                  <c:v>39387</c:v>
                </c:pt>
                <c:pt idx="70">
                  <c:v>39417</c:v>
                </c:pt>
                <c:pt idx="71">
                  <c:v>39448</c:v>
                </c:pt>
                <c:pt idx="72">
                  <c:v>39479</c:v>
                </c:pt>
                <c:pt idx="73">
                  <c:v>39508</c:v>
                </c:pt>
                <c:pt idx="74">
                  <c:v>39539</c:v>
                </c:pt>
                <c:pt idx="75">
                  <c:v>39569</c:v>
                </c:pt>
                <c:pt idx="76">
                  <c:v>39600</c:v>
                </c:pt>
                <c:pt idx="77">
                  <c:v>39630</c:v>
                </c:pt>
                <c:pt idx="78">
                  <c:v>39661</c:v>
                </c:pt>
                <c:pt idx="79">
                  <c:v>39692</c:v>
                </c:pt>
                <c:pt idx="80">
                  <c:v>39722</c:v>
                </c:pt>
                <c:pt idx="81">
                  <c:v>39753</c:v>
                </c:pt>
                <c:pt idx="82">
                  <c:v>39783</c:v>
                </c:pt>
                <c:pt idx="83">
                  <c:v>39814</c:v>
                </c:pt>
                <c:pt idx="84">
                  <c:v>39845</c:v>
                </c:pt>
                <c:pt idx="85">
                  <c:v>39873</c:v>
                </c:pt>
                <c:pt idx="86">
                  <c:v>39904</c:v>
                </c:pt>
                <c:pt idx="87">
                  <c:v>39934</c:v>
                </c:pt>
                <c:pt idx="88">
                  <c:v>39965</c:v>
                </c:pt>
                <c:pt idx="89">
                  <c:v>39995</c:v>
                </c:pt>
                <c:pt idx="90">
                  <c:v>40026</c:v>
                </c:pt>
                <c:pt idx="91">
                  <c:v>40057</c:v>
                </c:pt>
                <c:pt idx="92">
                  <c:v>40087</c:v>
                </c:pt>
                <c:pt idx="93">
                  <c:v>40118</c:v>
                </c:pt>
                <c:pt idx="94">
                  <c:v>40148</c:v>
                </c:pt>
                <c:pt idx="95">
                  <c:v>40179</c:v>
                </c:pt>
                <c:pt idx="96">
                  <c:v>40210</c:v>
                </c:pt>
                <c:pt idx="97">
                  <c:v>40238</c:v>
                </c:pt>
                <c:pt idx="98">
                  <c:v>40269</c:v>
                </c:pt>
                <c:pt idx="99">
                  <c:v>40299</c:v>
                </c:pt>
                <c:pt idx="100">
                  <c:v>40330</c:v>
                </c:pt>
                <c:pt idx="101">
                  <c:v>40360</c:v>
                </c:pt>
                <c:pt idx="102">
                  <c:v>40391</c:v>
                </c:pt>
                <c:pt idx="103">
                  <c:v>40422</c:v>
                </c:pt>
                <c:pt idx="104">
                  <c:v>40452</c:v>
                </c:pt>
                <c:pt idx="105">
                  <c:v>40483</c:v>
                </c:pt>
                <c:pt idx="106">
                  <c:v>40513</c:v>
                </c:pt>
                <c:pt idx="107">
                  <c:v>40544</c:v>
                </c:pt>
                <c:pt idx="108">
                  <c:v>40575</c:v>
                </c:pt>
                <c:pt idx="109">
                  <c:v>40603</c:v>
                </c:pt>
                <c:pt idx="110">
                  <c:v>40634</c:v>
                </c:pt>
                <c:pt idx="111">
                  <c:v>40664</c:v>
                </c:pt>
                <c:pt idx="112">
                  <c:v>40695</c:v>
                </c:pt>
                <c:pt idx="113">
                  <c:v>40725</c:v>
                </c:pt>
                <c:pt idx="114">
                  <c:v>40756</c:v>
                </c:pt>
                <c:pt idx="115">
                  <c:v>40787</c:v>
                </c:pt>
                <c:pt idx="116">
                  <c:v>40817</c:v>
                </c:pt>
                <c:pt idx="117">
                  <c:v>40848</c:v>
                </c:pt>
                <c:pt idx="118">
                  <c:v>40878</c:v>
                </c:pt>
                <c:pt idx="119">
                  <c:v>40909</c:v>
                </c:pt>
                <c:pt idx="120">
                  <c:v>40940</c:v>
                </c:pt>
                <c:pt idx="121">
                  <c:v>40969</c:v>
                </c:pt>
                <c:pt idx="122">
                  <c:v>41000</c:v>
                </c:pt>
                <c:pt idx="123">
                  <c:v>41030</c:v>
                </c:pt>
                <c:pt idx="124">
                  <c:v>41061</c:v>
                </c:pt>
                <c:pt idx="125">
                  <c:v>41091</c:v>
                </c:pt>
                <c:pt idx="126">
                  <c:v>41122</c:v>
                </c:pt>
                <c:pt idx="127">
                  <c:v>41153</c:v>
                </c:pt>
                <c:pt idx="128">
                  <c:v>41183</c:v>
                </c:pt>
                <c:pt idx="129">
                  <c:v>41214</c:v>
                </c:pt>
                <c:pt idx="130">
                  <c:v>41244</c:v>
                </c:pt>
                <c:pt idx="131">
                  <c:v>41275</c:v>
                </c:pt>
                <c:pt idx="132">
                  <c:v>41306</c:v>
                </c:pt>
                <c:pt idx="133">
                  <c:v>41334</c:v>
                </c:pt>
                <c:pt idx="134">
                  <c:v>41365</c:v>
                </c:pt>
                <c:pt idx="135">
                  <c:v>41395</c:v>
                </c:pt>
                <c:pt idx="136">
                  <c:v>41426</c:v>
                </c:pt>
                <c:pt idx="137">
                  <c:v>41456</c:v>
                </c:pt>
                <c:pt idx="138">
                  <c:v>41487</c:v>
                </c:pt>
                <c:pt idx="139">
                  <c:v>41518</c:v>
                </c:pt>
                <c:pt idx="140">
                  <c:v>41548</c:v>
                </c:pt>
                <c:pt idx="141">
                  <c:v>41579</c:v>
                </c:pt>
                <c:pt idx="142">
                  <c:v>41609</c:v>
                </c:pt>
                <c:pt idx="143">
                  <c:v>41640</c:v>
                </c:pt>
                <c:pt idx="144">
                  <c:v>41671</c:v>
                </c:pt>
                <c:pt idx="145">
                  <c:v>41699</c:v>
                </c:pt>
                <c:pt idx="146">
                  <c:v>41730</c:v>
                </c:pt>
                <c:pt idx="147">
                  <c:v>41760</c:v>
                </c:pt>
                <c:pt idx="148">
                  <c:v>41791</c:v>
                </c:pt>
                <c:pt idx="149">
                  <c:v>41821</c:v>
                </c:pt>
                <c:pt idx="150">
                  <c:v>41852</c:v>
                </c:pt>
                <c:pt idx="151">
                  <c:v>41883</c:v>
                </c:pt>
                <c:pt idx="152">
                  <c:v>41913</c:v>
                </c:pt>
                <c:pt idx="153">
                  <c:v>41944</c:v>
                </c:pt>
                <c:pt idx="154">
                  <c:v>41974</c:v>
                </c:pt>
                <c:pt idx="155">
                  <c:v>42005</c:v>
                </c:pt>
                <c:pt idx="156">
                  <c:v>42036</c:v>
                </c:pt>
                <c:pt idx="157">
                  <c:v>42064</c:v>
                </c:pt>
                <c:pt idx="158">
                  <c:v>42095</c:v>
                </c:pt>
                <c:pt idx="159">
                  <c:v>42125</c:v>
                </c:pt>
                <c:pt idx="160">
                  <c:v>42156</c:v>
                </c:pt>
                <c:pt idx="161">
                  <c:v>42186</c:v>
                </c:pt>
                <c:pt idx="162">
                  <c:v>42217</c:v>
                </c:pt>
                <c:pt idx="163">
                  <c:v>42248</c:v>
                </c:pt>
                <c:pt idx="164">
                  <c:v>42278</c:v>
                </c:pt>
                <c:pt idx="165">
                  <c:v>42309</c:v>
                </c:pt>
                <c:pt idx="166">
                  <c:v>42339</c:v>
                </c:pt>
                <c:pt idx="167">
                  <c:v>42370</c:v>
                </c:pt>
                <c:pt idx="168">
                  <c:v>42401</c:v>
                </c:pt>
                <c:pt idx="169">
                  <c:v>42430</c:v>
                </c:pt>
                <c:pt idx="170">
                  <c:v>42461</c:v>
                </c:pt>
                <c:pt idx="171">
                  <c:v>42491</c:v>
                </c:pt>
                <c:pt idx="172">
                  <c:v>42522</c:v>
                </c:pt>
                <c:pt idx="173">
                  <c:v>42552</c:v>
                </c:pt>
                <c:pt idx="174">
                  <c:v>42583</c:v>
                </c:pt>
                <c:pt idx="175">
                  <c:v>42614</c:v>
                </c:pt>
                <c:pt idx="176">
                  <c:v>42644</c:v>
                </c:pt>
                <c:pt idx="177">
                  <c:v>42675</c:v>
                </c:pt>
                <c:pt idx="178">
                  <c:v>42705</c:v>
                </c:pt>
                <c:pt idx="179">
                  <c:v>42736</c:v>
                </c:pt>
                <c:pt idx="180">
                  <c:v>42767</c:v>
                </c:pt>
                <c:pt idx="181">
                  <c:v>42795</c:v>
                </c:pt>
                <c:pt idx="182">
                  <c:v>42826</c:v>
                </c:pt>
                <c:pt idx="183">
                  <c:v>42856</c:v>
                </c:pt>
                <c:pt idx="184">
                  <c:v>42887</c:v>
                </c:pt>
                <c:pt idx="185">
                  <c:v>42917</c:v>
                </c:pt>
                <c:pt idx="186">
                  <c:v>42948</c:v>
                </c:pt>
                <c:pt idx="187">
                  <c:v>42979</c:v>
                </c:pt>
                <c:pt idx="188">
                  <c:v>43009</c:v>
                </c:pt>
                <c:pt idx="189">
                  <c:v>43040</c:v>
                </c:pt>
                <c:pt idx="190">
                  <c:v>43070</c:v>
                </c:pt>
                <c:pt idx="191">
                  <c:v>43101</c:v>
                </c:pt>
                <c:pt idx="192">
                  <c:v>43132</c:v>
                </c:pt>
                <c:pt idx="193">
                  <c:v>43160</c:v>
                </c:pt>
                <c:pt idx="194">
                  <c:v>43191</c:v>
                </c:pt>
                <c:pt idx="195">
                  <c:v>43221</c:v>
                </c:pt>
                <c:pt idx="196">
                  <c:v>43252</c:v>
                </c:pt>
                <c:pt idx="197">
                  <c:v>43282</c:v>
                </c:pt>
                <c:pt idx="198">
                  <c:v>43313</c:v>
                </c:pt>
                <c:pt idx="199">
                  <c:v>43344</c:v>
                </c:pt>
                <c:pt idx="200">
                  <c:v>43374</c:v>
                </c:pt>
                <c:pt idx="201">
                  <c:v>43405</c:v>
                </c:pt>
                <c:pt idx="202">
                  <c:v>43435</c:v>
                </c:pt>
                <c:pt idx="203">
                  <c:v>43466</c:v>
                </c:pt>
                <c:pt idx="204">
                  <c:v>43497</c:v>
                </c:pt>
                <c:pt idx="205">
                  <c:v>43525</c:v>
                </c:pt>
                <c:pt idx="206">
                  <c:v>43556</c:v>
                </c:pt>
                <c:pt idx="207">
                  <c:v>43586</c:v>
                </c:pt>
                <c:pt idx="208">
                  <c:v>43617</c:v>
                </c:pt>
                <c:pt idx="209">
                  <c:v>43647</c:v>
                </c:pt>
                <c:pt idx="210">
                  <c:v>43678</c:v>
                </c:pt>
                <c:pt idx="211">
                  <c:v>43709</c:v>
                </c:pt>
                <c:pt idx="212">
                  <c:v>43739</c:v>
                </c:pt>
                <c:pt idx="213">
                  <c:v>43770</c:v>
                </c:pt>
                <c:pt idx="214">
                  <c:v>43800</c:v>
                </c:pt>
                <c:pt idx="215">
                  <c:v>43831</c:v>
                </c:pt>
                <c:pt idx="216">
                  <c:v>43862</c:v>
                </c:pt>
                <c:pt idx="217">
                  <c:v>43891</c:v>
                </c:pt>
                <c:pt idx="218">
                  <c:v>43922</c:v>
                </c:pt>
                <c:pt idx="219">
                  <c:v>43952</c:v>
                </c:pt>
                <c:pt idx="220">
                  <c:v>43983</c:v>
                </c:pt>
                <c:pt idx="221">
                  <c:v>44013</c:v>
                </c:pt>
                <c:pt idx="222">
                  <c:v>44044</c:v>
                </c:pt>
                <c:pt idx="223">
                  <c:v>44075</c:v>
                </c:pt>
                <c:pt idx="224">
                  <c:v>44105</c:v>
                </c:pt>
                <c:pt idx="225">
                  <c:v>44136</c:v>
                </c:pt>
                <c:pt idx="226">
                  <c:v>44166</c:v>
                </c:pt>
                <c:pt idx="227">
                  <c:v>44197</c:v>
                </c:pt>
                <c:pt idx="228">
                  <c:v>44228</c:v>
                </c:pt>
                <c:pt idx="229">
                  <c:v>44256</c:v>
                </c:pt>
                <c:pt idx="230">
                  <c:v>44287</c:v>
                </c:pt>
                <c:pt idx="231">
                  <c:v>44317</c:v>
                </c:pt>
                <c:pt idx="232">
                  <c:v>44348</c:v>
                </c:pt>
                <c:pt idx="233">
                  <c:v>44378</c:v>
                </c:pt>
                <c:pt idx="234">
                  <c:v>44409</c:v>
                </c:pt>
                <c:pt idx="235">
                  <c:v>44440</c:v>
                </c:pt>
                <c:pt idx="236">
                  <c:v>44470</c:v>
                </c:pt>
                <c:pt idx="237">
                  <c:v>44501</c:v>
                </c:pt>
                <c:pt idx="238">
                  <c:v>44531</c:v>
                </c:pt>
              </c:numCache>
            </c:numRef>
          </c:cat>
          <c:val>
            <c:numRef>
              <c:f>DIFF!$G$10:$G$248</c:f>
              <c:numCache>
                <c:formatCode>0.0</c:formatCode>
                <c:ptCount val="239"/>
                <c:pt idx="0">
                  <c:v>69.7</c:v>
                </c:pt>
                <c:pt idx="1">
                  <c:v>77.400000000000006</c:v>
                </c:pt>
                <c:pt idx="2">
                  <c:v>79.599999999999994</c:v>
                </c:pt>
                <c:pt idx="3">
                  <c:v>80.400000000000006</c:v>
                </c:pt>
                <c:pt idx="4">
                  <c:v>77.5</c:v>
                </c:pt>
                <c:pt idx="5">
                  <c:v>83.3</c:v>
                </c:pt>
                <c:pt idx="6">
                  <c:v>83.6</c:v>
                </c:pt>
                <c:pt idx="7">
                  <c:v>82.1</c:v>
                </c:pt>
                <c:pt idx="8">
                  <c:v>89.2</c:v>
                </c:pt>
                <c:pt idx="9">
                  <c:v>83.9</c:v>
                </c:pt>
                <c:pt idx="10">
                  <c:v>74.599999999999994</c:v>
                </c:pt>
                <c:pt idx="11">
                  <c:v>74</c:v>
                </c:pt>
                <c:pt idx="12">
                  <c:v>71.8</c:v>
                </c:pt>
                <c:pt idx="13">
                  <c:v>77.400000000000006</c:v>
                </c:pt>
                <c:pt idx="14">
                  <c:v>76.5</c:v>
                </c:pt>
                <c:pt idx="15">
                  <c:v>79.7</c:v>
                </c:pt>
                <c:pt idx="16">
                  <c:v>76.3</c:v>
                </c:pt>
                <c:pt idx="17">
                  <c:v>81.3</c:v>
                </c:pt>
                <c:pt idx="18">
                  <c:v>81.599999999999994</c:v>
                </c:pt>
                <c:pt idx="19">
                  <c:v>85.7</c:v>
                </c:pt>
                <c:pt idx="20">
                  <c:v>90</c:v>
                </c:pt>
                <c:pt idx="21">
                  <c:v>84.6</c:v>
                </c:pt>
                <c:pt idx="22">
                  <c:v>77.900000000000006</c:v>
                </c:pt>
                <c:pt idx="23">
                  <c:v>76.8</c:v>
                </c:pt>
                <c:pt idx="24">
                  <c:v>74</c:v>
                </c:pt>
                <c:pt idx="25">
                  <c:v>86.9</c:v>
                </c:pt>
                <c:pt idx="26">
                  <c:v>82.2</c:v>
                </c:pt>
                <c:pt idx="27">
                  <c:v>86.3</c:v>
                </c:pt>
                <c:pt idx="28">
                  <c:v>86.1</c:v>
                </c:pt>
                <c:pt idx="29">
                  <c:v>90.1</c:v>
                </c:pt>
                <c:pt idx="30">
                  <c:v>92.1</c:v>
                </c:pt>
                <c:pt idx="31">
                  <c:v>92.1</c:v>
                </c:pt>
                <c:pt idx="32">
                  <c:v>93.5</c:v>
                </c:pt>
                <c:pt idx="33">
                  <c:v>91.8</c:v>
                </c:pt>
                <c:pt idx="34">
                  <c:v>84.7</c:v>
                </c:pt>
                <c:pt idx="35">
                  <c:v>81</c:v>
                </c:pt>
                <c:pt idx="36">
                  <c:v>76.400000000000006</c:v>
                </c:pt>
                <c:pt idx="37">
                  <c:v>88</c:v>
                </c:pt>
                <c:pt idx="38">
                  <c:v>87</c:v>
                </c:pt>
                <c:pt idx="39">
                  <c:v>91.1</c:v>
                </c:pt>
                <c:pt idx="40">
                  <c:v>91.4</c:v>
                </c:pt>
                <c:pt idx="41">
                  <c:v>90.5</c:v>
                </c:pt>
                <c:pt idx="42">
                  <c:v>95.6</c:v>
                </c:pt>
                <c:pt idx="43">
                  <c:v>92</c:v>
                </c:pt>
                <c:pt idx="44">
                  <c:v>93.7</c:v>
                </c:pt>
                <c:pt idx="45">
                  <c:v>92.4</c:v>
                </c:pt>
                <c:pt idx="46">
                  <c:v>86.6</c:v>
                </c:pt>
                <c:pt idx="47">
                  <c:v>83.7</c:v>
                </c:pt>
                <c:pt idx="48">
                  <c:v>80.2</c:v>
                </c:pt>
                <c:pt idx="49">
                  <c:v>92.4</c:v>
                </c:pt>
                <c:pt idx="50">
                  <c:v>85.7</c:v>
                </c:pt>
                <c:pt idx="51">
                  <c:v>95.4</c:v>
                </c:pt>
                <c:pt idx="52">
                  <c:v>91.1</c:v>
                </c:pt>
                <c:pt idx="53">
                  <c:v>93.8</c:v>
                </c:pt>
                <c:pt idx="54">
                  <c:v>98.6</c:v>
                </c:pt>
                <c:pt idx="55">
                  <c:v>93.2</c:v>
                </c:pt>
                <c:pt idx="56">
                  <c:v>97.5</c:v>
                </c:pt>
                <c:pt idx="57">
                  <c:v>95.9</c:v>
                </c:pt>
                <c:pt idx="58">
                  <c:v>87</c:v>
                </c:pt>
                <c:pt idx="59">
                  <c:v>87</c:v>
                </c:pt>
                <c:pt idx="60">
                  <c:v>82.6</c:v>
                </c:pt>
                <c:pt idx="61">
                  <c:v>96.4</c:v>
                </c:pt>
                <c:pt idx="62">
                  <c:v>90.6</c:v>
                </c:pt>
                <c:pt idx="63">
                  <c:v>99.9</c:v>
                </c:pt>
                <c:pt idx="64">
                  <c:v>96.9</c:v>
                </c:pt>
                <c:pt idx="65">
                  <c:v>99.8</c:v>
                </c:pt>
                <c:pt idx="66">
                  <c:v>104.9</c:v>
                </c:pt>
                <c:pt idx="67">
                  <c:v>98.4</c:v>
                </c:pt>
                <c:pt idx="68">
                  <c:v>107.8</c:v>
                </c:pt>
                <c:pt idx="69">
                  <c:v>102.4</c:v>
                </c:pt>
                <c:pt idx="70">
                  <c:v>92.6</c:v>
                </c:pt>
                <c:pt idx="71">
                  <c:v>94.8</c:v>
                </c:pt>
                <c:pt idx="72">
                  <c:v>91.1</c:v>
                </c:pt>
                <c:pt idx="73">
                  <c:v>97.7</c:v>
                </c:pt>
                <c:pt idx="74">
                  <c:v>99.2</c:v>
                </c:pt>
                <c:pt idx="75">
                  <c:v>102.5</c:v>
                </c:pt>
                <c:pt idx="76">
                  <c:v>103.3</c:v>
                </c:pt>
                <c:pt idx="77">
                  <c:v>108.5</c:v>
                </c:pt>
                <c:pt idx="78">
                  <c:v>106.9</c:v>
                </c:pt>
                <c:pt idx="79">
                  <c:v>107.3</c:v>
                </c:pt>
                <c:pt idx="80">
                  <c:v>108.4</c:v>
                </c:pt>
                <c:pt idx="81">
                  <c:v>96.2</c:v>
                </c:pt>
                <c:pt idx="82">
                  <c:v>79.099999999999994</c:v>
                </c:pt>
                <c:pt idx="83">
                  <c:v>78.7</c:v>
                </c:pt>
                <c:pt idx="84">
                  <c:v>76.099999999999994</c:v>
                </c:pt>
                <c:pt idx="85">
                  <c:v>88.6</c:v>
                </c:pt>
                <c:pt idx="86">
                  <c:v>85.2</c:v>
                </c:pt>
                <c:pt idx="87">
                  <c:v>91.3</c:v>
                </c:pt>
                <c:pt idx="88">
                  <c:v>92.2</c:v>
                </c:pt>
                <c:pt idx="89">
                  <c:v>97.7</c:v>
                </c:pt>
                <c:pt idx="90">
                  <c:v>99.6</c:v>
                </c:pt>
                <c:pt idx="91">
                  <c:v>99.4</c:v>
                </c:pt>
                <c:pt idx="92">
                  <c:v>105.6</c:v>
                </c:pt>
                <c:pt idx="93">
                  <c:v>101.4</c:v>
                </c:pt>
                <c:pt idx="94">
                  <c:v>94.1</c:v>
                </c:pt>
                <c:pt idx="95">
                  <c:v>91.2</c:v>
                </c:pt>
                <c:pt idx="96">
                  <c:v>89</c:v>
                </c:pt>
                <c:pt idx="97">
                  <c:v>105.1</c:v>
                </c:pt>
                <c:pt idx="98">
                  <c:v>99.3</c:v>
                </c:pt>
                <c:pt idx="99">
                  <c:v>104.3</c:v>
                </c:pt>
                <c:pt idx="100">
                  <c:v>102.5</c:v>
                </c:pt>
                <c:pt idx="101">
                  <c:v>106.9</c:v>
                </c:pt>
                <c:pt idx="102">
                  <c:v>108.1</c:v>
                </c:pt>
                <c:pt idx="103">
                  <c:v>105.8</c:v>
                </c:pt>
                <c:pt idx="104">
                  <c:v>107.7</c:v>
                </c:pt>
                <c:pt idx="105">
                  <c:v>106.8</c:v>
                </c:pt>
                <c:pt idx="106">
                  <c:v>96.6</c:v>
                </c:pt>
                <c:pt idx="107">
                  <c:v>93.2</c:v>
                </c:pt>
                <c:pt idx="108">
                  <c:v>95.4</c:v>
                </c:pt>
                <c:pt idx="109">
                  <c:v>104.4</c:v>
                </c:pt>
                <c:pt idx="110">
                  <c:v>97.5</c:v>
                </c:pt>
                <c:pt idx="111">
                  <c:v>107.1</c:v>
                </c:pt>
                <c:pt idx="112">
                  <c:v>102.8</c:v>
                </c:pt>
                <c:pt idx="113">
                  <c:v>106.1</c:v>
                </c:pt>
                <c:pt idx="114">
                  <c:v>110.8</c:v>
                </c:pt>
                <c:pt idx="115">
                  <c:v>104.8</c:v>
                </c:pt>
                <c:pt idx="116">
                  <c:v>106.3</c:v>
                </c:pt>
                <c:pt idx="117">
                  <c:v>104.2</c:v>
                </c:pt>
                <c:pt idx="118">
                  <c:v>95.7</c:v>
                </c:pt>
                <c:pt idx="119">
                  <c:v>88.7</c:v>
                </c:pt>
                <c:pt idx="120">
                  <c:v>89.8</c:v>
                </c:pt>
                <c:pt idx="121">
                  <c:v>99.7</c:v>
                </c:pt>
                <c:pt idx="122">
                  <c:v>92.8</c:v>
                </c:pt>
                <c:pt idx="123">
                  <c:v>102.5</c:v>
                </c:pt>
                <c:pt idx="124">
                  <c:v>98.3</c:v>
                </c:pt>
                <c:pt idx="125">
                  <c:v>104.5</c:v>
                </c:pt>
                <c:pt idx="126">
                  <c:v>111.5</c:v>
                </c:pt>
                <c:pt idx="127">
                  <c:v>103.4</c:v>
                </c:pt>
                <c:pt idx="128">
                  <c:v>111.8</c:v>
                </c:pt>
                <c:pt idx="129">
                  <c:v>104.8</c:v>
                </c:pt>
                <c:pt idx="130">
                  <c:v>92.2</c:v>
                </c:pt>
                <c:pt idx="131">
                  <c:v>94.5</c:v>
                </c:pt>
                <c:pt idx="132">
                  <c:v>88.1</c:v>
                </c:pt>
                <c:pt idx="133">
                  <c:v>97.7</c:v>
                </c:pt>
                <c:pt idx="134">
                  <c:v>101.8</c:v>
                </c:pt>
                <c:pt idx="135">
                  <c:v>105</c:v>
                </c:pt>
                <c:pt idx="136">
                  <c:v>101.7</c:v>
                </c:pt>
                <c:pt idx="137">
                  <c:v>108</c:v>
                </c:pt>
                <c:pt idx="138">
                  <c:v>112</c:v>
                </c:pt>
                <c:pt idx="139">
                  <c:v>107.3</c:v>
                </c:pt>
                <c:pt idx="140">
                  <c:v>112.6</c:v>
                </c:pt>
                <c:pt idx="141">
                  <c:v>106.1</c:v>
                </c:pt>
                <c:pt idx="142">
                  <c:v>90.1</c:v>
                </c:pt>
                <c:pt idx="143">
                  <c:v>92.6</c:v>
                </c:pt>
                <c:pt idx="144">
                  <c:v>92.3</c:v>
                </c:pt>
                <c:pt idx="145">
                  <c:v>97.3</c:v>
                </c:pt>
                <c:pt idx="146">
                  <c:v>96</c:v>
                </c:pt>
                <c:pt idx="147">
                  <c:v>101.7</c:v>
                </c:pt>
                <c:pt idx="148">
                  <c:v>94.9</c:v>
                </c:pt>
                <c:pt idx="149">
                  <c:v>104.4</c:v>
                </c:pt>
                <c:pt idx="150">
                  <c:v>106.3</c:v>
                </c:pt>
                <c:pt idx="151">
                  <c:v>105.6</c:v>
                </c:pt>
                <c:pt idx="152">
                  <c:v>109.3</c:v>
                </c:pt>
                <c:pt idx="153">
                  <c:v>99.8</c:v>
                </c:pt>
                <c:pt idx="154">
                  <c:v>87.7</c:v>
                </c:pt>
                <c:pt idx="155">
                  <c:v>88.1</c:v>
                </c:pt>
                <c:pt idx="156">
                  <c:v>83.7</c:v>
                </c:pt>
                <c:pt idx="157">
                  <c:v>94.3</c:v>
                </c:pt>
                <c:pt idx="158">
                  <c:v>88.8</c:v>
                </c:pt>
                <c:pt idx="159">
                  <c:v>93.1</c:v>
                </c:pt>
                <c:pt idx="160">
                  <c:v>92.5</c:v>
                </c:pt>
                <c:pt idx="161">
                  <c:v>95.5</c:v>
                </c:pt>
                <c:pt idx="162">
                  <c:v>97.6</c:v>
                </c:pt>
                <c:pt idx="163">
                  <c:v>94.3</c:v>
                </c:pt>
                <c:pt idx="164">
                  <c:v>97.2</c:v>
                </c:pt>
                <c:pt idx="165">
                  <c:v>87.6</c:v>
                </c:pt>
                <c:pt idx="166">
                  <c:v>77.2</c:v>
                </c:pt>
                <c:pt idx="167">
                  <c:v>76.3</c:v>
                </c:pt>
                <c:pt idx="168">
                  <c:v>75.8</c:v>
                </c:pt>
                <c:pt idx="169">
                  <c:v>83.7</c:v>
                </c:pt>
                <c:pt idx="170">
                  <c:v>83</c:v>
                </c:pt>
                <c:pt idx="171">
                  <c:v>86.3</c:v>
                </c:pt>
                <c:pt idx="172">
                  <c:v>87.7</c:v>
                </c:pt>
                <c:pt idx="173">
                  <c:v>89.6</c:v>
                </c:pt>
                <c:pt idx="174">
                  <c:v>93</c:v>
                </c:pt>
                <c:pt idx="175">
                  <c:v>90.7</c:v>
                </c:pt>
                <c:pt idx="176">
                  <c:v>90.2</c:v>
                </c:pt>
                <c:pt idx="177">
                  <c:v>86.5</c:v>
                </c:pt>
                <c:pt idx="178">
                  <c:v>77.2</c:v>
                </c:pt>
                <c:pt idx="179">
                  <c:v>77.900000000000006</c:v>
                </c:pt>
                <c:pt idx="180">
                  <c:v>75.900000000000006</c:v>
                </c:pt>
                <c:pt idx="181">
                  <c:v>85.4</c:v>
                </c:pt>
                <c:pt idx="182">
                  <c:v>79.3</c:v>
                </c:pt>
                <c:pt idx="183">
                  <c:v>90.1</c:v>
                </c:pt>
                <c:pt idx="184">
                  <c:v>88.4</c:v>
                </c:pt>
                <c:pt idx="185">
                  <c:v>92.1</c:v>
                </c:pt>
                <c:pt idx="186">
                  <c:v>96.7</c:v>
                </c:pt>
                <c:pt idx="187">
                  <c:v>93</c:v>
                </c:pt>
                <c:pt idx="188">
                  <c:v>95.1</c:v>
                </c:pt>
                <c:pt idx="189">
                  <c:v>90.6</c:v>
                </c:pt>
                <c:pt idx="190">
                  <c:v>81</c:v>
                </c:pt>
                <c:pt idx="191">
                  <c:v>82.3</c:v>
                </c:pt>
                <c:pt idx="192">
                  <c:v>77.3</c:v>
                </c:pt>
                <c:pt idx="193">
                  <c:v>86.2</c:v>
                </c:pt>
                <c:pt idx="194">
                  <c:v>86.5</c:v>
                </c:pt>
                <c:pt idx="195">
                  <c:v>84.4</c:v>
                </c:pt>
                <c:pt idx="196">
                  <c:v>91.1</c:v>
                </c:pt>
                <c:pt idx="197">
                  <c:v>95.8</c:v>
                </c:pt>
                <c:pt idx="198">
                  <c:v>98.2</c:v>
                </c:pt>
                <c:pt idx="199">
                  <c:v>90.7</c:v>
                </c:pt>
                <c:pt idx="200">
                  <c:v>95.8</c:v>
                </c:pt>
                <c:pt idx="201">
                  <c:v>89.5</c:v>
                </c:pt>
                <c:pt idx="202">
                  <c:v>78</c:v>
                </c:pt>
                <c:pt idx="203">
                  <c:v>80.7</c:v>
                </c:pt>
                <c:pt idx="204">
                  <c:v>79.099999999999994</c:v>
                </c:pt>
                <c:pt idx="205">
                  <c:v>81</c:v>
                </c:pt>
                <c:pt idx="206">
                  <c:v>83.3</c:v>
                </c:pt>
                <c:pt idx="207">
                  <c:v>91</c:v>
                </c:pt>
                <c:pt idx="208">
                  <c:v>85.8</c:v>
                </c:pt>
                <c:pt idx="209">
                  <c:v>93.4</c:v>
                </c:pt>
                <c:pt idx="210">
                  <c:v>96.2</c:v>
                </c:pt>
                <c:pt idx="211">
                  <c:v>91.8</c:v>
                </c:pt>
                <c:pt idx="212">
                  <c:v>97</c:v>
                </c:pt>
                <c:pt idx="213">
                  <c:v>88</c:v>
                </c:pt>
                <c:pt idx="214">
                  <c:v>76.900000000000006</c:v>
                </c:pt>
                <c:pt idx="215">
                  <c:v>80</c:v>
                </c:pt>
                <c:pt idx="216">
                  <c:v>78.900000000000006</c:v>
                </c:pt>
                <c:pt idx="217">
                  <c:v>77.900000000000006</c:v>
                </c:pt>
                <c:pt idx="218">
                  <c:v>60.3</c:v>
                </c:pt>
                <c:pt idx="219">
                  <c:v>71.2</c:v>
                </c:pt>
                <c:pt idx="220">
                  <c:v>78.400000000000006</c:v>
                </c:pt>
                <c:pt idx="221">
                  <c:v>91</c:v>
                </c:pt>
                <c:pt idx="222">
                  <c:v>93.9</c:v>
                </c:pt>
                <c:pt idx="223">
                  <c:v>95.4</c:v>
                </c:pt>
                <c:pt idx="224">
                  <c:v>97.3</c:v>
                </c:pt>
                <c:pt idx="225">
                  <c:v>90.2</c:v>
                </c:pt>
                <c:pt idx="226">
                  <c:v>83.3</c:v>
                </c:pt>
                <c:pt idx="227">
                  <c:v>81.900000000000006</c:v>
                </c:pt>
                <c:pt idx="228">
                  <c:v>79.099999999999994</c:v>
                </c:pt>
                <c:pt idx="229">
                  <c:v>86.1</c:v>
                </c:pt>
                <c:pt idx="230">
                  <c:v>81.3</c:v>
                </c:pt>
                <c:pt idx="231">
                  <c:v>88.4</c:v>
                </c:pt>
                <c:pt idx="232">
                  <c:v>87.9</c:v>
                </c:pt>
                <c:pt idx="233">
                  <c:v>92.2</c:v>
                </c:pt>
                <c:pt idx="234">
                  <c:v>93.4</c:v>
                </c:pt>
                <c:pt idx="235">
                  <c:v>91.5</c:v>
                </c:pt>
                <c:pt idx="236">
                  <c:v>89.7</c:v>
                </c:pt>
                <c:pt idx="237">
                  <c:v>86.3</c:v>
                </c:pt>
                <c:pt idx="238">
                  <c:v>79.2</c:v>
                </c:pt>
              </c:numCache>
            </c:numRef>
          </c:val>
          <c:smooth val="0"/>
          <c:extLst>
            <c:ext xmlns:c16="http://schemas.microsoft.com/office/drawing/2014/chart" uri="{C3380CC4-5D6E-409C-BE32-E72D297353CC}">
              <c16:uniqueId val="{00000000-4AFC-470E-8B11-8DCBC9AC7954}"/>
            </c:ext>
          </c:extLst>
        </c:ser>
        <c:ser>
          <c:idx val="1"/>
          <c:order val="1"/>
          <c:tx>
            <c:v>Difference</c:v>
          </c:tx>
          <c:spPr>
            <a:ln w="19050" cap="rnd">
              <a:solidFill>
                <a:schemeClr val="accent2"/>
              </a:solidFill>
              <a:round/>
            </a:ln>
            <a:effectLst/>
          </c:spPr>
          <c:marker>
            <c:symbol val="none"/>
          </c:marker>
          <c:cat>
            <c:numRef>
              <c:f>DIFF!$F$10:$F$248</c:f>
              <c:numCache>
                <c:formatCode>[$-416]mmm\-yy;@</c:formatCode>
                <c:ptCount val="239"/>
                <c:pt idx="0">
                  <c:v>37288</c:v>
                </c:pt>
                <c:pt idx="1">
                  <c:v>37316</c:v>
                </c:pt>
                <c:pt idx="2">
                  <c:v>37347</c:v>
                </c:pt>
                <c:pt idx="3">
                  <c:v>37377</c:v>
                </c:pt>
                <c:pt idx="4">
                  <c:v>37408</c:v>
                </c:pt>
                <c:pt idx="5">
                  <c:v>37438</c:v>
                </c:pt>
                <c:pt idx="6">
                  <c:v>37469</c:v>
                </c:pt>
                <c:pt idx="7">
                  <c:v>37500</c:v>
                </c:pt>
                <c:pt idx="8">
                  <c:v>37530</c:v>
                </c:pt>
                <c:pt idx="9">
                  <c:v>37561</c:v>
                </c:pt>
                <c:pt idx="10">
                  <c:v>37591</c:v>
                </c:pt>
                <c:pt idx="11">
                  <c:v>37622</c:v>
                </c:pt>
                <c:pt idx="12">
                  <c:v>37653</c:v>
                </c:pt>
                <c:pt idx="13">
                  <c:v>37681</c:v>
                </c:pt>
                <c:pt idx="14">
                  <c:v>37712</c:v>
                </c:pt>
                <c:pt idx="15">
                  <c:v>37742</c:v>
                </c:pt>
                <c:pt idx="16">
                  <c:v>37773</c:v>
                </c:pt>
                <c:pt idx="17">
                  <c:v>37803</c:v>
                </c:pt>
                <c:pt idx="18">
                  <c:v>37834</c:v>
                </c:pt>
                <c:pt idx="19">
                  <c:v>37865</c:v>
                </c:pt>
                <c:pt idx="20">
                  <c:v>37895</c:v>
                </c:pt>
                <c:pt idx="21">
                  <c:v>37926</c:v>
                </c:pt>
                <c:pt idx="22">
                  <c:v>37956</c:v>
                </c:pt>
                <c:pt idx="23">
                  <c:v>37987</c:v>
                </c:pt>
                <c:pt idx="24">
                  <c:v>38018</c:v>
                </c:pt>
                <c:pt idx="25">
                  <c:v>38047</c:v>
                </c:pt>
                <c:pt idx="26">
                  <c:v>38078</c:v>
                </c:pt>
                <c:pt idx="27">
                  <c:v>38108</c:v>
                </c:pt>
                <c:pt idx="28">
                  <c:v>38139</c:v>
                </c:pt>
                <c:pt idx="29">
                  <c:v>38169</c:v>
                </c:pt>
                <c:pt idx="30">
                  <c:v>38200</c:v>
                </c:pt>
                <c:pt idx="31">
                  <c:v>38231</c:v>
                </c:pt>
                <c:pt idx="32">
                  <c:v>38261</c:v>
                </c:pt>
                <c:pt idx="33">
                  <c:v>38292</c:v>
                </c:pt>
                <c:pt idx="34">
                  <c:v>38322</c:v>
                </c:pt>
                <c:pt idx="35">
                  <c:v>38353</c:v>
                </c:pt>
                <c:pt idx="36">
                  <c:v>38384</c:v>
                </c:pt>
                <c:pt idx="37">
                  <c:v>38412</c:v>
                </c:pt>
                <c:pt idx="38">
                  <c:v>38443</c:v>
                </c:pt>
                <c:pt idx="39">
                  <c:v>38473</c:v>
                </c:pt>
                <c:pt idx="40">
                  <c:v>38504</c:v>
                </c:pt>
                <c:pt idx="41">
                  <c:v>38534</c:v>
                </c:pt>
                <c:pt idx="42">
                  <c:v>38565</c:v>
                </c:pt>
                <c:pt idx="43">
                  <c:v>38596</c:v>
                </c:pt>
                <c:pt idx="44">
                  <c:v>38626</c:v>
                </c:pt>
                <c:pt idx="45">
                  <c:v>38657</c:v>
                </c:pt>
                <c:pt idx="46">
                  <c:v>38687</c:v>
                </c:pt>
                <c:pt idx="47">
                  <c:v>38718</c:v>
                </c:pt>
                <c:pt idx="48">
                  <c:v>38749</c:v>
                </c:pt>
                <c:pt idx="49">
                  <c:v>38777</c:v>
                </c:pt>
                <c:pt idx="50">
                  <c:v>38808</c:v>
                </c:pt>
                <c:pt idx="51">
                  <c:v>38838</c:v>
                </c:pt>
                <c:pt idx="52">
                  <c:v>38869</c:v>
                </c:pt>
                <c:pt idx="53">
                  <c:v>38899</c:v>
                </c:pt>
                <c:pt idx="54">
                  <c:v>38930</c:v>
                </c:pt>
                <c:pt idx="55">
                  <c:v>38961</c:v>
                </c:pt>
                <c:pt idx="56">
                  <c:v>38991</c:v>
                </c:pt>
                <c:pt idx="57">
                  <c:v>39022</c:v>
                </c:pt>
                <c:pt idx="58">
                  <c:v>39052</c:v>
                </c:pt>
                <c:pt idx="59">
                  <c:v>39083</c:v>
                </c:pt>
                <c:pt idx="60">
                  <c:v>39114</c:v>
                </c:pt>
                <c:pt idx="61">
                  <c:v>39142</c:v>
                </c:pt>
                <c:pt idx="62">
                  <c:v>39173</c:v>
                </c:pt>
                <c:pt idx="63">
                  <c:v>39203</c:v>
                </c:pt>
                <c:pt idx="64">
                  <c:v>39234</c:v>
                </c:pt>
                <c:pt idx="65">
                  <c:v>39264</c:v>
                </c:pt>
                <c:pt idx="66">
                  <c:v>39295</c:v>
                </c:pt>
                <c:pt idx="67">
                  <c:v>39326</c:v>
                </c:pt>
                <c:pt idx="68">
                  <c:v>39356</c:v>
                </c:pt>
                <c:pt idx="69">
                  <c:v>39387</c:v>
                </c:pt>
                <c:pt idx="70">
                  <c:v>39417</c:v>
                </c:pt>
                <c:pt idx="71">
                  <c:v>39448</c:v>
                </c:pt>
                <c:pt idx="72">
                  <c:v>39479</c:v>
                </c:pt>
                <c:pt idx="73">
                  <c:v>39508</c:v>
                </c:pt>
                <c:pt idx="74">
                  <c:v>39539</c:v>
                </c:pt>
                <c:pt idx="75">
                  <c:v>39569</c:v>
                </c:pt>
                <c:pt idx="76">
                  <c:v>39600</c:v>
                </c:pt>
                <c:pt idx="77">
                  <c:v>39630</c:v>
                </c:pt>
                <c:pt idx="78">
                  <c:v>39661</c:v>
                </c:pt>
                <c:pt idx="79">
                  <c:v>39692</c:v>
                </c:pt>
                <c:pt idx="80">
                  <c:v>39722</c:v>
                </c:pt>
                <c:pt idx="81">
                  <c:v>39753</c:v>
                </c:pt>
                <c:pt idx="82">
                  <c:v>39783</c:v>
                </c:pt>
                <c:pt idx="83">
                  <c:v>39814</c:v>
                </c:pt>
                <c:pt idx="84">
                  <c:v>39845</c:v>
                </c:pt>
                <c:pt idx="85">
                  <c:v>39873</c:v>
                </c:pt>
                <c:pt idx="86">
                  <c:v>39904</c:v>
                </c:pt>
                <c:pt idx="87">
                  <c:v>39934</c:v>
                </c:pt>
                <c:pt idx="88">
                  <c:v>39965</c:v>
                </c:pt>
                <c:pt idx="89">
                  <c:v>39995</c:v>
                </c:pt>
                <c:pt idx="90">
                  <c:v>40026</c:v>
                </c:pt>
                <c:pt idx="91">
                  <c:v>40057</c:v>
                </c:pt>
                <c:pt idx="92">
                  <c:v>40087</c:v>
                </c:pt>
                <c:pt idx="93">
                  <c:v>40118</c:v>
                </c:pt>
                <c:pt idx="94">
                  <c:v>40148</c:v>
                </c:pt>
                <c:pt idx="95">
                  <c:v>40179</c:v>
                </c:pt>
                <c:pt idx="96">
                  <c:v>40210</c:v>
                </c:pt>
                <c:pt idx="97">
                  <c:v>40238</c:v>
                </c:pt>
                <c:pt idx="98">
                  <c:v>40269</c:v>
                </c:pt>
                <c:pt idx="99">
                  <c:v>40299</c:v>
                </c:pt>
                <c:pt idx="100">
                  <c:v>40330</c:v>
                </c:pt>
                <c:pt idx="101">
                  <c:v>40360</c:v>
                </c:pt>
                <c:pt idx="102">
                  <c:v>40391</c:v>
                </c:pt>
                <c:pt idx="103">
                  <c:v>40422</c:v>
                </c:pt>
                <c:pt idx="104">
                  <c:v>40452</c:v>
                </c:pt>
                <c:pt idx="105">
                  <c:v>40483</c:v>
                </c:pt>
                <c:pt idx="106">
                  <c:v>40513</c:v>
                </c:pt>
                <c:pt idx="107">
                  <c:v>40544</c:v>
                </c:pt>
                <c:pt idx="108">
                  <c:v>40575</c:v>
                </c:pt>
                <c:pt idx="109">
                  <c:v>40603</c:v>
                </c:pt>
                <c:pt idx="110">
                  <c:v>40634</c:v>
                </c:pt>
                <c:pt idx="111">
                  <c:v>40664</c:v>
                </c:pt>
                <c:pt idx="112">
                  <c:v>40695</c:v>
                </c:pt>
                <c:pt idx="113">
                  <c:v>40725</c:v>
                </c:pt>
                <c:pt idx="114">
                  <c:v>40756</c:v>
                </c:pt>
                <c:pt idx="115">
                  <c:v>40787</c:v>
                </c:pt>
                <c:pt idx="116">
                  <c:v>40817</c:v>
                </c:pt>
                <c:pt idx="117">
                  <c:v>40848</c:v>
                </c:pt>
                <c:pt idx="118">
                  <c:v>40878</c:v>
                </c:pt>
                <c:pt idx="119">
                  <c:v>40909</c:v>
                </c:pt>
                <c:pt idx="120">
                  <c:v>40940</c:v>
                </c:pt>
                <c:pt idx="121">
                  <c:v>40969</c:v>
                </c:pt>
                <c:pt idx="122">
                  <c:v>41000</c:v>
                </c:pt>
                <c:pt idx="123">
                  <c:v>41030</c:v>
                </c:pt>
                <c:pt idx="124">
                  <c:v>41061</c:v>
                </c:pt>
                <c:pt idx="125">
                  <c:v>41091</c:v>
                </c:pt>
                <c:pt idx="126">
                  <c:v>41122</c:v>
                </c:pt>
                <c:pt idx="127">
                  <c:v>41153</c:v>
                </c:pt>
                <c:pt idx="128">
                  <c:v>41183</c:v>
                </c:pt>
                <c:pt idx="129">
                  <c:v>41214</c:v>
                </c:pt>
                <c:pt idx="130">
                  <c:v>41244</c:v>
                </c:pt>
                <c:pt idx="131">
                  <c:v>41275</c:v>
                </c:pt>
                <c:pt idx="132">
                  <c:v>41306</c:v>
                </c:pt>
                <c:pt idx="133">
                  <c:v>41334</c:v>
                </c:pt>
                <c:pt idx="134">
                  <c:v>41365</c:v>
                </c:pt>
                <c:pt idx="135">
                  <c:v>41395</c:v>
                </c:pt>
                <c:pt idx="136">
                  <c:v>41426</c:v>
                </c:pt>
                <c:pt idx="137">
                  <c:v>41456</c:v>
                </c:pt>
                <c:pt idx="138">
                  <c:v>41487</c:v>
                </c:pt>
                <c:pt idx="139">
                  <c:v>41518</c:v>
                </c:pt>
                <c:pt idx="140">
                  <c:v>41548</c:v>
                </c:pt>
                <c:pt idx="141">
                  <c:v>41579</c:v>
                </c:pt>
                <c:pt idx="142">
                  <c:v>41609</c:v>
                </c:pt>
                <c:pt idx="143">
                  <c:v>41640</c:v>
                </c:pt>
                <c:pt idx="144">
                  <c:v>41671</c:v>
                </c:pt>
                <c:pt idx="145">
                  <c:v>41699</c:v>
                </c:pt>
                <c:pt idx="146">
                  <c:v>41730</c:v>
                </c:pt>
                <c:pt idx="147">
                  <c:v>41760</c:v>
                </c:pt>
                <c:pt idx="148">
                  <c:v>41791</c:v>
                </c:pt>
                <c:pt idx="149">
                  <c:v>41821</c:v>
                </c:pt>
                <c:pt idx="150">
                  <c:v>41852</c:v>
                </c:pt>
                <c:pt idx="151">
                  <c:v>41883</c:v>
                </c:pt>
                <c:pt idx="152">
                  <c:v>41913</c:v>
                </c:pt>
                <c:pt idx="153">
                  <c:v>41944</c:v>
                </c:pt>
                <c:pt idx="154">
                  <c:v>41974</c:v>
                </c:pt>
                <c:pt idx="155">
                  <c:v>42005</c:v>
                </c:pt>
                <c:pt idx="156">
                  <c:v>42036</c:v>
                </c:pt>
                <c:pt idx="157">
                  <c:v>42064</c:v>
                </c:pt>
                <c:pt idx="158">
                  <c:v>42095</c:v>
                </c:pt>
                <c:pt idx="159">
                  <c:v>42125</c:v>
                </c:pt>
                <c:pt idx="160">
                  <c:v>42156</c:v>
                </c:pt>
                <c:pt idx="161">
                  <c:v>42186</c:v>
                </c:pt>
                <c:pt idx="162">
                  <c:v>42217</c:v>
                </c:pt>
                <c:pt idx="163">
                  <c:v>42248</c:v>
                </c:pt>
                <c:pt idx="164">
                  <c:v>42278</c:v>
                </c:pt>
                <c:pt idx="165">
                  <c:v>42309</c:v>
                </c:pt>
                <c:pt idx="166">
                  <c:v>42339</c:v>
                </c:pt>
                <c:pt idx="167">
                  <c:v>42370</c:v>
                </c:pt>
                <c:pt idx="168">
                  <c:v>42401</c:v>
                </c:pt>
                <c:pt idx="169">
                  <c:v>42430</c:v>
                </c:pt>
                <c:pt idx="170">
                  <c:v>42461</c:v>
                </c:pt>
                <c:pt idx="171">
                  <c:v>42491</c:v>
                </c:pt>
                <c:pt idx="172">
                  <c:v>42522</c:v>
                </c:pt>
                <c:pt idx="173">
                  <c:v>42552</c:v>
                </c:pt>
                <c:pt idx="174">
                  <c:v>42583</c:v>
                </c:pt>
                <c:pt idx="175">
                  <c:v>42614</c:v>
                </c:pt>
                <c:pt idx="176">
                  <c:v>42644</c:v>
                </c:pt>
                <c:pt idx="177">
                  <c:v>42675</c:v>
                </c:pt>
                <c:pt idx="178">
                  <c:v>42705</c:v>
                </c:pt>
                <c:pt idx="179">
                  <c:v>42736</c:v>
                </c:pt>
                <c:pt idx="180">
                  <c:v>42767</c:v>
                </c:pt>
                <c:pt idx="181">
                  <c:v>42795</c:v>
                </c:pt>
                <c:pt idx="182">
                  <c:v>42826</c:v>
                </c:pt>
                <c:pt idx="183">
                  <c:v>42856</c:v>
                </c:pt>
                <c:pt idx="184">
                  <c:v>42887</c:v>
                </c:pt>
                <c:pt idx="185">
                  <c:v>42917</c:v>
                </c:pt>
                <c:pt idx="186">
                  <c:v>42948</c:v>
                </c:pt>
                <c:pt idx="187">
                  <c:v>42979</c:v>
                </c:pt>
                <c:pt idx="188">
                  <c:v>43009</c:v>
                </c:pt>
                <c:pt idx="189">
                  <c:v>43040</c:v>
                </c:pt>
                <c:pt idx="190">
                  <c:v>43070</c:v>
                </c:pt>
                <c:pt idx="191">
                  <c:v>43101</c:v>
                </c:pt>
                <c:pt idx="192">
                  <c:v>43132</c:v>
                </c:pt>
                <c:pt idx="193">
                  <c:v>43160</c:v>
                </c:pt>
                <c:pt idx="194">
                  <c:v>43191</c:v>
                </c:pt>
                <c:pt idx="195">
                  <c:v>43221</c:v>
                </c:pt>
                <c:pt idx="196">
                  <c:v>43252</c:v>
                </c:pt>
                <c:pt idx="197">
                  <c:v>43282</c:v>
                </c:pt>
                <c:pt idx="198">
                  <c:v>43313</c:v>
                </c:pt>
                <c:pt idx="199">
                  <c:v>43344</c:v>
                </c:pt>
                <c:pt idx="200">
                  <c:v>43374</c:v>
                </c:pt>
                <c:pt idx="201">
                  <c:v>43405</c:v>
                </c:pt>
                <c:pt idx="202">
                  <c:v>43435</c:v>
                </c:pt>
                <c:pt idx="203">
                  <c:v>43466</c:v>
                </c:pt>
                <c:pt idx="204">
                  <c:v>43497</c:v>
                </c:pt>
                <c:pt idx="205">
                  <c:v>43525</c:v>
                </c:pt>
                <c:pt idx="206">
                  <c:v>43556</c:v>
                </c:pt>
                <c:pt idx="207">
                  <c:v>43586</c:v>
                </c:pt>
                <c:pt idx="208">
                  <c:v>43617</c:v>
                </c:pt>
                <c:pt idx="209">
                  <c:v>43647</c:v>
                </c:pt>
                <c:pt idx="210">
                  <c:v>43678</c:v>
                </c:pt>
                <c:pt idx="211">
                  <c:v>43709</c:v>
                </c:pt>
                <c:pt idx="212">
                  <c:v>43739</c:v>
                </c:pt>
                <c:pt idx="213">
                  <c:v>43770</c:v>
                </c:pt>
                <c:pt idx="214">
                  <c:v>43800</c:v>
                </c:pt>
                <c:pt idx="215">
                  <c:v>43831</c:v>
                </c:pt>
                <c:pt idx="216">
                  <c:v>43862</c:v>
                </c:pt>
                <c:pt idx="217">
                  <c:v>43891</c:v>
                </c:pt>
                <c:pt idx="218">
                  <c:v>43922</c:v>
                </c:pt>
                <c:pt idx="219">
                  <c:v>43952</c:v>
                </c:pt>
                <c:pt idx="220">
                  <c:v>43983</c:v>
                </c:pt>
                <c:pt idx="221">
                  <c:v>44013</c:v>
                </c:pt>
                <c:pt idx="222">
                  <c:v>44044</c:v>
                </c:pt>
                <c:pt idx="223">
                  <c:v>44075</c:v>
                </c:pt>
                <c:pt idx="224">
                  <c:v>44105</c:v>
                </c:pt>
                <c:pt idx="225">
                  <c:v>44136</c:v>
                </c:pt>
                <c:pt idx="226">
                  <c:v>44166</c:v>
                </c:pt>
                <c:pt idx="227">
                  <c:v>44197</c:v>
                </c:pt>
                <c:pt idx="228">
                  <c:v>44228</c:v>
                </c:pt>
                <c:pt idx="229">
                  <c:v>44256</c:v>
                </c:pt>
                <c:pt idx="230">
                  <c:v>44287</c:v>
                </c:pt>
                <c:pt idx="231">
                  <c:v>44317</c:v>
                </c:pt>
                <c:pt idx="232">
                  <c:v>44348</c:v>
                </c:pt>
                <c:pt idx="233">
                  <c:v>44378</c:v>
                </c:pt>
                <c:pt idx="234">
                  <c:v>44409</c:v>
                </c:pt>
                <c:pt idx="235">
                  <c:v>44440</c:v>
                </c:pt>
                <c:pt idx="236">
                  <c:v>44470</c:v>
                </c:pt>
                <c:pt idx="237">
                  <c:v>44501</c:v>
                </c:pt>
                <c:pt idx="238">
                  <c:v>44531</c:v>
                </c:pt>
              </c:numCache>
            </c:numRef>
          </c:cat>
          <c:val>
            <c:numRef>
              <c:f>DIFF!$K$10:$K$298</c:f>
              <c:numCache>
                <c:formatCode>0.0</c:formatCode>
                <c:ptCount val="289"/>
                <c:pt idx="0">
                  <c:v>7.7000000000000028</c:v>
                </c:pt>
                <c:pt idx="1">
                  <c:v>2.1999999999999886</c:v>
                </c:pt>
                <c:pt idx="2">
                  <c:v>0.80000000000001137</c:v>
                </c:pt>
                <c:pt idx="3">
                  <c:v>-2.9000000000000057</c:v>
                </c:pt>
                <c:pt idx="4">
                  <c:v>5.7999999999999972</c:v>
                </c:pt>
                <c:pt idx="5">
                  <c:v>0.29999999999999716</c:v>
                </c:pt>
                <c:pt idx="6">
                  <c:v>-1.5</c:v>
                </c:pt>
                <c:pt idx="7">
                  <c:v>7.1000000000000085</c:v>
                </c:pt>
                <c:pt idx="8">
                  <c:v>-5.2999999999999972</c:v>
                </c:pt>
                <c:pt idx="9">
                  <c:v>-9.3000000000000114</c:v>
                </c:pt>
                <c:pt idx="10">
                  <c:v>-0.59999999999999432</c:v>
                </c:pt>
                <c:pt idx="11">
                  <c:v>-2.2000000000000028</c:v>
                </c:pt>
                <c:pt idx="12">
                  <c:v>5.6000000000000085</c:v>
                </c:pt>
                <c:pt idx="13">
                  <c:v>-0.90000000000000568</c:v>
                </c:pt>
                <c:pt idx="14">
                  <c:v>3.2000000000000028</c:v>
                </c:pt>
                <c:pt idx="15">
                  <c:v>-3.4000000000000057</c:v>
                </c:pt>
                <c:pt idx="16">
                  <c:v>5</c:v>
                </c:pt>
                <c:pt idx="17">
                  <c:v>0.29999999999999716</c:v>
                </c:pt>
                <c:pt idx="18">
                  <c:v>4.1000000000000085</c:v>
                </c:pt>
                <c:pt idx="19">
                  <c:v>4.2999999999999972</c:v>
                </c:pt>
                <c:pt idx="20">
                  <c:v>-5.4000000000000057</c:v>
                </c:pt>
                <c:pt idx="21">
                  <c:v>-6.6999999999999886</c:v>
                </c:pt>
                <c:pt idx="22">
                  <c:v>-1.1000000000000085</c:v>
                </c:pt>
                <c:pt idx="23">
                  <c:v>-2.7999999999999972</c:v>
                </c:pt>
                <c:pt idx="24">
                  <c:v>12.900000000000006</c:v>
                </c:pt>
                <c:pt idx="25">
                  <c:v>-4.7000000000000028</c:v>
                </c:pt>
                <c:pt idx="26">
                  <c:v>4.0999999999999943</c:v>
                </c:pt>
                <c:pt idx="27">
                  <c:v>-0.20000000000000284</c:v>
                </c:pt>
                <c:pt idx="28">
                  <c:v>4</c:v>
                </c:pt>
                <c:pt idx="29">
                  <c:v>2</c:v>
                </c:pt>
                <c:pt idx="30">
                  <c:v>0</c:v>
                </c:pt>
                <c:pt idx="31">
                  <c:v>1.4000000000000057</c:v>
                </c:pt>
                <c:pt idx="32">
                  <c:v>-1.7000000000000028</c:v>
                </c:pt>
                <c:pt idx="33">
                  <c:v>-7.0999999999999943</c:v>
                </c:pt>
                <c:pt idx="34">
                  <c:v>-3.7000000000000028</c:v>
                </c:pt>
                <c:pt idx="35">
                  <c:v>-4.5999999999999943</c:v>
                </c:pt>
                <c:pt idx="36">
                  <c:v>11.599999999999994</c:v>
                </c:pt>
                <c:pt idx="37">
                  <c:v>-1</c:v>
                </c:pt>
                <c:pt idx="38">
                  <c:v>4.0999999999999943</c:v>
                </c:pt>
                <c:pt idx="39">
                  <c:v>0.30000000000001137</c:v>
                </c:pt>
                <c:pt idx="40">
                  <c:v>-0.90000000000000568</c:v>
                </c:pt>
                <c:pt idx="41">
                  <c:v>5.0999999999999943</c:v>
                </c:pt>
                <c:pt idx="42">
                  <c:v>-3.5999999999999943</c:v>
                </c:pt>
                <c:pt idx="43">
                  <c:v>1.7000000000000028</c:v>
                </c:pt>
                <c:pt idx="44">
                  <c:v>-1.2999999999999972</c:v>
                </c:pt>
                <c:pt idx="45">
                  <c:v>-5.8000000000000114</c:v>
                </c:pt>
                <c:pt idx="46">
                  <c:v>-2.8999999999999915</c:v>
                </c:pt>
                <c:pt idx="47">
                  <c:v>-3.5</c:v>
                </c:pt>
                <c:pt idx="48">
                  <c:v>12.200000000000003</c:v>
                </c:pt>
                <c:pt idx="49">
                  <c:v>-6.7000000000000028</c:v>
                </c:pt>
                <c:pt idx="50">
                  <c:v>9.7000000000000028</c:v>
                </c:pt>
                <c:pt idx="51">
                  <c:v>-4.3000000000000114</c:v>
                </c:pt>
                <c:pt idx="52">
                  <c:v>2.7000000000000028</c:v>
                </c:pt>
                <c:pt idx="53">
                  <c:v>4.7999999999999972</c:v>
                </c:pt>
                <c:pt idx="54">
                  <c:v>-5.3999999999999915</c:v>
                </c:pt>
                <c:pt idx="55">
                  <c:v>4.2999999999999972</c:v>
                </c:pt>
                <c:pt idx="56">
                  <c:v>-1.5999999999999943</c:v>
                </c:pt>
                <c:pt idx="57">
                  <c:v>-8.9000000000000057</c:v>
                </c:pt>
                <c:pt idx="58">
                  <c:v>0</c:v>
                </c:pt>
                <c:pt idx="59">
                  <c:v>-4.4000000000000057</c:v>
                </c:pt>
                <c:pt idx="60">
                  <c:v>13.800000000000011</c:v>
                </c:pt>
                <c:pt idx="61">
                  <c:v>-5.8000000000000114</c:v>
                </c:pt>
                <c:pt idx="62">
                  <c:v>9.3000000000000114</c:v>
                </c:pt>
                <c:pt idx="63">
                  <c:v>-3</c:v>
                </c:pt>
                <c:pt idx="64">
                  <c:v>2.8999999999999915</c:v>
                </c:pt>
                <c:pt idx="65">
                  <c:v>5.1000000000000085</c:v>
                </c:pt>
                <c:pt idx="66">
                  <c:v>-6.5</c:v>
                </c:pt>
                <c:pt idx="67">
                  <c:v>9.3999999999999915</c:v>
                </c:pt>
                <c:pt idx="68">
                  <c:v>-5.3999999999999915</c:v>
                </c:pt>
                <c:pt idx="69">
                  <c:v>-9.8000000000000114</c:v>
                </c:pt>
                <c:pt idx="70">
                  <c:v>2.2000000000000028</c:v>
                </c:pt>
                <c:pt idx="71">
                  <c:v>-3.7000000000000028</c:v>
                </c:pt>
                <c:pt idx="72">
                  <c:v>6.6000000000000085</c:v>
                </c:pt>
                <c:pt idx="73">
                  <c:v>1.5</c:v>
                </c:pt>
                <c:pt idx="74">
                  <c:v>3.2999999999999972</c:v>
                </c:pt>
                <c:pt idx="75">
                  <c:v>0.79999999999999716</c:v>
                </c:pt>
                <c:pt idx="76">
                  <c:v>5.2000000000000028</c:v>
                </c:pt>
                <c:pt idx="77">
                  <c:v>-1.5999999999999943</c:v>
                </c:pt>
                <c:pt idx="78">
                  <c:v>0.39999999999999147</c:v>
                </c:pt>
                <c:pt idx="79">
                  <c:v>1.1000000000000085</c:v>
                </c:pt>
                <c:pt idx="80">
                  <c:v>-12.200000000000003</c:v>
                </c:pt>
                <c:pt idx="81">
                  <c:v>-17.100000000000009</c:v>
                </c:pt>
                <c:pt idx="82">
                  <c:v>-0.39999999999999147</c:v>
                </c:pt>
                <c:pt idx="83">
                  <c:v>-2.6000000000000085</c:v>
                </c:pt>
                <c:pt idx="84">
                  <c:v>12.5</c:v>
                </c:pt>
                <c:pt idx="85">
                  <c:v>-3.3999999999999915</c:v>
                </c:pt>
                <c:pt idx="86">
                  <c:v>6.0999999999999943</c:v>
                </c:pt>
                <c:pt idx="87">
                  <c:v>0.90000000000000568</c:v>
                </c:pt>
                <c:pt idx="88">
                  <c:v>5.5</c:v>
                </c:pt>
                <c:pt idx="89">
                  <c:v>1.8999999999999915</c:v>
                </c:pt>
                <c:pt idx="90">
                  <c:v>-0.19999999999998863</c:v>
                </c:pt>
                <c:pt idx="91">
                  <c:v>6.1999999999999886</c:v>
                </c:pt>
                <c:pt idx="92">
                  <c:v>-4.1999999999999886</c:v>
                </c:pt>
                <c:pt idx="93">
                  <c:v>-7.3000000000000114</c:v>
                </c:pt>
                <c:pt idx="94">
                  <c:v>-2.8999999999999915</c:v>
                </c:pt>
                <c:pt idx="95">
                  <c:v>-2.2000000000000028</c:v>
                </c:pt>
                <c:pt idx="96">
                  <c:v>16.099999999999994</c:v>
                </c:pt>
                <c:pt idx="97">
                  <c:v>-5.7999999999999972</c:v>
                </c:pt>
                <c:pt idx="98">
                  <c:v>5</c:v>
                </c:pt>
                <c:pt idx="99">
                  <c:v>-1.7999999999999972</c:v>
                </c:pt>
                <c:pt idx="100">
                  <c:v>4.4000000000000057</c:v>
                </c:pt>
                <c:pt idx="101">
                  <c:v>1.1999999999999886</c:v>
                </c:pt>
                <c:pt idx="102">
                  <c:v>-2.2999999999999972</c:v>
                </c:pt>
                <c:pt idx="103">
                  <c:v>1.9000000000000057</c:v>
                </c:pt>
                <c:pt idx="104">
                  <c:v>-0.90000000000000568</c:v>
                </c:pt>
                <c:pt idx="105">
                  <c:v>-10.200000000000003</c:v>
                </c:pt>
                <c:pt idx="106">
                  <c:v>-3.3999999999999915</c:v>
                </c:pt>
                <c:pt idx="107">
                  <c:v>2.2000000000000028</c:v>
                </c:pt>
                <c:pt idx="108">
                  <c:v>9</c:v>
                </c:pt>
                <c:pt idx="109">
                  <c:v>-6.9000000000000057</c:v>
                </c:pt>
                <c:pt idx="110">
                  <c:v>9.5999999999999943</c:v>
                </c:pt>
                <c:pt idx="111">
                  <c:v>-4.2999999999999972</c:v>
                </c:pt>
                <c:pt idx="112">
                  <c:v>3.2999999999999972</c:v>
                </c:pt>
                <c:pt idx="113">
                  <c:v>4.7000000000000028</c:v>
                </c:pt>
                <c:pt idx="114">
                  <c:v>-6</c:v>
                </c:pt>
                <c:pt idx="115">
                  <c:v>1.5</c:v>
                </c:pt>
                <c:pt idx="116">
                  <c:v>-2.0999999999999943</c:v>
                </c:pt>
                <c:pt idx="117">
                  <c:v>-8.5</c:v>
                </c:pt>
                <c:pt idx="118">
                  <c:v>-7</c:v>
                </c:pt>
                <c:pt idx="119">
                  <c:v>1.0999999999999943</c:v>
                </c:pt>
                <c:pt idx="120">
                  <c:v>9.9000000000000057</c:v>
                </c:pt>
                <c:pt idx="121">
                  <c:v>-6.9000000000000057</c:v>
                </c:pt>
                <c:pt idx="122">
                  <c:v>9.7000000000000028</c:v>
                </c:pt>
                <c:pt idx="123">
                  <c:v>-4.2000000000000028</c:v>
                </c:pt>
                <c:pt idx="124">
                  <c:v>6.2000000000000028</c:v>
                </c:pt>
                <c:pt idx="125">
                  <c:v>7</c:v>
                </c:pt>
                <c:pt idx="126">
                  <c:v>-8.0999999999999943</c:v>
                </c:pt>
                <c:pt idx="127">
                  <c:v>8.3999999999999915</c:v>
                </c:pt>
                <c:pt idx="128">
                  <c:v>-7</c:v>
                </c:pt>
                <c:pt idx="129">
                  <c:v>-12.599999999999994</c:v>
                </c:pt>
                <c:pt idx="130">
                  <c:v>2.2999999999999972</c:v>
                </c:pt>
                <c:pt idx="131">
                  <c:v>-6.4000000000000057</c:v>
                </c:pt>
                <c:pt idx="132">
                  <c:v>9.6000000000000085</c:v>
                </c:pt>
                <c:pt idx="133">
                  <c:v>4.0999999999999943</c:v>
                </c:pt>
                <c:pt idx="134">
                  <c:v>3.2000000000000028</c:v>
                </c:pt>
                <c:pt idx="135">
                  <c:v>-3.2999999999999972</c:v>
                </c:pt>
                <c:pt idx="136">
                  <c:v>6.2999999999999972</c:v>
                </c:pt>
                <c:pt idx="137">
                  <c:v>4</c:v>
                </c:pt>
                <c:pt idx="138">
                  <c:v>-4.7000000000000028</c:v>
                </c:pt>
                <c:pt idx="139">
                  <c:v>5.2999999999999972</c:v>
                </c:pt>
                <c:pt idx="140">
                  <c:v>-6.5</c:v>
                </c:pt>
                <c:pt idx="141">
                  <c:v>-16</c:v>
                </c:pt>
                <c:pt idx="142">
                  <c:v>2.5</c:v>
                </c:pt>
                <c:pt idx="143">
                  <c:v>-0.29999999999999716</c:v>
                </c:pt>
                <c:pt idx="144">
                  <c:v>5</c:v>
                </c:pt>
                <c:pt idx="145">
                  <c:v>-1.2999999999999972</c:v>
                </c:pt>
                <c:pt idx="146">
                  <c:v>5.7000000000000028</c:v>
                </c:pt>
                <c:pt idx="147">
                  <c:v>-6.7999999999999972</c:v>
                </c:pt>
                <c:pt idx="148">
                  <c:v>9.5</c:v>
                </c:pt>
                <c:pt idx="149">
                  <c:v>1.8999999999999915</c:v>
                </c:pt>
                <c:pt idx="150">
                  <c:v>-0.70000000000000284</c:v>
                </c:pt>
                <c:pt idx="151">
                  <c:v>3.7000000000000028</c:v>
                </c:pt>
                <c:pt idx="152">
                  <c:v>-9.5</c:v>
                </c:pt>
                <c:pt idx="153">
                  <c:v>-12.099999999999994</c:v>
                </c:pt>
                <c:pt idx="154">
                  <c:v>0.39999999999999147</c:v>
                </c:pt>
                <c:pt idx="155">
                  <c:v>-4.3999999999999915</c:v>
                </c:pt>
                <c:pt idx="156">
                  <c:v>10.599999999999994</c:v>
                </c:pt>
                <c:pt idx="157">
                  <c:v>-5.5</c:v>
                </c:pt>
                <c:pt idx="158">
                  <c:v>4.2999999999999972</c:v>
                </c:pt>
                <c:pt idx="159">
                  <c:v>-0.59999999999999432</c:v>
                </c:pt>
                <c:pt idx="160">
                  <c:v>3</c:v>
                </c:pt>
                <c:pt idx="161">
                  <c:v>2.0999999999999943</c:v>
                </c:pt>
                <c:pt idx="162">
                  <c:v>-3.2999999999999972</c:v>
                </c:pt>
                <c:pt idx="163">
                  <c:v>2.9000000000000057</c:v>
                </c:pt>
                <c:pt idx="164">
                  <c:v>-9.6000000000000085</c:v>
                </c:pt>
                <c:pt idx="165">
                  <c:v>-10.399999999999991</c:v>
                </c:pt>
                <c:pt idx="166">
                  <c:v>-0.90000000000000568</c:v>
                </c:pt>
                <c:pt idx="167">
                  <c:v>-0.5</c:v>
                </c:pt>
                <c:pt idx="168">
                  <c:v>7.9000000000000057</c:v>
                </c:pt>
                <c:pt idx="169">
                  <c:v>-0.70000000000000284</c:v>
                </c:pt>
                <c:pt idx="170">
                  <c:v>3.2999999999999972</c:v>
                </c:pt>
                <c:pt idx="171">
                  <c:v>1.4000000000000057</c:v>
                </c:pt>
                <c:pt idx="172">
                  <c:v>1.8999999999999915</c:v>
                </c:pt>
                <c:pt idx="173">
                  <c:v>3.4000000000000057</c:v>
                </c:pt>
                <c:pt idx="174">
                  <c:v>-2.2999999999999972</c:v>
                </c:pt>
                <c:pt idx="175">
                  <c:v>-0.5</c:v>
                </c:pt>
                <c:pt idx="176">
                  <c:v>-3.7000000000000028</c:v>
                </c:pt>
                <c:pt idx="177">
                  <c:v>-9.2999999999999972</c:v>
                </c:pt>
                <c:pt idx="178">
                  <c:v>0.70000000000000284</c:v>
                </c:pt>
                <c:pt idx="179">
                  <c:v>-2</c:v>
                </c:pt>
                <c:pt idx="180">
                  <c:v>9.5</c:v>
                </c:pt>
                <c:pt idx="181">
                  <c:v>-6.1000000000000085</c:v>
                </c:pt>
                <c:pt idx="182">
                  <c:v>10.799999999999997</c:v>
                </c:pt>
                <c:pt idx="183">
                  <c:v>-1.6999999999999886</c:v>
                </c:pt>
                <c:pt idx="184">
                  <c:v>3.6999999999999886</c:v>
                </c:pt>
                <c:pt idx="185">
                  <c:v>4.6000000000000085</c:v>
                </c:pt>
                <c:pt idx="186">
                  <c:v>-3.7000000000000028</c:v>
                </c:pt>
                <c:pt idx="187">
                  <c:v>2.0999999999999943</c:v>
                </c:pt>
                <c:pt idx="188">
                  <c:v>-4.5</c:v>
                </c:pt>
                <c:pt idx="189">
                  <c:v>-9.5999999999999943</c:v>
                </c:pt>
                <c:pt idx="190">
                  <c:v>1.2999999999999972</c:v>
                </c:pt>
                <c:pt idx="191">
                  <c:v>-5</c:v>
                </c:pt>
                <c:pt idx="192">
                  <c:v>8.9000000000000057</c:v>
                </c:pt>
                <c:pt idx="193">
                  <c:v>0.29999999999999716</c:v>
                </c:pt>
                <c:pt idx="194">
                  <c:v>-2.0999999999999943</c:v>
                </c:pt>
                <c:pt idx="195">
                  <c:v>6.6999999999999886</c:v>
                </c:pt>
                <c:pt idx="196">
                  <c:v>4.7000000000000028</c:v>
                </c:pt>
                <c:pt idx="197">
                  <c:v>2.4000000000000057</c:v>
                </c:pt>
                <c:pt idx="198">
                  <c:v>-7.5</c:v>
                </c:pt>
                <c:pt idx="199">
                  <c:v>5.0999999999999943</c:v>
                </c:pt>
                <c:pt idx="200">
                  <c:v>-6.2999999999999972</c:v>
                </c:pt>
                <c:pt idx="201">
                  <c:v>-11.5</c:v>
                </c:pt>
                <c:pt idx="202">
                  <c:v>2.7000000000000028</c:v>
                </c:pt>
                <c:pt idx="203">
                  <c:v>-1.6000000000000085</c:v>
                </c:pt>
                <c:pt idx="204">
                  <c:v>1.9000000000000057</c:v>
                </c:pt>
                <c:pt idx="205">
                  <c:v>2.2999999999999972</c:v>
                </c:pt>
                <c:pt idx="206">
                  <c:v>7.7000000000000028</c:v>
                </c:pt>
                <c:pt idx="207">
                  <c:v>-5.2000000000000028</c:v>
                </c:pt>
                <c:pt idx="208">
                  <c:v>7.6000000000000085</c:v>
                </c:pt>
                <c:pt idx="209">
                  <c:v>2.7999999999999972</c:v>
                </c:pt>
                <c:pt idx="210">
                  <c:v>-4.4000000000000057</c:v>
                </c:pt>
                <c:pt idx="211">
                  <c:v>5.2000000000000028</c:v>
                </c:pt>
                <c:pt idx="212">
                  <c:v>-9</c:v>
                </c:pt>
                <c:pt idx="213">
                  <c:v>-11.099999999999994</c:v>
                </c:pt>
                <c:pt idx="214">
                  <c:v>3.0999999999999943</c:v>
                </c:pt>
                <c:pt idx="215">
                  <c:v>-1.0999999999999943</c:v>
                </c:pt>
                <c:pt idx="216">
                  <c:v>-1</c:v>
                </c:pt>
                <c:pt idx="217">
                  <c:v>-17.600000000000009</c:v>
                </c:pt>
                <c:pt idx="218">
                  <c:v>10.900000000000006</c:v>
                </c:pt>
                <c:pt idx="219">
                  <c:v>7.2000000000000028</c:v>
                </c:pt>
                <c:pt idx="220">
                  <c:v>12.599999999999994</c:v>
                </c:pt>
                <c:pt idx="221">
                  <c:v>2.9000000000000057</c:v>
                </c:pt>
                <c:pt idx="222">
                  <c:v>1.5</c:v>
                </c:pt>
                <c:pt idx="223">
                  <c:v>1.8999999999999915</c:v>
                </c:pt>
                <c:pt idx="224">
                  <c:v>-7.0999999999999943</c:v>
                </c:pt>
                <c:pt idx="225">
                  <c:v>-6.9000000000000057</c:v>
                </c:pt>
                <c:pt idx="226">
                  <c:v>-1.3999999999999915</c:v>
                </c:pt>
                <c:pt idx="227">
                  <c:v>-2.8000000000000114</c:v>
                </c:pt>
                <c:pt idx="228">
                  <c:v>7</c:v>
                </c:pt>
                <c:pt idx="229">
                  <c:v>-4.7999999999999972</c:v>
                </c:pt>
                <c:pt idx="230">
                  <c:v>7.1000000000000085</c:v>
                </c:pt>
                <c:pt idx="231">
                  <c:v>-0.5</c:v>
                </c:pt>
                <c:pt idx="232">
                  <c:v>4.2999999999999972</c:v>
                </c:pt>
                <c:pt idx="233">
                  <c:v>1.2000000000000028</c:v>
                </c:pt>
                <c:pt idx="234">
                  <c:v>-1.9000000000000057</c:v>
                </c:pt>
                <c:pt idx="235">
                  <c:v>-1.7999999999999972</c:v>
                </c:pt>
                <c:pt idx="236">
                  <c:v>-3.4000000000000057</c:v>
                </c:pt>
                <c:pt idx="237">
                  <c:v>-7.0999999999999943</c:v>
                </c:pt>
              </c:numCache>
            </c:numRef>
          </c:val>
          <c:smooth val="0"/>
          <c:extLst>
            <c:ext xmlns:c16="http://schemas.microsoft.com/office/drawing/2014/chart" uri="{C3380CC4-5D6E-409C-BE32-E72D297353CC}">
              <c16:uniqueId val="{00000001-4AFC-470E-8B11-8DCBC9AC7954}"/>
            </c:ext>
          </c:extLst>
        </c:ser>
        <c:dLbls>
          <c:showLegendKey val="0"/>
          <c:showVal val="0"/>
          <c:showCatName val="0"/>
          <c:showSerName val="0"/>
          <c:showPercent val="0"/>
          <c:showBubbleSize val="0"/>
        </c:dLbls>
        <c:smooth val="0"/>
        <c:axId val="2040515792"/>
        <c:axId val="2040519952"/>
      </c:lineChart>
      <c:dateAx>
        <c:axId val="2040515792"/>
        <c:scaling>
          <c:orientation val="minMax"/>
        </c:scaling>
        <c:delete val="0"/>
        <c:axPos val="b"/>
        <c:numFmt formatCode="[$-416]m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0519952"/>
        <c:crosses val="autoZero"/>
        <c:auto val="1"/>
        <c:lblOffset val="100"/>
        <c:baseTimeUnit val="months"/>
      </c:dateAx>
      <c:valAx>
        <c:axId val="204051995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051579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8740157499999996" l="0.511811024" r="0.511811024" t="0.78740157499999996" header="0.31496062000000002" footer="0.31496062000000002"/>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t-BR"/>
              <a:t>Brazil</a:t>
            </a:r>
            <a:r>
              <a:rPr lang="pt-BR" baseline="0"/>
              <a:t> IP NSA</a:t>
            </a:r>
            <a:endParaRPr lang="pt-B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NSA</c:v>
          </c:tx>
          <c:spPr>
            <a:ln w="12700" cap="rnd">
              <a:solidFill>
                <a:schemeClr val="accent1"/>
              </a:solidFill>
              <a:round/>
            </a:ln>
            <a:effectLst/>
          </c:spPr>
          <c:marker>
            <c:symbol val="none"/>
          </c:marker>
          <c:cat>
            <c:numRef>
              <c:f>DETREND!$F$9:$F$247</c:f>
              <c:numCache>
                <c:formatCode>[$-416]mmm\-yy;@</c:formatCode>
                <c:ptCount val="239"/>
                <c:pt idx="0">
                  <c:v>37288</c:v>
                </c:pt>
                <c:pt idx="1">
                  <c:v>37316</c:v>
                </c:pt>
                <c:pt idx="2">
                  <c:v>37347</c:v>
                </c:pt>
                <c:pt idx="3">
                  <c:v>37377</c:v>
                </c:pt>
                <c:pt idx="4">
                  <c:v>37408</c:v>
                </c:pt>
                <c:pt idx="5">
                  <c:v>37438</c:v>
                </c:pt>
                <c:pt idx="6">
                  <c:v>37469</c:v>
                </c:pt>
                <c:pt idx="7">
                  <c:v>37500</c:v>
                </c:pt>
                <c:pt idx="8">
                  <c:v>37530</c:v>
                </c:pt>
                <c:pt idx="9">
                  <c:v>37561</c:v>
                </c:pt>
                <c:pt idx="10">
                  <c:v>37591</c:v>
                </c:pt>
                <c:pt idx="11">
                  <c:v>37622</c:v>
                </c:pt>
                <c:pt idx="12">
                  <c:v>37653</c:v>
                </c:pt>
                <c:pt idx="13">
                  <c:v>37681</c:v>
                </c:pt>
                <c:pt idx="14">
                  <c:v>37712</c:v>
                </c:pt>
                <c:pt idx="15">
                  <c:v>37742</c:v>
                </c:pt>
                <c:pt idx="16">
                  <c:v>37773</c:v>
                </c:pt>
                <c:pt idx="17">
                  <c:v>37803</c:v>
                </c:pt>
                <c:pt idx="18">
                  <c:v>37834</c:v>
                </c:pt>
                <c:pt idx="19">
                  <c:v>37865</c:v>
                </c:pt>
                <c:pt idx="20">
                  <c:v>37895</c:v>
                </c:pt>
                <c:pt idx="21">
                  <c:v>37926</c:v>
                </c:pt>
                <c:pt idx="22">
                  <c:v>37956</c:v>
                </c:pt>
                <c:pt idx="23">
                  <c:v>37987</c:v>
                </c:pt>
                <c:pt idx="24">
                  <c:v>38018</c:v>
                </c:pt>
                <c:pt idx="25">
                  <c:v>38047</c:v>
                </c:pt>
                <c:pt idx="26">
                  <c:v>38078</c:v>
                </c:pt>
                <c:pt idx="27">
                  <c:v>38108</c:v>
                </c:pt>
                <c:pt idx="28">
                  <c:v>38139</c:v>
                </c:pt>
                <c:pt idx="29">
                  <c:v>38169</c:v>
                </c:pt>
                <c:pt idx="30">
                  <c:v>38200</c:v>
                </c:pt>
                <c:pt idx="31">
                  <c:v>38231</c:v>
                </c:pt>
                <c:pt idx="32">
                  <c:v>38261</c:v>
                </c:pt>
                <c:pt idx="33">
                  <c:v>38292</c:v>
                </c:pt>
                <c:pt idx="34">
                  <c:v>38322</c:v>
                </c:pt>
                <c:pt idx="35">
                  <c:v>38353</c:v>
                </c:pt>
                <c:pt idx="36">
                  <c:v>38384</c:v>
                </c:pt>
                <c:pt idx="37">
                  <c:v>38412</c:v>
                </c:pt>
                <c:pt idx="38">
                  <c:v>38443</c:v>
                </c:pt>
                <c:pt idx="39">
                  <c:v>38473</c:v>
                </c:pt>
                <c:pt idx="40">
                  <c:v>38504</c:v>
                </c:pt>
                <c:pt idx="41">
                  <c:v>38534</c:v>
                </c:pt>
                <c:pt idx="42">
                  <c:v>38565</c:v>
                </c:pt>
                <c:pt idx="43">
                  <c:v>38596</c:v>
                </c:pt>
                <c:pt idx="44">
                  <c:v>38626</c:v>
                </c:pt>
                <c:pt idx="45">
                  <c:v>38657</c:v>
                </c:pt>
                <c:pt idx="46">
                  <c:v>38687</c:v>
                </c:pt>
                <c:pt idx="47">
                  <c:v>38718</c:v>
                </c:pt>
                <c:pt idx="48">
                  <c:v>38749</c:v>
                </c:pt>
                <c:pt idx="49">
                  <c:v>38777</c:v>
                </c:pt>
                <c:pt idx="50">
                  <c:v>38808</c:v>
                </c:pt>
                <c:pt idx="51">
                  <c:v>38838</c:v>
                </c:pt>
                <c:pt idx="52">
                  <c:v>38869</c:v>
                </c:pt>
                <c:pt idx="53">
                  <c:v>38899</c:v>
                </c:pt>
                <c:pt idx="54">
                  <c:v>38930</c:v>
                </c:pt>
                <c:pt idx="55">
                  <c:v>38961</c:v>
                </c:pt>
                <c:pt idx="56">
                  <c:v>38991</c:v>
                </c:pt>
                <c:pt idx="57">
                  <c:v>39022</c:v>
                </c:pt>
                <c:pt idx="58">
                  <c:v>39052</c:v>
                </c:pt>
                <c:pt idx="59">
                  <c:v>39083</c:v>
                </c:pt>
                <c:pt idx="60">
                  <c:v>39114</c:v>
                </c:pt>
                <c:pt idx="61">
                  <c:v>39142</c:v>
                </c:pt>
                <c:pt idx="62">
                  <c:v>39173</c:v>
                </c:pt>
                <c:pt idx="63">
                  <c:v>39203</c:v>
                </c:pt>
                <c:pt idx="64">
                  <c:v>39234</c:v>
                </c:pt>
                <c:pt idx="65">
                  <c:v>39264</c:v>
                </c:pt>
                <c:pt idx="66">
                  <c:v>39295</c:v>
                </c:pt>
                <c:pt idx="67">
                  <c:v>39326</c:v>
                </c:pt>
                <c:pt idx="68">
                  <c:v>39356</c:v>
                </c:pt>
                <c:pt idx="69">
                  <c:v>39387</c:v>
                </c:pt>
                <c:pt idx="70">
                  <c:v>39417</c:v>
                </c:pt>
                <c:pt idx="71">
                  <c:v>39448</c:v>
                </c:pt>
                <c:pt idx="72">
                  <c:v>39479</c:v>
                </c:pt>
                <c:pt idx="73">
                  <c:v>39508</c:v>
                </c:pt>
                <c:pt idx="74">
                  <c:v>39539</c:v>
                </c:pt>
                <c:pt idx="75">
                  <c:v>39569</c:v>
                </c:pt>
                <c:pt idx="76">
                  <c:v>39600</c:v>
                </c:pt>
                <c:pt idx="77">
                  <c:v>39630</c:v>
                </c:pt>
                <c:pt idx="78">
                  <c:v>39661</c:v>
                </c:pt>
                <c:pt idx="79">
                  <c:v>39692</c:v>
                </c:pt>
                <c:pt idx="80">
                  <c:v>39722</c:v>
                </c:pt>
                <c:pt idx="81">
                  <c:v>39753</c:v>
                </c:pt>
                <c:pt idx="82">
                  <c:v>39783</c:v>
                </c:pt>
                <c:pt idx="83">
                  <c:v>39814</c:v>
                </c:pt>
                <c:pt idx="84">
                  <c:v>39845</c:v>
                </c:pt>
                <c:pt idx="85">
                  <c:v>39873</c:v>
                </c:pt>
                <c:pt idx="86">
                  <c:v>39904</c:v>
                </c:pt>
                <c:pt idx="87">
                  <c:v>39934</c:v>
                </c:pt>
                <c:pt idx="88">
                  <c:v>39965</c:v>
                </c:pt>
                <c:pt idx="89">
                  <c:v>39995</c:v>
                </c:pt>
                <c:pt idx="90">
                  <c:v>40026</c:v>
                </c:pt>
                <c:pt idx="91">
                  <c:v>40057</c:v>
                </c:pt>
                <c:pt idx="92">
                  <c:v>40087</c:v>
                </c:pt>
                <c:pt idx="93">
                  <c:v>40118</c:v>
                </c:pt>
                <c:pt idx="94">
                  <c:v>40148</c:v>
                </c:pt>
                <c:pt idx="95">
                  <c:v>40179</c:v>
                </c:pt>
                <c:pt idx="96">
                  <c:v>40210</c:v>
                </c:pt>
                <c:pt idx="97">
                  <c:v>40238</c:v>
                </c:pt>
                <c:pt idx="98">
                  <c:v>40269</c:v>
                </c:pt>
                <c:pt idx="99">
                  <c:v>40299</c:v>
                </c:pt>
                <c:pt idx="100">
                  <c:v>40330</c:v>
                </c:pt>
                <c:pt idx="101">
                  <c:v>40360</c:v>
                </c:pt>
                <c:pt idx="102">
                  <c:v>40391</c:v>
                </c:pt>
                <c:pt idx="103">
                  <c:v>40422</c:v>
                </c:pt>
                <c:pt idx="104">
                  <c:v>40452</c:v>
                </c:pt>
                <c:pt idx="105">
                  <c:v>40483</c:v>
                </c:pt>
                <c:pt idx="106">
                  <c:v>40513</c:v>
                </c:pt>
                <c:pt idx="107">
                  <c:v>40544</c:v>
                </c:pt>
                <c:pt idx="108">
                  <c:v>40575</c:v>
                </c:pt>
                <c:pt idx="109">
                  <c:v>40603</c:v>
                </c:pt>
                <c:pt idx="110">
                  <c:v>40634</c:v>
                </c:pt>
                <c:pt idx="111">
                  <c:v>40664</c:v>
                </c:pt>
                <c:pt idx="112">
                  <c:v>40695</c:v>
                </c:pt>
                <c:pt idx="113">
                  <c:v>40725</c:v>
                </c:pt>
                <c:pt idx="114">
                  <c:v>40756</c:v>
                </c:pt>
                <c:pt idx="115">
                  <c:v>40787</c:v>
                </c:pt>
                <c:pt idx="116">
                  <c:v>40817</c:v>
                </c:pt>
                <c:pt idx="117">
                  <c:v>40848</c:v>
                </c:pt>
                <c:pt idx="118">
                  <c:v>40878</c:v>
                </c:pt>
                <c:pt idx="119">
                  <c:v>40909</c:v>
                </c:pt>
                <c:pt idx="120">
                  <c:v>40940</c:v>
                </c:pt>
                <c:pt idx="121">
                  <c:v>40969</c:v>
                </c:pt>
                <c:pt idx="122">
                  <c:v>41000</c:v>
                </c:pt>
                <c:pt idx="123">
                  <c:v>41030</c:v>
                </c:pt>
                <c:pt idx="124">
                  <c:v>41061</c:v>
                </c:pt>
                <c:pt idx="125">
                  <c:v>41091</c:v>
                </c:pt>
                <c:pt idx="126">
                  <c:v>41122</c:v>
                </c:pt>
                <c:pt idx="127">
                  <c:v>41153</c:v>
                </c:pt>
                <c:pt idx="128">
                  <c:v>41183</c:v>
                </c:pt>
                <c:pt idx="129">
                  <c:v>41214</c:v>
                </c:pt>
                <c:pt idx="130">
                  <c:v>41244</c:v>
                </c:pt>
                <c:pt idx="131">
                  <c:v>41275</c:v>
                </c:pt>
                <c:pt idx="132">
                  <c:v>41306</c:v>
                </c:pt>
                <c:pt idx="133">
                  <c:v>41334</c:v>
                </c:pt>
                <c:pt idx="134">
                  <c:v>41365</c:v>
                </c:pt>
                <c:pt idx="135">
                  <c:v>41395</c:v>
                </c:pt>
                <c:pt idx="136">
                  <c:v>41426</c:v>
                </c:pt>
                <c:pt idx="137">
                  <c:v>41456</c:v>
                </c:pt>
                <c:pt idx="138">
                  <c:v>41487</c:v>
                </c:pt>
                <c:pt idx="139">
                  <c:v>41518</c:v>
                </c:pt>
                <c:pt idx="140">
                  <c:v>41548</c:v>
                </c:pt>
                <c:pt idx="141">
                  <c:v>41579</c:v>
                </c:pt>
                <c:pt idx="142">
                  <c:v>41609</c:v>
                </c:pt>
                <c:pt idx="143">
                  <c:v>41640</c:v>
                </c:pt>
                <c:pt idx="144">
                  <c:v>41671</c:v>
                </c:pt>
                <c:pt idx="145">
                  <c:v>41699</c:v>
                </c:pt>
                <c:pt idx="146">
                  <c:v>41730</c:v>
                </c:pt>
                <c:pt idx="147">
                  <c:v>41760</c:v>
                </c:pt>
                <c:pt idx="148">
                  <c:v>41791</c:v>
                </c:pt>
                <c:pt idx="149">
                  <c:v>41821</c:v>
                </c:pt>
                <c:pt idx="150">
                  <c:v>41852</c:v>
                </c:pt>
                <c:pt idx="151">
                  <c:v>41883</c:v>
                </c:pt>
                <c:pt idx="152">
                  <c:v>41913</c:v>
                </c:pt>
                <c:pt idx="153">
                  <c:v>41944</c:v>
                </c:pt>
                <c:pt idx="154">
                  <c:v>41974</c:v>
                </c:pt>
                <c:pt idx="155">
                  <c:v>42005</c:v>
                </c:pt>
                <c:pt idx="156">
                  <c:v>42036</c:v>
                </c:pt>
                <c:pt idx="157">
                  <c:v>42064</c:v>
                </c:pt>
                <c:pt idx="158">
                  <c:v>42095</c:v>
                </c:pt>
                <c:pt idx="159">
                  <c:v>42125</c:v>
                </c:pt>
                <c:pt idx="160">
                  <c:v>42156</c:v>
                </c:pt>
                <c:pt idx="161">
                  <c:v>42186</c:v>
                </c:pt>
                <c:pt idx="162">
                  <c:v>42217</c:v>
                </c:pt>
                <c:pt idx="163">
                  <c:v>42248</c:v>
                </c:pt>
                <c:pt idx="164">
                  <c:v>42278</c:v>
                </c:pt>
                <c:pt idx="165">
                  <c:v>42309</c:v>
                </c:pt>
                <c:pt idx="166">
                  <c:v>42339</c:v>
                </c:pt>
                <c:pt idx="167">
                  <c:v>42370</c:v>
                </c:pt>
                <c:pt idx="168">
                  <c:v>42401</c:v>
                </c:pt>
                <c:pt idx="169">
                  <c:v>42430</c:v>
                </c:pt>
                <c:pt idx="170">
                  <c:v>42461</c:v>
                </c:pt>
                <c:pt idx="171">
                  <c:v>42491</c:v>
                </c:pt>
                <c:pt idx="172">
                  <c:v>42522</c:v>
                </c:pt>
                <c:pt idx="173">
                  <c:v>42552</c:v>
                </c:pt>
                <c:pt idx="174">
                  <c:v>42583</c:v>
                </c:pt>
                <c:pt idx="175">
                  <c:v>42614</c:v>
                </c:pt>
                <c:pt idx="176">
                  <c:v>42644</c:v>
                </c:pt>
                <c:pt idx="177">
                  <c:v>42675</c:v>
                </c:pt>
                <c:pt idx="178">
                  <c:v>42705</c:v>
                </c:pt>
                <c:pt idx="179">
                  <c:v>42736</c:v>
                </c:pt>
                <c:pt idx="180">
                  <c:v>42767</c:v>
                </c:pt>
                <c:pt idx="181">
                  <c:v>42795</c:v>
                </c:pt>
                <c:pt idx="182">
                  <c:v>42826</c:v>
                </c:pt>
                <c:pt idx="183">
                  <c:v>42856</c:v>
                </c:pt>
                <c:pt idx="184">
                  <c:v>42887</c:v>
                </c:pt>
                <c:pt idx="185">
                  <c:v>42917</c:v>
                </c:pt>
                <c:pt idx="186">
                  <c:v>42948</c:v>
                </c:pt>
                <c:pt idx="187">
                  <c:v>42979</c:v>
                </c:pt>
                <c:pt idx="188">
                  <c:v>43009</c:v>
                </c:pt>
                <c:pt idx="189">
                  <c:v>43040</c:v>
                </c:pt>
                <c:pt idx="190">
                  <c:v>43070</c:v>
                </c:pt>
                <c:pt idx="191">
                  <c:v>43101</c:v>
                </c:pt>
                <c:pt idx="192">
                  <c:v>43132</c:v>
                </c:pt>
                <c:pt idx="193">
                  <c:v>43160</c:v>
                </c:pt>
                <c:pt idx="194">
                  <c:v>43191</c:v>
                </c:pt>
                <c:pt idx="195">
                  <c:v>43221</c:v>
                </c:pt>
                <c:pt idx="196">
                  <c:v>43252</c:v>
                </c:pt>
                <c:pt idx="197">
                  <c:v>43282</c:v>
                </c:pt>
                <c:pt idx="198">
                  <c:v>43313</c:v>
                </c:pt>
                <c:pt idx="199">
                  <c:v>43344</c:v>
                </c:pt>
                <c:pt idx="200">
                  <c:v>43374</c:v>
                </c:pt>
                <c:pt idx="201">
                  <c:v>43405</c:v>
                </c:pt>
                <c:pt idx="202">
                  <c:v>43435</c:v>
                </c:pt>
                <c:pt idx="203">
                  <c:v>43466</c:v>
                </c:pt>
                <c:pt idx="204">
                  <c:v>43497</c:v>
                </c:pt>
                <c:pt idx="205">
                  <c:v>43525</c:v>
                </c:pt>
                <c:pt idx="206">
                  <c:v>43556</c:v>
                </c:pt>
                <c:pt idx="207">
                  <c:v>43586</c:v>
                </c:pt>
                <c:pt idx="208">
                  <c:v>43617</c:v>
                </c:pt>
                <c:pt idx="209">
                  <c:v>43647</c:v>
                </c:pt>
                <c:pt idx="210">
                  <c:v>43678</c:v>
                </c:pt>
                <c:pt idx="211">
                  <c:v>43709</c:v>
                </c:pt>
                <c:pt idx="212">
                  <c:v>43739</c:v>
                </c:pt>
                <c:pt idx="213">
                  <c:v>43770</c:v>
                </c:pt>
                <c:pt idx="214">
                  <c:v>43800</c:v>
                </c:pt>
                <c:pt idx="215">
                  <c:v>43831</c:v>
                </c:pt>
                <c:pt idx="216">
                  <c:v>43862</c:v>
                </c:pt>
                <c:pt idx="217">
                  <c:v>43891</c:v>
                </c:pt>
                <c:pt idx="218">
                  <c:v>43922</c:v>
                </c:pt>
                <c:pt idx="219">
                  <c:v>43952</c:v>
                </c:pt>
                <c:pt idx="220">
                  <c:v>43983</c:v>
                </c:pt>
                <c:pt idx="221">
                  <c:v>44013</c:v>
                </c:pt>
                <c:pt idx="222">
                  <c:v>44044</c:v>
                </c:pt>
                <c:pt idx="223">
                  <c:v>44075</c:v>
                </c:pt>
                <c:pt idx="224">
                  <c:v>44105</c:v>
                </c:pt>
                <c:pt idx="225">
                  <c:v>44136</c:v>
                </c:pt>
                <c:pt idx="226">
                  <c:v>44166</c:v>
                </c:pt>
                <c:pt idx="227">
                  <c:v>44197</c:v>
                </c:pt>
                <c:pt idx="228">
                  <c:v>44228</c:v>
                </c:pt>
                <c:pt idx="229">
                  <c:v>44256</c:v>
                </c:pt>
                <c:pt idx="230">
                  <c:v>44287</c:v>
                </c:pt>
                <c:pt idx="231">
                  <c:v>44317</c:v>
                </c:pt>
                <c:pt idx="232">
                  <c:v>44348</c:v>
                </c:pt>
                <c:pt idx="233">
                  <c:v>44378</c:v>
                </c:pt>
                <c:pt idx="234">
                  <c:v>44409</c:v>
                </c:pt>
                <c:pt idx="235">
                  <c:v>44440</c:v>
                </c:pt>
                <c:pt idx="236">
                  <c:v>44470</c:v>
                </c:pt>
                <c:pt idx="237">
                  <c:v>44501</c:v>
                </c:pt>
                <c:pt idx="238">
                  <c:v>44531</c:v>
                </c:pt>
              </c:numCache>
            </c:numRef>
          </c:cat>
          <c:val>
            <c:numRef>
              <c:f>DETREND!$G$9:$G$247</c:f>
              <c:numCache>
                <c:formatCode>0.0</c:formatCode>
                <c:ptCount val="239"/>
                <c:pt idx="0">
                  <c:v>69.7</c:v>
                </c:pt>
                <c:pt idx="1">
                  <c:v>77.400000000000006</c:v>
                </c:pt>
                <c:pt idx="2">
                  <c:v>79.599999999999994</c:v>
                </c:pt>
                <c:pt idx="3">
                  <c:v>80.400000000000006</c:v>
                </c:pt>
                <c:pt idx="4">
                  <c:v>77.5</c:v>
                </c:pt>
                <c:pt idx="5">
                  <c:v>83.3</c:v>
                </c:pt>
                <c:pt idx="6">
                  <c:v>83.6</c:v>
                </c:pt>
                <c:pt idx="7">
                  <c:v>82.1</c:v>
                </c:pt>
                <c:pt idx="8">
                  <c:v>89.2</c:v>
                </c:pt>
                <c:pt idx="9">
                  <c:v>83.9</c:v>
                </c:pt>
                <c:pt idx="10">
                  <c:v>74.599999999999994</c:v>
                </c:pt>
                <c:pt idx="11">
                  <c:v>74</c:v>
                </c:pt>
                <c:pt idx="12">
                  <c:v>71.8</c:v>
                </c:pt>
                <c:pt idx="13">
                  <c:v>77.400000000000006</c:v>
                </c:pt>
                <c:pt idx="14">
                  <c:v>76.5</c:v>
                </c:pt>
                <c:pt idx="15">
                  <c:v>79.7</c:v>
                </c:pt>
                <c:pt idx="16">
                  <c:v>76.3</c:v>
                </c:pt>
                <c:pt idx="17">
                  <c:v>81.3</c:v>
                </c:pt>
                <c:pt idx="18">
                  <c:v>81.599999999999994</c:v>
                </c:pt>
                <c:pt idx="19">
                  <c:v>85.7</c:v>
                </c:pt>
                <c:pt idx="20">
                  <c:v>90</c:v>
                </c:pt>
                <c:pt idx="21">
                  <c:v>84.6</c:v>
                </c:pt>
                <c:pt idx="22">
                  <c:v>77.900000000000006</c:v>
                </c:pt>
                <c:pt idx="23">
                  <c:v>76.8</c:v>
                </c:pt>
                <c:pt idx="24">
                  <c:v>74</c:v>
                </c:pt>
                <c:pt idx="25">
                  <c:v>86.9</c:v>
                </c:pt>
                <c:pt idx="26">
                  <c:v>82.2</c:v>
                </c:pt>
                <c:pt idx="27">
                  <c:v>86.3</c:v>
                </c:pt>
                <c:pt idx="28">
                  <c:v>86.1</c:v>
                </c:pt>
                <c:pt idx="29">
                  <c:v>90.1</c:v>
                </c:pt>
                <c:pt idx="30">
                  <c:v>92.1</c:v>
                </c:pt>
                <c:pt idx="31">
                  <c:v>92.1</c:v>
                </c:pt>
                <c:pt idx="32">
                  <c:v>93.5</c:v>
                </c:pt>
                <c:pt idx="33">
                  <c:v>91.8</c:v>
                </c:pt>
                <c:pt idx="34">
                  <c:v>84.7</c:v>
                </c:pt>
                <c:pt idx="35">
                  <c:v>81</c:v>
                </c:pt>
                <c:pt idx="36">
                  <c:v>76.400000000000006</c:v>
                </c:pt>
                <c:pt idx="37">
                  <c:v>88</c:v>
                </c:pt>
                <c:pt idx="38">
                  <c:v>87</c:v>
                </c:pt>
                <c:pt idx="39">
                  <c:v>91.1</c:v>
                </c:pt>
                <c:pt idx="40">
                  <c:v>91.4</c:v>
                </c:pt>
                <c:pt idx="41">
                  <c:v>90.5</c:v>
                </c:pt>
                <c:pt idx="42">
                  <c:v>95.6</c:v>
                </c:pt>
                <c:pt idx="43">
                  <c:v>92</c:v>
                </c:pt>
                <c:pt idx="44">
                  <c:v>93.7</c:v>
                </c:pt>
                <c:pt idx="45">
                  <c:v>92.4</c:v>
                </c:pt>
                <c:pt idx="46">
                  <c:v>86.6</c:v>
                </c:pt>
                <c:pt idx="47">
                  <c:v>83.7</c:v>
                </c:pt>
                <c:pt idx="48">
                  <c:v>80.2</c:v>
                </c:pt>
                <c:pt idx="49">
                  <c:v>92.4</c:v>
                </c:pt>
                <c:pt idx="50">
                  <c:v>85.7</c:v>
                </c:pt>
                <c:pt idx="51">
                  <c:v>95.4</c:v>
                </c:pt>
                <c:pt idx="52">
                  <c:v>91.1</c:v>
                </c:pt>
                <c:pt idx="53">
                  <c:v>93.8</c:v>
                </c:pt>
                <c:pt idx="54">
                  <c:v>98.6</c:v>
                </c:pt>
                <c:pt idx="55">
                  <c:v>93.2</c:v>
                </c:pt>
                <c:pt idx="56">
                  <c:v>97.5</c:v>
                </c:pt>
                <c:pt idx="57">
                  <c:v>95.9</c:v>
                </c:pt>
                <c:pt idx="58">
                  <c:v>87</c:v>
                </c:pt>
                <c:pt idx="59">
                  <c:v>87</c:v>
                </c:pt>
                <c:pt idx="60">
                  <c:v>82.6</c:v>
                </c:pt>
                <c:pt idx="61">
                  <c:v>96.4</c:v>
                </c:pt>
                <c:pt idx="62">
                  <c:v>90.6</c:v>
                </c:pt>
                <c:pt idx="63">
                  <c:v>99.9</c:v>
                </c:pt>
                <c:pt idx="64">
                  <c:v>96.9</c:v>
                </c:pt>
                <c:pt idx="65">
                  <c:v>99.8</c:v>
                </c:pt>
                <c:pt idx="66">
                  <c:v>104.9</c:v>
                </c:pt>
                <c:pt idx="67">
                  <c:v>98.4</c:v>
                </c:pt>
                <c:pt idx="68">
                  <c:v>107.8</c:v>
                </c:pt>
                <c:pt idx="69">
                  <c:v>102.4</c:v>
                </c:pt>
                <c:pt idx="70">
                  <c:v>92.6</c:v>
                </c:pt>
                <c:pt idx="71">
                  <c:v>94.8</c:v>
                </c:pt>
                <c:pt idx="72">
                  <c:v>91.1</c:v>
                </c:pt>
                <c:pt idx="73">
                  <c:v>97.7</c:v>
                </c:pt>
                <c:pt idx="74">
                  <c:v>99.2</c:v>
                </c:pt>
                <c:pt idx="75">
                  <c:v>102.5</c:v>
                </c:pt>
                <c:pt idx="76">
                  <c:v>103.3</c:v>
                </c:pt>
                <c:pt idx="77">
                  <c:v>108.5</c:v>
                </c:pt>
                <c:pt idx="78">
                  <c:v>106.9</c:v>
                </c:pt>
                <c:pt idx="79">
                  <c:v>107.3</c:v>
                </c:pt>
                <c:pt idx="80">
                  <c:v>108.4</c:v>
                </c:pt>
                <c:pt idx="81">
                  <c:v>96.2</c:v>
                </c:pt>
                <c:pt idx="82">
                  <c:v>79.099999999999994</c:v>
                </c:pt>
                <c:pt idx="83">
                  <c:v>78.7</c:v>
                </c:pt>
                <c:pt idx="84">
                  <c:v>76.099999999999994</c:v>
                </c:pt>
                <c:pt idx="85">
                  <c:v>88.6</c:v>
                </c:pt>
                <c:pt idx="86">
                  <c:v>85.2</c:v>
                </c:pt>
                <c:pt idx="87">
                  <c:v>91.3</c:v>
                </c:pt>
                <c:pt idx="88">
                  <c:v>92.2</c:v>
                </c:pt>
                <c:pt idx="89">
                  <c:v>97.7</c:v>
                </c:pt>
                <c:pt idx="90">
                  <c:v>99.6</c:v>
                </c:pt>
                <c:pt idx="91">
                  <c:v>99.4</c:v>
                </c:pt>
                <c:pt idx="92">
                  <c:v>105.6</c:v>
                </c:pt>
                <c:pt idx="93">
                  <c:v>101.4</c:v>
                </c:pt>
                <c:pt idx="94">
                  <c:v>94.1</c:v>
                </c:pt>
                <c:pt idx="95">
                  <c:v>91.2</c:v>
                </c:pt>
                <c:pt idx="96">
                  <c:v>89</c:v>
                </c:pt>
                <c:pt idx="97">
                  <c:v>105.1</c:v>
                </c:pt>
                <c:pt idx="98">
                  <c:v>99.3</c:v>
                </c:pt>
                <c:pt idx="99">
                  <c:v>104.3</c:v>
                </c:pt>
                <c:pt idx="100">
                  <c:v>102.5</c:v>
                </c:pt>
                <c:pt idx="101">
                  <c:v>106.9</c:v>
                </c:pt>
                <c:pt idx="102">
                  <c:v>108.1</c:v>
                </c:pt>
                <c:pt idx="103">
                  <c:v>105.8</c:v>
                </c:pt>
                <c:pt idx="104">
                  <c:v>107.7</c:v>
                </c:pt>
                <c:pt idx="105">
                  <c:v>106.8</c:v>
                </c:pt>
                <c:pt idx="106">
                  <c:v>96.6</c:v>
                </c:pt>
                <c:pt idx="107">
                  <c:v>93.2</c:v>
                </c:pt>
                <c:pt idx="108">
                  <c:v>95.4</c:v>
                </c:pt>
                <c:pt idx="109">
                  <c:v>104.4</c:v>
                </c:pt>
                <c:pt idx="110">
                  <c:v>97.5</c:v>
                </c:pt>
                <c:pt idx="111">
                  <c:v>107.1</c:v>
                </c:pt>
                <c:pt idx="112">
                  <c:v>102.8</c:v>
                </c:pt>
                <c:pt idx="113">
                  <c:v>106.1</c:v>
                </c:pt>
                <c:pt idx="114">
                  <c:v>110.8</c:v>
                </c:pt>
                <c:pt idx="115">
                  <c:v>104.8</c:v>
                </c:pt>
                <c:pt idx="116">
                  <c:v>106.3</c:v>
                </c:pt>
                <c:pt idx="117">
                  <c:v>104.2</c:v>
                </c:pt>
                <c:pt idx="118">
                  <c:v>95.7</c:v>
                </c:pt>
                <c:pt idx="119">
                  <c:v>88.7</c:v>
                </c:pt>
                <c:pt idx="120">
                  <c:v>89.8</c:v>
                </c:pt>
                <c:pt idx="121">
                  <c:v>99.7</c:v>
                </c:pt>
                <c:pt idx="122">
                  <c:v>92.8</c:v>
                </c:pt>
                <c:pt idx="123">
                  <c:v>102.5</c:v>
                </c:pt>
                <c:pt idx="124">
                  <c:v>98.3</c:v>
                </c:pt>
                <c:pt idx="125">
                  <c:v>104.5</c:v>
                </c:pt>
                <c:pt idx="126">
                  <c:v>111.5</c:v>
                </c:pt>
                <c:pt idx="127">
                  <c:v>103.4</c:v>
                </c:pt>
                <c:pt idx="128">
                  <c:v>111.8</c:v>
                </c:pt>
                <c:pt idx="129">
                  <c:v>104.8</c:v>
                </c:pt>
                <c:pt idx="130">
                  <c:v>92.2</c:v>
                </c:pt>
                <c:pt idx="131">
                  <c:v>94.5</c:v>
                </c:pt>
                <c:pt idx="132">
                  <c:v>88.1</c:v>
                </c:pt>
                <c:pt idx="133">
                  <c:v>97.7</c:v>
                </c:pt>
                <c:pt idx="134">
                  <c:v>101.8</c:v>
                </c:pt>
                <c:pt idx="135">
                  <c:v>105</c:v>
                </c:pt>
                <c:pt idx="136">
                  <c:v>101.7</c:v>
                </c:pt>
                <c:pt idx="137">
                  <c:v>108</c:v>
                </c:pt>
                <c:pt idx="138">
                  <c:v>112</c:v>
                </c:pt>
                <c:pt idx="139">
                  <c:v>107.3</c:v>
                </c:pt>
                <c:pt idx="140">
                  <c:v>112.6</c:v>
                </c:pt>
                <c:pt idx="141">
                  <c:v>106.1</c:v>
                </c:pt>
                <c:pt idx="142">
                  <c:v>90.1</c:v>
                </c:pt>
                <c:pt idx="143">
                  <c:v>92.6</c:v>
                </c:pt>
                <c:pt idx="144">
                  <c:v>92.3</c:v>
                </c:pt>
                <c:pt idx="145">
                  <c:v>97.3</c:v>
                </c:pt>
                <c:pt idx="146">
                  <c:v>96</c:v>
                </c:pt>
                <c:pt idx="147">
                  <c:v>101.7</c:v>
                </c:pt>
                <c:pt idx="148">
                  <c:v>94.9</c:v>
                </c:pt>
                <c:pt idx="149">
                  <c:v>104.4</c:v>
                </c:pt>
                <c:pt idx="150">
                  <c:v>106.3</c:v>
                </c:pt>
                <c:pt idx="151">
                  <c:v>105.6</c:v>
                </c:pt>
                <c:pt idx="152">
                  <c:v>109.3</c:v>
                </c:pt>
                <c:pt idx="153">
                  <c:v>99.8</c:v>
                </c:pt>
                <c:pt idx="154">
                  <c:v>87.7</c:v>
                </c:pt>
                <c:pt idx="155">
                  <c:v>88.1</c:v>
                </c:pt>
                <c:pt idx="156">
                  <c:v>83.7</c:v>
                </c:pt>
                <c:pt idx="157">
                  <c:v>94.3</c:v>
                </c:pt>
                <c:pt idx="158">
                  <c:v>88.8</c:v>
                </c:pt>
                <c:pt idx="159">
                  <c:v>93.1</c:v>
                </c:pt>
                <c:pt idx="160">
                  <c:v>92.5</c:v>
                </c:pt>
                <c:pt idx="161">
                  <c:v>95.5</c:v>
                </c:pt>
                <c:pt idx="162">
                  <c:v>97.6</c:v>
                </c:pt>
                <c:pt idx="163">
                  <c:v>94.3</c:v>
                </c:pt>
                <c:pt idx="164">
                  <c:v>97.2</c:v>
                </c:pt>
                <c:pt idx="165">
                  <c:v>87.6</c:v>
                </c:pt>
                <c:pt idx="166">
                  <c:v>77.2</c:v>
                </c:pt>
                <c:pt idx="167">
                  <c:v>76.3</c:v>
                </c:pt>
                <c:pt idx="168">
                  <c:v>75.8</c:v>
                </c:pt>
                <c:pt idx="169">
                  <c:v>83.7</c:v>
                </c:pt>
                <c:pt idx="170">
                  <c:v>83</c:v>
                </c:pt>
                <c:pt idx="171">
                  <c:v>86.3</c:v>
                </c:pt>
                <c:pt idx="172">
                  <c:v>87.7</c:v>
                </c:pt>
                <c:pt idx="173">
                  <c:v>89.6</c:v>
                </c:pt>
                <c:pt idx="174">
                  <c:v>93</c:v>
                </c:pt>
                <c:pt idx="175">
                  <c:v>90.7</c:v>
                </c:pt>
                <c:pt idx="176">
                  <c:v>90.2</c:v>
                </c:pt>
                <c:pt idx="177">
                  <c:v>86.5</c:v>
                </c:pt>
                <c:pt idx="178">
                  <c:v>77.2</c:v>
                </c:pt>
                <c:pt idx="179">
                  <c:v>77.900000000000006</c:v>
                </c:pt>
                <c:pt idx="180">
                  <c:v>75.900000000000006</c:v>
                </c:pt>
                <c:pt idx="181">
                  <c:v>85.4</c:v>
                </c:pt>
                <c:pt idx="182">
                  <c:v>79.3</c:v>
                </c:pt>
                <c:pt idx="183">
                  <c:v>90.1</c:v>
                </c:pt>
                <c:pt idx="184">
                  <c:v>88.4</c:v>
                </c:pt>
                <c:pt idx="185">
                  <c:v>92.1</c:v>
                </c:pt>
                <c:pt idx="186">
                  <c:v>96.7</c:v>
                </c:pt>
                <c:pt idx="187">
                  <c:v>93</c:v>
                </c:pt>
                <c:pt idx="188">
                  <c:v>95.1</c:v>
                </c:pt>
                <c:pt idx="189">
                  <c:v>90.6</c:v>
                </c:pt>
                <c:pt idx="190">
                  <c:v>81</c:v>
                </c:pt>
                <c:pt idx="191">
                  <c:v>82.3</c:v>
                </c:pt>
                <c:pt idx="192">
                  <c:v>77.3</c:v>
                </c:pt>
                <c:pt idx="193">
                  <c:v>86.2</c:v>
                </c:pt>
                <c:pt idx="194">
                  <c:v>86.5</c:v>
                </c:pt>
                <c:pt idx="195">
                  <c:v>84.4</c:v>
                </c:pt>
                <c:pt idx="196">
                  <c:v>91.1</c:v>
                </c:pt>
                <c:pt idx="197">
                  <c:v>95.8</c:v>
                </c:pt>
                <c:pt idx="198">
                  <c:v>98.2</c:v>
                </c:pt>
                <c:pt idx="199">
                  <c:v>90.7</c:v>
                </c:pt>
                <c:pt idx="200">
                  <c:v>95.8</c:v>
                </c:pt>
                <c:pt idx="201">
                  <c:v>89.5</c:v>
                </c:pt>
                <c:pt idx="202">
                  <c:v>78</c:v>
                </c:pt>
                <c:pt idx="203">
                  <c:v>80.7</c:v>
                </c:pt>
                <c:pt idx="204">
                  <c:v>79.099999999999994</c:v>
                </c:pt>
                <c:pt idx="205">
                  <c:v>81</c:v>
                </c:pt>
                <c:pt idx="206">
                  <c:v>83.3</c:v>
                </c:pt>
                <c:pt idx="207">
                  <c:v>91</c:v>
                </c:pt>
                <c:pt idx="208">
                  <c:v>85.8</c:v>
                </c:pt>
                <c:pt idx="209">
                  <c:v>93.4</c:v>
                </c:pt>
                <c:pt idx="210">
                  <c:v>96.2</c:v>
                </c:pt>
                <c:pt idx="211">
                  <c:v>91.8</c:v>
                </c:pt>
                <c:pt idx="212">
                  <c:v>97</c:v>
                </c:pt>
                <c:pt idx="213">
                  <c:v>88</c:v>
                </c:pt>
                <c:pt idx="214">
                  <c:v>76.900000000000006</c:v>
                </c:pt>
                <c:pt idx="215">
                  <c:v>80</c:v>
                </c:pt>
                <c:pt idx="216">
                  <c:v>78.900000000000006</c:v>
                </c:pt>
                <c:pt idx="217">
                  <c:v>77.900000000000006</c:v>
                </c:pt>
                <c:pt idx="218">
                  <c:v>60.3</c:v>
                </c:pt>
                <c:pt idx="219">
                  <c:v>71.2</c:v>
                </c:pt>
                <c:pt idx="220">
                  <c:v>78.400000000000006</c:v>
                </c:pt>
                <c:pt idx="221">
                  <c:v>91</c:v>
                </c:pt>
                <c:pt idx="222">
                  <c:v>93.9</c:v>
                </c:pt>
                <c:pt idx="223">
                  <c:v>95.4</c:v>
                </c:pt>
                <c:pt idx="224">
                  <c:v>97.3</c:v>
                </c:pt>
                <c:pt idx="225">
                  <c:v>90.2</c:v>
                </c:pt>
                <c:pt idx="226">
                  <c:v>83.3</c:v>
                </c:pt>
                <c:pt idx="227">
                  <c:v>81.900000000000006</c:v>
                </c:pt>
                <c:pt idx="228">
                  <c:v>79.099999999999994</c:v>
                </c:pt>
                <c:pt idx="229">
                  <c:v>86.1</c:v>
                </c:pt>
                <c:pt idx="230">
                  <c:v>81.3</c:v>
                </c:pt>
                <c:pt idx="231">
                  <c:v>88.4</c:v>
                </c:pt>
                <c:pt idx="232">
                  <c:v>87.9</c:v>
                </c:pt>
                <c:pt idx="233">
                  <c:v>92.2</c:v>
                </c:pt>
                <c:pt idx="234">
                  <c:v>93.4</c:v>
                </c:pt>
                <c:pt idx="235">
                  <c:v>91.5</c:v>
                </c:pt>
                <c:pt idx="236">
                  <c:v>89.7</c:v>
                </c:pt>
                <c:pt idx="237">
                  <c:v>86.3</c:v>
                </c:pt>
                <c:pt idx="238">
                  <c:v>79.2</c:v>
                </c:pt>
              </c:numCache>
            </c:numRef>
          </c:val>
          <c:smooth val="0"/>
          <c:extLst>
            <c:ext xmlns:c16="http://schemas.microsoft.com/office/drawing/2014/chart" uri="{C3380CC4-5D6E-409C-BE32-E72D297353CC}">
              <c16:uniqueId val="{00000000-9643-4C65-A2B1-675C4E1C1101}"/>
            </c:ext>
          </c:extLst>
        </c:ser>
        <c:ser>
          <c:idx val="1"/>
          <c:order val="1"/>
          <c:tx>
            <c:v>Detrended</c:v>
          </c:tx>
          <c:spPr>
            <a:ln w="19050" cap="rnd">
              <a:solidFill>
                <a:schemeClr val="accent2"/>
              </a:solidFill>
              <a:round/>
            </a:ln>
            <a:effectLst/>
          </c:spPr>
          <c:marker>
            <c:symbol val="none"/>
          </c:marker>
          <c:cat>
            <c:numRef>
              <c:f>DETREND!$F$9:$F$247</c:f>
              <c:numCache>
                <c:formatCode>[$-416]mmm\-yy;@</c:formatCode>
                <c:ptCount val="239"/>
                <c:pt idx="0">
                  <c:v>37288</c:v>
                </c:pt>
                <c:pt idx="1">
                  <c:v>37316</c:v>
                </c:pt>
                <c:pt idx="2">
                  <c:v>37347</c:v>
                </c:pt>
                <c:pt idx="3">
                  <c:v>37377</c:v>
                </c:pt>
                <c:pt idx="4">
                  <c:v>37408</c:v>
                </c:pt>
                <c:pt idx="5">
                  <c:v>37438</c:v>
                </c:pt>
                <c:pt idx="6">
                  <c:v>37469</c:v>
                </c:pt>
                <c:pt idx="7">
                  <c:v>37500</c:v>
                </c:pt>
                <c:pt idx="8">
                  <c:v>37530</c:v>
                </c:pt>
                <c:pt idx="9">
                  <c:v>37561</c:v>
                </c:pt>
                <c:pt idx="10">
                  <c:v>37591</c:v>
                </c:pt>
                <c:pt idx="11">
                  <c:v>37622</c:v>
                </c:pt>
                <c:pt idx="12">
                  <c:v>37653</c:v>
                </c:pt>
                <c:pt idx="13">
                  <c:v>37681</c:v>
                </c:pt>
                <c:pt idx="14">
                  <c:v>37712</c:v>
                </c:pt>
                <c:pt idx="15">
                  <c:v>37742</c:v>
                </c:pt>
                <c:pt idx="16">
                  <c:v>37773</c:v>
                </c:pt>
                <c:pt idx="17">
                  <c:v>37803</c:v>
                </c:pt>
                <c:pt idx="18">
                  <c:v>37834</c:v>
                </c:pt>
                <c:pt idx="19">
                  <c:v>37865</c:v>
                </c:pt>
                <c:pt idx="20">
                  <c:v>37895</c:v>
                </c:pt>
                <c:pt idx="21">
                  <c:v>37926</c:v>
                </c:pt>
                <c:pt idx="22">
                  <c:v>37956</c:v>
                </c:pt>
                <c:pt idx="23">
                  <c:v>37987</c:v>
                </c:pt>
                <c:pt idx="24">
                  <c:v>38018</c:v>
                </c:pt>
                <c:pt idx="25">
                  <c:v>38047</c:v>
                </c:pt>
                <c:pt idx="26">
                  <c:v>38078</c:v>
                </c:pt>
                <c:pt idx="27">
                  <c:v>38108</c:v>
                </c:pt>
                <c:pt idx="28">
                  <c:v>38139</c:v>
                </c:pt>
                <c:pt idx="29">
                  <c:v>38169</c:v>
                </c:pt>
                <c:pt idx="30">
                  <c:v>38200</c:v>
                </c:pt>
                <c:pt idx="31">
                  <c:v>38231</c:v>
                </c:pt>
                <c:pt idx="32">
                  <c:v>38261</c:v>
                </c:pt>
                <c:pt idx="33">
                  <c:v>38292</c:v>
                </c:pt>
                <c:pt idx="34">
                  <c:v>38322</c:v>
                </c:pt>
                <c:pt idx="35">
                  <c:v>38353</c:v>
                </c:pt>
                <c:pt idx="36">
                  <c:v>38384</c:v>
                </c:pt>
                <c:pt idx="37">
                  <c:v>38412</c:v>
                </c:pt>
                <c:pt idx="38">
                  <c:v>38443</c:v>
                </c:pt>
                <c:pt idx="39">
                  <c:v>38473</c:v>
                </c:pt>
                <c:pt idx="40">
                  <c:v>38504</c:v>
                </c:pt>
                <c:pt idx="41">
                  <c:v>38534</c:v>
                </c:pt>
                <c:pt idx="42">
                  <c:v>38565</c:v>
                </c:pt>
                <c:pt idx="43">
                  <c:v>38596</c:v>
                </c:pt>
                <c:pt idx="44">
                  <c:v>38626</c:v>
                </c:pt>
                <c:pt idx="45">
                  <c:v>38657</c:v>
                </c:pt>
                <c:pt idx="46">
                  <c:v>38687</c:v>
                </c:pt>
                <c:pt idx="47">
                  <c:v>38718</c:v>
                </c:pt>
                <c:pt idx="48">
                  <c:v>38749</c:v>
                </c:pt>
                <c:pt idx="49">
                  <c:v>38777</c:v>
                </c:pt>
                <c:pt idx="50">
                  <c:v>38808</c:v>
                </c:pt>
                <c:pt idx="51">
                  <c:v>38838</c:v>
                </c:pt>
                <c:pt idx="52">
                  <c:v>38869</c:v>
                </c:pt>
                <c:pt idx="53">
                  <c:v>38899</c:v>
                </c:pt>
                <c:pt idx="54">
                  <c:v>38930</c:v>
                </c:pt>
                <c:pt idx="55">
                  <c:v>38961</c:v>
                </c:pt>
                <c:pt idx="56">
                  <c:v>38991</c:v>
                </c:pt>
                <c:pt idx="57">
                  <c:v>39022</c:v>
                </c:pt>
                <c:pt idx="58">
                  <c:v>39052</c:v>
                </c:pt>
                <c:pt idx="59">
                  <c:v>39083</c:v>
                </c:pt>
                <c:pt idx="60">
                  <c:v>39114</c:v>
                </c:pt>
                <c:pt idx="61">
                  <c:v>39142</c:v>
                </c:pt>
                <c:pt idx="62">
                  <c:v>39173</c:v>
                </c:pt>
                <c:pt idx="63">
                  <c:v>39203</c:v>
                </c:pt>
                <c:pt idx="64">
                  <c:v>39234</c:v>
                </c:pt>
                <c:pt idx="65">
                  <c:v>39264</c:v>
                </c:pt>
                <c:pt idx="66">
                  <c:v>39295</c:v>
                </c:pt>
                <c:pt idx="67">
                  <c:v>39326</c:v>
                </c:pt>
                <c:pt idx="68">
                  <c:v>39356</c:v>
                </c:pt>
                <c:pt idx="69">
                  <c:v>39387</c:v>
                </c:pt>
                <c:pt idx="70">
                  <c:v>39417</c:v>
                </c:pt>
                <c:pt idx="71">
                  <c:v>39448</c:v>
                </c:pt>
                <c:pt idx="72">
                  <c:v>39479</c:v>
                </c:pt>
                <c:pt idx="73">
                  <c:v>39508</c:v>
                </c:pt>
                <c:pt idx="74">
                  <c:v>39539</c:v>
                </c:pt>
                <c:pt idx="75">
                  <c:v>39569</c:v>
                </c:pt>
                <c:pt idx="76">
                  <c:v>39600</c:v>
                </c:pt>
                <c:pt idx="77">
                  <c:v>39630</c:v>
                </c:pt>
                <c:pt idx="78">
                  <c:v>39661</c:v>
                </c:pt>
                <c:pt idx="79">
                  <c:v>39692</c:v>
                </c:pt>
                <c:pt idx="80">
                  <c:v>39722</c:v>
                </c:pt>
                <c:pt idx="81">
                  <c:v>39753</c:v>
                </c:pt>
                <c:pt idx="82">
                  <c:v>39783</c:v>
                </c:pt>
                <c:pt idx="83">
                  <c:v>39814</c:v>
                </c:pt>
                <c:pt idx="84">
                  <c:v>39845</c:v>
                </c:pt>
                <c:pt idx="85">
                  <c:v>39873</c:v>
                </c:pt>
                <c:pt idx="86">
                  <c:v>39904</c:v>
                </c:pt>
                <c:pt idx="87">
                  <c:v>39934</c:v>
                </c:pt>
                <c:pt idx="88">
                  <c:v>39965</c:v>
                </c:pt>
                <c:pt idx="89">
                  <c:v>39995</c:v>
                </c:pt>
                <c:pt idx="90">
                  <c:v>40026</c:v>
                </c:pt>
                <c:pt idx="91">
                  <c:v>40057</c:v>
                </c:pt>
                <c:pt idx="92">
                  <c:v>40087</c:v>
                </c:pt>
                <c:pt idx="93">
                  <c:v>40118</c:v>
                </c:pt>
                <c:pt idx="94">
                  <c:v>40148</c:v>
                </c:pt>
                <c:pt idx="95">
                  <c:v>40179</c:v>
                </c:pt>
                <c:pt idx="96">
                  <c:v>40210</c:v>
                </c:pt>
                <c:pt idx="97">
                  <c:v>40238</c:v>
                </c:pt>
                <c:pt idx="98">
                  <c:v>40269</c:v>
                </c:pt>
                <c:pt idx="99">
                  <c:v>40299</c:v>
                </c:pt>
                <c:pt idx="100">
                  <c:v>40330</c:v>
                </c:pt>
                <c:pt idx="101">
                  <c:v>40360</c:v>
                </c:pt>
                <c:pt idx="102">
                  <c:v>40391</c:v>
                </c:pt>
                <c:pt idx="103">
                  <c:v>40422</c:v>
                </c:pt>
                <c:pt idx="104">
                  <c:v>40452</c:v>
                </c:pt>
                <c:pt idx="105">
                  <c:v>40483</c:v>
                </c:pt>
                <c:pt idx="106">
                  <c:v>40513</c:v>
                </c:pt>
                <c:pt idx="107">
                  <c:v>40544</c:v>
                </c:pt>
                <c:pt idx="108">
                  <c:v>40575</c:v>
                </c:pt>
                <c:pt idx="109">
                  <c:v>40603</c:v>
                </c:pt>
                <c:pt idx="110">
                  <c:v>40634</c:v>
                </c:pt>
                <c:pt idx="111">
                  <c:v>40664</c:v>
                </c:pt>
                <c:pt idx="112">
                  <c:v>40695</c:v>
                </c:pt>
                <c:pt idx="113">
                  <c:v>40725</c:v>
                </c:pt>
                <c:pt idx="114">
                  <c:v>40756</c:v>
                </c:pt>
                <c:pt idx="115">
                  <c:v>40787</c:v>
                </c:pt>
                <c:pt idx="116">
                  <c:v>40817</c:v>
                </c:pt>
                <c:pt idx="117">
                  <c:v>40848</c:v>
                </c:pt>
                <c:pt idx="118">
                  <c:v>40878</c:v>
                </c:pt>
                <c:pt idx="119">
                  <c:v>40909</c:v>
                </c:pt>
                <c:pt idx="120">
                  <c:v>40940</c:v>
                </c:pt>
                <c:pt idx="121">
                  <c:v>40969</c:v>
                </c:pt>
                <c:pt idx="122">
                  <c:v>41000</c:v>
                </c:pt>
                <c:pt idx="123">
                  <c:v>41030</c:v>
                </c:pt>
                <c:pt idx="124">
                  <c:v>41061</c:v>
                </c:pt>
                <c:pt idx="125">
                  <c:v>41091</c:v>
                </c:pt>
                <c:pt idx="126">
                  <c:v>41122</c:v>
                </c:pt>
                <c:pt idx="127">
                  <c:v>41153</c:v>
                </c:pt>
                <c:pt idx="128">
                  <c:v>41183</c:v>
                </c:pt>
                <c:pt idx="129">
                  <c:v>41214</c:v>
                </c:pt>
                <c:pt idx="130">
                  <c:v>41244</c:v>
                </c:pt>
                <c:pt idx="131">
                  <c:v>41275</c:v>
                </c:pt>
                <c:pt idx="132">
                  <c:v>41306</c:v>
                </c:pt>
                <c:pt idx="133">
                  <c:v>41334</c:v>
                </c:pt>
                <c:pt idx="134">
                  <c:v>41365</c:v>
                </c:pt>
                <c:pt idx="135">
                  <c:v>41395</c:v>
                </c:pt>
                <c:pt idx="136">
                  <c:v>41426</c:v>
                </c:pt>
                <c:pt idx="137">
                  <c:v>41456</c:v>
                </c:pt>
                <c:pt idx="138">
                  <c:v>41487</c:v>
                </c:pt>
                <c:pt idx="139">
                  <c:v>41518</c:v>
                </c:pt>
                <c:pt idx="140">
                  <c:v>41548</c:v>
                </c:pt>
                <c:pt idx="141">
                  <c:v>41579</c:v>
                </c:pt>
                <c:pt idx="142">
                  <c:v>41609</c:v>
                </c:pt>
                <c:pt idx="143">
                  <c:v>41640</c:v>
                </c:pt>
                <c:pt idx="144">
                  <c:v>41671</c:v>
                </c:pt>
                <c:pt idx="145">
                  <c:v>41699</c:v>
                </c:pt>
                <c:pt idx="146">
                  <c:v>41730</c:v>
                </c:pt>
                <c:pt idx="147">
                  <c:v>41760</c:v>
                </c:pt>
                <c:pt idx="148">
                  <c:v>41791</c:v>
                </c:pt>
                <c:pt idx="149">
                  <c:v>41821</c:v>
                </c:pt>
                <c:pt idx="150">
                  <c:v>41852</c:v>
                </c:pt>
                <c:pt idx="151">
                  <c:v>41883</c:v>
                </c:pt>
                <c:pt idx="152">
                  <c:v>41913</c:v>
                </c:pt>
                <c:pt idx="153">
                  <c:v>41944</c:v>
                </c:pt>
                <c:pt idx="154">
                  <c:v>41974</c:v>
                </c:pt>
                <c:pt idx="155">
                  <c:v>42005</c:v>
                </c:pt>
                <c:pt idx="156">
                  <c:v>42036</c:v>
                </c:pt>
                <c:pt idx="157">
                  <c:v>42064</c:v>
                </c:pt>
                <c:pt idx="158">
                  <c:v>42095</c:v>
                </c:pt>
                <c:pt idx="159">
                  <c:v>42125</c:v>
                </c:pt>
                <c:pt idx="160">
                  <c:v>42156</c:v>
                </c:pt>
                <c:pt idx="161">
                  <c:v>42186</c:v>
                </c:pt>
                <c:pt idx="162">
                  <c:v>42217</c:v>
                </c:pt>
                <c:pt idx="163">
                  <c:v>42248</c:v>
                </c:pt>
                <c:pt idx="164">
                  <c:v>42278</c:v>
                </c:pt>
                <c:pt idx="165">
                  <c:v>42309</c:v>
                </c:pt>
                <c:pt idx="166">
                  <c:v>42339</c:v>
                </c:pt>
                <c:pt idx="167">
                  <c:v>42370</c:v>
                </c:pt>
                <c:pt idx="168">
                  <c:v>42401</c:v>
                </c:pt>
                <c:pt idx="169">
                  <c:v>42430</c:v>
                </c:pt>
                <c:pt idx="170">
                  <c:v>42461</c:v>
                </c:pt>
                <c:pt idx="171">
                  <c:v>42491</c:v>
                </c:pt>
                <c:pt idx="172">
                  <c:v>42522</c:v>
                </c:pt>
                <c:pt idx="173">
                  <c:v>42552</c:v>
                </c:pt>
                <c:pt idx="174">
                  <c:v>42583</c:v>
                </c:pt>
                <c:pt idx="175">
                  <c:v>42614</c:v>
                </c:pt>
                <c:pt idx="176">
                  <c:v>42644</c:v>
                </c:pt>
                <c:pt idx="177">
                  <c:v>42675</c:v>
                </c:pt>
                <c:pt idx="178">
                  <c:v>42705</c:v>
                </c:pt>
                <c:pt idx="179">
                  <c:v>42736</c:v>
                </c:pt>
                <c:pt idx="180">
                  <c:v>42767</c:v>
                </c:pt>
                <c:pt idx="181">
                  <c:v>42795</c:v>
                </c:pt>
                <c:pt idx="182">
                  <c:v>42826</c:v>
                </c:pt>
                <c:pt idx="183">
                  <c:v>42856</c:v>
                </c:pt>
                <c:pt idx="184">
                  <c:v>42887</c:v>
                </c:pt>
                <c:pt idx="185">
                  <c:v>42917</c:v>
                </c:pt>
                <c:pt idx="186">
                  <c:v>42948</c:v>
                </c:pt>
                <c:pt idx="187">
                  <c:v>42979</c:v>
                </c:pt>
                <c:pt idx="188">
                  <c:v>43009</c:v>
                </c:pt>
                <c:pt idx="189">
                  <c:v>43040</c:v>
                </c:pt>
                <c:pt idx="190">
                  <c:v>43070</c:v>
                </c:pt>
                <c:pt idx="191">
                  <c:v>43101</c:v>
                </c:pt>
                <c:pt idx="192">
                  <c:v>43132</c:v>
                </c:pt>
                <c:pt idx="193">
                  <c:v>43160</c:v>
                </c:pt>
                <c:pt idx="194">
                  <c:v>43191</c:v>
                </c:pt>
                <c:pt idx="195">
                  <c:v>43221</c:v>
                </c:pt>
                <c:pt idx="196">
                  <c:v>43252</c:v>
                </c:pt>
                <c:pt idx="197">
                  <c:v>43282</c:v>
                </c:pt>
                <c:pt idx="198">
                  <c:v>43313</c:v>
                </c:pt>
                <c:pt idx="199">
                  <c:v>43344</c:v>
                </c:pt>
                <c:pt idx="200">
                  <c:v>43374</c:v>
                </c:pt>
                <c:pt idx="201">
                  <c:v>43405</c:v>
                </c:pt>
                <c:pt idx="202">
                  <c:v>43435</c:v>
                </c:pt>
                <c:pt idx="203">
                  <c:v>43466</c:v>
                </c:pt>
                <c:pt idx="204">
                  <c:v>43497</c:v>
                </c:pt>
                <c:pt idx="205">
                  <c:v>43525</c:v>
                </c:pt>
                <c:pt idx="206">
                  <c:v>43556</c:v>
                </c:pt>
                <c:pt idx="207">
                  <c:v>43586</c:v>
                </c:pt>
                <c:pt idx="208">
                  <c:v>43617</c:v>
                </c:pt>
                <c:pt idx="209">
                  <c:v>43647</c:v>
                </c:pt>
                <c:pt idx="210">
                  <c:v>43678</c:v>
                </c:pt>
                <c:pt idx="211">
                  <c:v>43709</c:v>
                </c:pt>
                <c:pt idx="212">
                  <c:v>43739</c:v>
                </c:pt>
                <c:pt idx="213">
                  <c:v>43770</c:v>
                </c:pt>
                <c:pt idx="214">
                  <c:v>43800</c:v>
                </c:pt>
                <c:pt idx="215">
                  <c:v>43831</c:v>
                </c:pt>
                <c:pt idx="216">
                  <c:v>43862</c:v>
                </c:pt>
                <c:pt idx="217">
                  <c:v>43891</c:v>
                </c:pt>
                <c:pt idx="218">
                  <c:v>43922</c:v>
                </c:pt>
                <c:pt idx="219">
                  <c:v>43952</c:v>
                </c:pt>
                <c:pt idx="220">
                  <c:v>43983</c:v>
                </c:pt>
                <c:pt idx="221">
                  <c:v>44013</c:v>
                </c:pt>
                <c:pt idx="222">
                  <c:v>44044</c:v>
                </c:pt>
                <c:pt idx="223">
                  <c:v>44075</c:v>
                </c:pt>
                <c:pt idx="224">
                  <c:v>44105</c:v>
                </c:pt>
                <c:pt idx="225">
                  <c:v>44136</c:v>
                </c:pt>
                <c:pt idx="226">
                  <c:v>44166</c:v>
                </c:pt>
                <c:pt idx="227">
                  <c:v>44197</c:v>
                </c:pt>
                <c:pt idx="228">
                  <c:v>44228</c:v>
                </c:pt>
                <c:pt idx="229">
                  <c:v>44256</c:v>
                </c:pt>
                <c:pt idx="230">
                  <c:v>44287</c:v>
                </c:pt>
                <c:pt idx="231">
                  <c:v>44317</c:v>
                </c:pt>
                <c:pt idx="232">
                  <c:v>44348</c:v>
                </c:pt>
                <c:pt idx="233">
                  <c:v>44378</c:v>
                </c:pt>
                <c:pt idx="234">
                  <c:v>44409</c:v>
                </c:pt>
                <c:pt idx="235">
                  <c:v>44440</c:v>
                </c:pt>
                <c:pt idx="236">
                  <c:v>44470</c:v>
                </c:pt>
                <c:pt idx="237">
                  <c:v>44501</c:v>
                </c:pt>
                <c:pt idx="238">
                  <c:v>44531</c:v>
                </c:pt>
              </c:numCache>
            </c:numRef>
          </c:cat>
          <c:val>
            <c:numRef>
              <c:f>DETREND!$J$9:$J$297</c:f>
              <c:numCache>
                <c:formatCode>0.0</c:formatCode>
                <c:ptCount val="289"/>
                <c:pt idx="0">
                  <c:v>-21.321939790621471</c:v>
                </c:pt>
                <c:pt idx="1">
                  <c:v>-13.624782070869387</c:v>
                </c:pt>
                <c:pt idx="2">
                  <c:v>-11.427624351117331</c:v>
                </c:pt>
                <c:pt idx="3">
                  <c:v>-10.630466631365238</c:v>
                </c:pt>
                <c:pt idx="4">
                  <c:v>-13.533308911613162</c:v>
                </c:pt>
                <c:pt idx="5">
                  <c:v>-7.736151191861083</c:v>
                </c:pt>
                <c:pt idx="6">
                  <c:v>-7.4389934721090043</c:v>
                </c:pt>
                <c:pt idx="7">
                  <c:v>-8.9418357523569227</c:v>
                </c:pt>
                <c:pt idx="8">
                  <c:v>-1.8446780326048469</c:v>
                </c:pt>
                <c:pt idx="9">
                  <c:v>-7.1475203128527625</c:v>
                </c:pt>
                <c:pt idx="10">
                  <c:v>-16.450362593100692</c:v>
                </c:pt>
                <c:pt idx="11">
                  <c:v>-17.053204873348605</c:v>
                </c:pt>
                <c:pt idx="12">
                  <c:v>-19.256047153596526</c:v>
                </c:pt>
                <c:pt idx="13">
                  <c:v>-13.658889433844436</c:v>
                </c:pt>
                <c:pt idx="14">
                  <c:v>-14.56173171409236</c:v>
                </c:pt>
                <c:pt idx="15">
                  <c:v>-11.36457399434029</c:v>
                </c:pt>
                <c:pt idx="16">
                  <c:v>-14.767416274588214</c:v>
                </c:pt>
                <c:pt idx="17">
                  <c:v>-9.7702585548361327</c:v>
                </c:pt>
                <c:pt idx="18">
                  <c:v>-9.473100835084054</c:v>
                </c:pt>
                <c:pt idx="19">
                  <c:v>-5.3759431153319639</c:v>
                </c:pt>
                <c:pt idx="20">
                  <c:v>-1.0787853955798852</c:v>
                </c:pt>
                <c:pt idx="21">
                  <c:v>-6.4816276758278235</c:v>
                </c:pt>
                <c:pt idx="22">
                  <c:v>-13.184469956075731</c:v>
                </c:pt>
                <c:pt idx="23">
                  <c:v>-14.287312236323658</c:v>
                </c:pt>
                <c:pt idx="24">
                  <c:v>-17.090154516571573</c:v>
                </c:pt>
                <c:pt idx="25">
                  <c:v>-4.1929967968194859</c:v>
                </c:pt>
                <c:pt idx="26">
                  <c:v>-8.8958390770674072</c:v>
                </c:pt>
                <c:pt idx="27">
                  <c:v>-4.7986813573153455</c:v>
                </c:pt>
                <c:pt idx="28">
                  <c:v>-5.0015236375632668</c:v>
                </c:pt>
                <c:pt idx="29">
                  <c:v>-1.0043659178111852</c:v>
                </c:pt>
                <c:pt idx="30">
                  <c:v>0.99279180194089633</c:v>
                </c:pt>
                <c:pt idx="31">
                  <c:v>0.9899495216929779</c:v>
                </c:pt>
                <c:pt idx="32">
                  <c:v>2.3871072414450651</c:v>
                </c:pt>
                <c:pt idx="33">
                  <c:v>0.68426496119714386</c:v>
                </c:pt>
                <c:pt idx="34">
                  <c:v>-6.4185773190507831</c:v>
                </c:pt>
                <c:pt idx="35">
                  <c:v>-10.121419599298704</c:v>
                </c:pt>
                <c:pt idx="36">
                  <c:v>-14.724261879546617</c:v>
                </c:pt>
                <c:pt idx="37">
                  <c:v>-3.1271041597945413</c:v>
                </c:pt>
                <c:pt idx="38">
                  <c:v>-4.1299464400424597</c:v>
                </c:pt>
                <c:pt idx="39">
                  <c:v>-3.2788720290383822E-2</c:v>
                </c:pt>
                <c:pt idx="40">
                  <c:v>0.2643689994616949</c:v>
                </c:pt>
                <c:pt idx="41">
                  <c:v>-0.63847328078622922</c:v>
                </c:pt>
                <c:pt idx="42">
                  <c:v>4.4586844389658467</c:v>
                </c:pt>
                <c:pt idx="43">
                  <c:v>0.8558421587179339</c:v>
                </c:pt>
                <c:pt idx="44">
                  <c:v>2.5529998784700183</c:v>
                </c:pt>
                <c:pt idx="45">
                  <c:v>1.2501575982221027</c:v>
                </c:pt>
                <c:pt idx="46">
                  <c:v>-4.5526846820258413</c:v>
                </c:pt>
                <c:pt idx="47">
                  <c:v>-7.4555269622737512</c:v>
                </c:pt>
                <c:pt idx="48">
                  <c:v>-10.95836924252167</c:v>
                </c:pt>
                <c:pt idx="49">
                  <c:v>1.2387884772304147</c:v>
                </c:pt>
                <c:pt idx="50">
                  <c:v>-5.4640538030175065</c:v>
                </c:pt>
                <c:pt idx="51">
                  <c:v>4.2331039167345779</c:v>
                </c:pt>
                <c:pt idx="52">
                  <c:v>-6.9738363513351942E-2</c:v>
                </c:pt>
                <c:pt idx="53">
                  <c:v>2.6274193562387183</c:v>
                </c:pt>
                <c:pt idx="54">
                  <c:v>7.424577075990797</c:v>
                </c:pt>
                <c:pt idx="55">
                  <c:v>2.0217347957428871</c:v>
                </c:pt>
                <c:pt idx="56">
                  <c:v>6.3188925154949658</c:v>
                </c:pt>
                <c:pt idx="57">
                  <c:v>4.716050235247053</c:v>
                </c:pt>
                <c:pt idx="58">
                  <c:v>-4.1867920450008711</c:v>
                </c:pt>
                <c:pt idx="59">
                  <c:v>-4.1896343252488037</c:v>
                </c:pt>
                <c:pt idx="60">
                  <c:v>-8.5924766054967279</c:v>
                </c:pt>
                <c:pt idx="61">
                  <c:v>5.2046811142553651</c:v>
                </c:pt>
                <c:pt idx="62">
                  <c:v>-0.59816116599256475</c:v>
                </c:pt>
                <c:pt idx="63">
                  <c:v>8.6989965537595282</c:v>
                </c:pt>
                <c:pt idx="64">
                  <c:v>5.6961542735116097</c:v>
                </c:pt>
                <c:pt idx="65">
                  <c:v>8.5933119932636828</c:v>
                </c:pt>
                <c:pt idx="66">
                  <c:v>13.690469713015759</c:v>
                </c:pt>
                <c:pt idx="67">
                  <c:v>7.1876274327678402</c:v>
                </c:pt>
                <c:pt idx="68">
                  <c:v>16.584785152519913</c:v>
                </c:pt>
                <c:pt idx="69">
                  <c:v>11.181942872272003</c:v>
                </c:pt>
                <c:pt idx="70">
                  <c:v>1.3791005920240735</c:v>
                </c:pt>
                <c:pt idx="71">
                  <c:v>3.5762583117761579</c:v>
                </c:pt>
                <c:pt idx="72">
                  <c:v>-0.12658396847177755</c:v>
                </c:pt>
                <c:pt idx="73">
                  <c:v>6.4705737512803125</c:v>
                </c:pt>
                <c:pt idx="74">
                  <c:v>7.9677314710323941</c:v>
                </c:pt>
                <c:pt idx="75">
                  <c:v>11.264889190784473</c:v>
                </c:pt>
                <c:pt idx="76">
                  <c:v>12.062046910536552</c:v>
                </c:pt>
                <c:pt idx="77">
                  <c:v>17.259204630288636</c:v>
                </c:pt>
                <c:pt idx="78">
                  <c:v>15.656362350040723</c:v>
                </c:pt>
                <c:pt idx="79">
                  <c:v>16.053520069792782</c:v>
                </c:pt>
                <c:pt idx="80">
                  <c:v>17.150677789544872</c:v>
                </c:pt>
                <c:pt idx="81">
                  <c:v>4.9478355092969508</c:v>
                </c:pt>
                <c:pt idx="82">
                  <c:v>-12.155006770950976</c:v>
                </c:pt>
                <c:pt idx="83">
                  <c:v>-12.557849051198886</c:v>
                </c:pt>
                <c:pt idx="84">
                  <c:v>-15.160691331446813</c:v>
                </c:pt>
                <c:pt idx="85">
                  <c:v>-2.6635336116947457</c:v>
                </c:pt>
                <c:pt idx="86">
                  <c:v>-6.0663758919426556</c:v>
                </c:pt>
                <c:pt idx="87">
                  <c:v>3.0781827809420292E-2</c:v>
                </c:pt>
                <c:pt idx="88">
                  <c:v>0.92793954756150754</c:v>
                </c:pt>
                <c:pt idx="89">
                  <c:v>6.4250972673135891</c:v>
                </c:pt>
                <c:pt idx="90">
                  <c:v>8.3222549870656621</c:v>
                </c:pt>
                <c:pt idx="91">
                  <c:v>8.1194127068177409</c:v>
                </c:pt>
                <c:pt idx="92">
                  <c:v>14.316570426569811</c:v>
                </c:pt>
                <c:pt idx="93">
                  <c:v>10.113728146321904</c:v>
                </c:pt>
                <c:pt idx="94">
                  <c:v>2.8108858660739742</c:v>
                </c:pt>
                <c:pt idx="95">
                  <c:v>-9.1956414173935741E-2</c:v>
                </c:pt>
                <c:pt idx="96">
                  <c:v>-2.294798694421857</c:v>
                </c:pt>
                <c:pt idx="97">
                  <c:v>13.802359025330219</c:v>
                </c:pt>
                <c:pt idx="98">
                  <c:v>7.999516745082289</c:v>
                </c:pt>
                <c:pt idx="99">
                  <c:v>12.996674464834371</c:v>
                </c:pt>
                <c:pt idx="100">
                  <c:v>11.193832184586455</c:v>
                </c:pt>
                <c:pt idx="101">
                  <c:v>15.590989904338542</c:v>
                </c:pt>
                <c:pt idx="102">
                  <c:v>16.788147624090612</c:v>
                </c:pt>
                <c:pt idx="103">
                  <c:v>14.485305343842697</c:v>
                </c:pt>
                <c:pt idx="104">
                  <c:v>16.38246306359477</c:v>
                </c:pt>
                <c:pt idx="105">
                  <c:v>15.479620783346846</c:v>
                </c:pt>
                <c:pt idx="106">
                  <c:v>5.2767785030989245</c:v>
                </c:pt>
                <c:pt idx="107">
                  <c:v>1.8739362228510146</c:v>
                </c:pt>
                <c:pt idx="108">
                  <c:v>4.071093942603099</c:v>
                </c:pt>
                <c:pt idx="109">
                  <c:v>13.068251662355181</c:v>
                </c:pt>
                <c:pt idx="110">
                  <c:v>6.1654093821072422</c:v>
                </c:pt>
                <c:pt idx="111">
                  <c:v>15.762567101859318</c:v>
                </c:pt>
                <c:pt idx="112">
                  <c:v>11.459724821611402</c:v>
                </c:pt>
                <c:pt idx="113">
                  <c:v>14.756882541363481</c:v>
                </c:pt>
                <c:pt idx="114">
                  <c:v>19.454040261115566</c:v>
                </c:pt>
                <c:pt idx="115">
                  <c:v>13.451197980867647</c:v>
                </c:pt>
                <c:pt idx="116">
                  <c:v>14.948355700619729</c:v>
                </c:pt>
                <c:pt idx="117">
                  <c:v>12.845513420371802</c:v>
                </c:pt>
                <c:pt idx="118">
                  <c:v>4.3426711401238833</c:v>
                </c:pt>
                <c:pt idx="119">
                  <c:v>-2.6601711401240351</c:v>
                </c:pt>
                <c:pt idx="120">
                  <c:v>-1.5630134203719592</c:v>
                </c:pt>
                <c:pt idx="121">
                  <c:v>8.334144299380128</c:v>
                </c:pt>
                <c:pt idx="122">
                  <c:v>1.4313020191322039</c:v>
                </c:pt>
                <c:pt idx="123">
                  <c:v>11.128459738884274</c:v>
                </c:pt>
                <c:pt idx="124">
                  <c:v>6.9256174586363528</c:v>
                </c:pt>
                <c:pt idx="125">
                  <c:v>13.122775178388437</c:v>
                </c:pt>
                <c:pt idx="126">
                  <c:v>20.119932898140519</c:v>
                </c:pt>
                <c:pt idx="127">
                  <c:v>12.017090617892606</c:v>
                </c:pt>
                <c:pt idx="128">
                  <c:v>20.414248337644679</c:v>
                </c:pt>
                <c:pt idx="129">
                  <c:v>13.411406057396761</c:v>
                </c:pt>
                <c:pt idx="130">
                  <c:v>0.80856377714883365</c:v>
                </c:pt>
                <c:pt idx="131">
                  <c:v>3.1057214969009124</c:v>
                </c:pt>
                <c:pt idx="132">
                  <c:v>-3.2971207833470118</c:v>
                </c:pt>
                <c:pt idx="133">
                  <c:v>6.3000369364050783</c:v>
                </c:pt>
                <c:pt idx="134">
                  <c:v>10.397194656157154</c:v>
                </c:pt>
                <c:pt idx="135">
                  <c:v>13.594352375909239</c:v>
                </c:pt>
                <c:pt idx="136">
                  <c:v>10.291510095661309</c:v>
                </c:pt>
                <c:pt idx="137">
                  <c:v>16.588667815413388</c:v>
                </c:pt>
                <c:pt idx="138">
                  <c:v>20.585825535165469</c:v>
                </c:pt>
                <c:pt idx="139">
                  <c:v>15.882983254917548</c:v>
                </c:pt>
                <c:pt idx="140">
                  <c:v>21.180140974669627</c:v>
                </c:pt>
                <c:pt idx="141">
                  <c:v>14.677298694421708</c:v>
                </c:pt>
                <c:pt idx="142">
                  <c:v>-1.3255435858262103</c:v>
                </c:pt>
                <c:pt idx="143">
                  <c:v>1.171614133925857</c:v>
                </c:pt>
                <c:pt idx="144">
                  <c:v>0.86877185367794141</c:v>
                </c:pt>
                <c:pt idx="145">
                  <c:v>5.865929573430023</c:v>
                </c:pt>
                <c:pt idx="146">
                  <c:v>4.5630872931821074</c:v>
                </c:pt>
                <c:pt idx="147">
                  <c:v>10.260245012934192</c:v>
                </c:pt>
                <c:pt idx="148">
                  <c:v>3.4574027326862762</c:v>
                </c:pt>
                <c:pt idx="149">
                  <c:v>12.954560452438344</c:v>
                </c:pt>
                <c:pt idx="150">
                  <c:v>14.851718172190417</c:v>
                </c:pt>
                <c:pt idx="151">
                  <c:v>14.148875891942495</c:v>
                </c:pt>
                <c:pt idx="152">
                  <c:v>17.84603361169458</c:v>
                </c:pt>
                <c:pt idx="153">
                  <c:v>8.3431913314466613</c:v>
                </c:pt>
                <c:pt idx="154">
                  <c:v>-3.7596509488012515</c:v>
                </c:pt>
                <c:pt idx="155">
                  <c:v>-3.3624932290491927</c:v>
                </c:pt>
                <c:pt idx="156">
                  <c:v>-7.7653355092971026</c:v>
                </c:pt>
                <c:pt idx="157">
                  <c:v>2.8318222104549733</c:v>
                </c:pt>
                <c:pt idx="158">
                  <c:v>-2.6710200697929452</c:v>
                </c:pt>
                <c:pt idx="159">
                  <c:v>1.6261376499591336</c:v>
                </c:pt>
                <c:pt idx="160">
                  <c:v>1.0232953697112208</c:v>
                </c:pt>
                <c:pt idx="161">
                  <c:v>4.0204530894633024</c:v>
                </c:pt>
                <c:pt idx="162">
                  <c:v>6.117610809215364</c:v>
                </c:pt>
                <c:pt idx="163">
                  <c:v>2.8147685289674484</c:v>
                </c:pt>
                <c:pt idx="164">
                  <c:v>5.7119262487195357</c:v>
                </c:pt>
                <c:pt idx="165">
                  <c:v>-3.8909160315283913</c:v>
                </c:pt>
                <c:pt idx="166">
                  <c:v>-14.293758311776301</c:v>
                </c:pt>
                <c:pt idx="167">
                  <c:v>-15.196600592024225</c:v>
                </c:pt>
                <c:pt idx="168">
                  <c:v>-15.699442872272158</c:v>
                </c:pt>
                <c:pt idx="169">
                  <c:v>-7.8022851525200707</c:v>
                </c:pt>
                <c:pt idx="170">
                  <c:v>-8.505127432767992</c:v>
                </c:pt>
                <c:pt idx="171">
                  <c:v>-5.2079697130159133</c:v>
                </c:pt>
                <c:pt idx="172">
                  <c:v>-3.810811993263826</c:v>
                </c:pt>
                <c:pt idx="173">
                  <c:v>-1.913654273511753</c:v>
                </c:pt>
                <c:pt idx="174">
                  <c:v>1.48350344624032</c:v>
                </c:pt>
                <c:pt idx="175">
                  <c:v>-0.81933883400759555</c:v>
                </c:pt>
                <c:pt idx="176">
                  <c:v>-1.322181114255514</c:v>
                </c:pt>
                <c:pt idx="177">
                  <c:v>-5.0250233945034353</c:v>
                </c:pt>
                <c:pt idx="178">
                  <c:v>-14.327865674751351</c:v>
                </c:pt>
                <c:pt idx="179">
                  <c:v>-13.630707954999266</c:v>
                </c:pt>
                <c:pt idx="180">
                  <c:v>-15.633550235247185</c:v>
                </c:pt>
                <c:pt idx="181">
                  <c:v>-6.1363925154951176</c:v>
                </c:pt>
                <c:pt idx="182">
                  <c:v>-12.239234795743045</c:v>
                </c:pt>
                <c:pt idx="183">
                  <c:v>-1.4420770759909658</c:v>
                </c:pt>
                <c:pt idx="184">
                  <c:v>-3.1449193562388729</c:v>
                </c:pt>
                <c:pt idx="185">
                  <c:v>0.55223836351319733</c:v>
                </c:pt>
                <c:pt idx="186">
                  <c:v>5.1493960832652874</c:v>
                </c:pt>
                <c:pt idx="187">
                  <c:v>1.4465538030173519</c:v>
                </c:pt>
                <c:pt idx="188">
                  <c:v>3.5437115227694278</c:v>
                </c:pt>
                <c:pt idx="189">
                  <c:v>-0.95913075747849064</c:v>
                </c:pt>
                <c:pt idx="190">
                  <c:v>-10.561973037726403</c:v>
                </c:pt>
                <c:pt idx="191">
                  <c:v>-9.2648153179743247</c:v>
                </c:pt>
                <c:pt idx="192">
                  <c:v>-14.267657598222243</c:v>
                </c:pt>
                <c:pt idx="193">
                  <c:v>-5.3704998784701559</c:v>
                </c:pt>
                <c:pt idx="194">
                  <c:v>-5.0733421587180914</c:v>
                </c:pt>
                <c:pt idx="195">
                  <c:v>-7.1761844389660041</c:v>
                </c:pt>
                <c:pt idx="196">
                  <c:v>-0.47902671921393392</c:v>
                </c:pt>
                <c:pt idx="197">
                  <c:v>4.2181310005381505</c:v>
                </c:pt>
                <c:pt idx="198">
                  <c:v>6.6152887202902377</c:v>
                </c:pt>
                <c:pt idx="199">
                  <c:v>-0.8875535599576807</c:v>
                </c:pt>
                <c:pt idx="200">
                  <c:v>4.209604159794381</c:v>
                </c:pt>
                <c:pt idx="201">
                  <c:v>-2.0932381204535346</c:v>
                </c:pt>
                <c:pt idx="202">
                  <c:v>-13.596080400701453</c:v>
                </c:pt>
                <c:pt idx="203">
                  <c:v>-10.898922680949369</c:v>
                </c:pt>
                <c:pt idx="204">
                  <c:v>-12.501764961197296</c:v>
                </c:pt>
                <c:pt idx="205">
                  <c:v>-10.604607241445208</c:v>
                </c:pt>
                <c:pt idx="206">
                  <c:v>-8.3074495216931297</c:v>
                </c:pt>
                <c:pt idx="207">
                  <c:v>-0.61029180194105948</c:v>
                </c:pt>
                <c:pt idx="208">
                  <c:v>-5.8131340821889808</c:v>
                </c:pt>
                <c:pt idx="209">
                  <c:v>1.7840236375631093</c:v>
                </c:pt>
                <c:pt idx="210">
                  <c:v>4.5811813573151881</c:v>
                </c:pt>
                <c:pt idx="211">
                  <c:v>0.17833907706726393</c:v>
                </c:pt>
                <c:pt idx="212">
                  <c:v>5.3754967968193483</c:v>
                </c:pt>
                <c:pt idx="213">
                  <c:v>-3.6273454834285843</c:v>
                </c:pt>
                <c:pt idx="214">
                  <c:v>-14.730187763676497</c:v>
                </c:pt>
                <c:pt idx="215">
                  <c:v>-11.633030043924421</c:v>
                </c:pt>
                <c:pt idx="216">
                  <c:v>-12.735872324172334</c:v>
                </c:pt>
                <c:pt idx="217">
                  <c:v>-13.738714604420252</c:v>
                </c:pt>
                <c:pt idx="218">
                  <c:v>-31.341556884668179</c:v>
                </c:pt>
                <c:pt idx="219">
                  <c:v>-20.444399164916106</c:v>
                </c:pt>
                <c:pt idx="220">
                  <c:v>-13.247241445164022</c:v>
                </c:pt>
                <c:pt idx="221">
                  <c:v>-0.65008372541194603</c:v>
                </c:pt>
                <c:pt idx="222">
                  <c:v>2.2470739943401412</c:v>
                </c:pt>
                <c:pt idx="223">
                  <c:v>3.7442317140922228</c:v>
                </c:pt>
                <c:pt idx="224">
                  <c:v>5.6413894338442958</c:v>
                </c:pt>
                <c:pt idx="225">
                  <c:v>-1.4614528464036169</c:v>
                </c:pt>
                <c:pt idx="226">
                  <c:v>-8.3642951266515553</c:v>
                </c:pt>
                <c:pt idx="227">
                  <c:v>-9.7671374068994652</c:v>
                </c:pt>
                <c:pt idx="228">
                  <c:v>-12.569979687147395</c:v>
                </c:pt>
                <c:pt idx="229">
                  <c:v>-5.5728219673953134</c:v>
                </c:pt>
                <c:pt idx="230">
                  <c:v>-10.375664247643229</c:v>
                </c:pt>
                <c:pt idx="231">
                  <c:v>-3.2785065278911389</c:v>
                </c:pt>
                <c:pt idx="232">
                  <c:v>-3.7813488081390716</c:v>
                </c:pt>
                <c:pt idx="233">
                  <c:v>0.51580891161300713</c:v>
                </c:pt>
                <c:pt idx="234">
                  <c:v>1.7129666313650915</c:v>
                </c:pt>
                <c:pt idx="235">
                  <c:v>-0.18987564888283259</c:v>
                </c:pt>
                <c:pt idx="236">
                  <c:v>-1.9927179291307482</c:v>
                </c:pt>
                <c:pt idx="237">
                  <c:v>-5.3955602093786723</c:v>
                </c:pt>
                <c:pt idx="238">
                  <c:v>-12.498402489626599</c:v>
                </c:pt>
              </c:numCache>
            </c:numRef>
          </c:val>
          <c:smooth val="0"/>
          <c:extLst>
            <c:ext xmlns:c16="http://schemas.microsoft.com/office/drawing/2014/chart" uri="{C3380CC4-5D6E-409C-BE32-E72D297353CC}">
              <c16:uniqueId val="{00000001-9643-4C65-A2B1-675C4E1C1101}"/>
            </c:ext>
          </c:extLst>
        </c:ser>
        <c:dLbls>
          <c:showLegendKey val="0"/>
          <c:showVal val="0"/>
          <c:showCatName val="0"/>
          <c:showSerName val="0"/>
          <c:showPercent val="0"/>
          <c:showBubbleSize val="0"/>
        </c:dLbls>
        <c:smooth val="0"/>
        <c:axId val="2040515792"/>
        <c:axId val="2040519952"/>
      </c:lineChart>
      <c:dateAx>
        <c:axId val="2040515792"/>
        <c:scaling>
          <c:orientation val="minMax"/>
        </c:scaling>
        <c:delete val="0"/>
        <c:axPos val="b"/>
        <c:numFmt formatCode="[$-416]m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0519952"/>
        <c:crosses val="autoZero"/>
        <c:auto val="1"/>
        <c:lblOffset val="100"/>
        <c:baseTimeUnit val="months"/>
      </c:dateAx>
      <c:valAx>
        <c:axId val="204051995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051579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8740157499999996" l="0.511811024" r="0.511811024" t="0.78740157499999996" header="0.31496062000000002" footer="0.31496062000000002"/>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t-BR"/>
              <a:t>Brazil</a:t>
            </a:r>
            <a:r>
              <a:rPr lang="pt-BR" baseline="0"/>
              <a:t> IP MoM%</a:t>
            </a:r>
            <a:endParaRPr lang="pt-B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NSA</c:v>
          </c:tx>
          <c:spPr>
            <a:ln w="12700" cap="rnd">
              <a:solidFill>
                <a:schemeClr val="accent1"/>
              </a:solidFill>
              <a:round/>
            </a:ln>
            <a:effectLst/>
          </c:spPr>
          <c:marker>
            <c:symbol val="none"/>
          </c:marker>
          <c:cat>
            <c:numRef>
              <c:f>SEASADJ!$F$9:$F$247</c:f>
              <c:numCache>
                <c:formatCode>[$-416]mmm\-yy;@</c:formatCode>
                <c:ptCount val="239"/>
                <c:pt idx="0">
                  <c:v>37288</c:v>
                </c:pt>
                <c:pt idx="1">
                  <c:v>37316</c:v>
                </c:pt>
                <c:pt idx="2">
                  <c:v>37347</c:v>
                </c:pt>
                <c:pt idx="3">
                  <c:v>37377</c:v>
                </c:pt>
                <c:pt idx="4">
                  <c:v>37408</c:v>
                </c:pt>
                <c:pt idx="5">
                  <c:v>37438</c:v>
                </c:pt>
                <c:pt idx="6">
                  <c:v>37469</c:v>
                </c:pt>
                <c:pt idx="7">
                  <c:v>37500</c:v>
                </c:pt>
                <c:pt idx="8">
                  <c:v>37530</c:v>
                </c:pt>
                <c:pt idx="9">
                  <c:v>37561</c:v>
                </c:pt>
                <c:pt idx="10">
                  <c:v>37591</c:v>
                </c:pt>
                <c:pt idx="11">
                  <c:v>37622</c:v>
                </c:pt>
                <c:pt idx="12">
                  <c:v>37653</c:v>
                </c:pt>
                <c:pt idx="13">
                  <c:v>37681</c:v>
                </c:pt>
                <c:pt idx="14">
                  <c:v>37712</c:v>
                </c:pt>
                <c:pt idx="15">
                  <c:v>37742</c:v>
                </c:pt>
                <c:pt idx="16">
                  <c:v>37773</c:v>
                </c:pt>
                <c:pt idx="17">
                  <c:v>37803</c:v>
                </c:pt>
                <c:pt idx="18">
                  <c:v>37834</c:v>
                </c:pt>
                <c:pt idx="19">
                  <c:v>37865</c:v>
                </c:pt>
                <c:pt idx="20">
                  <c:v>37895</c:v>
                </c:pt>
                <c:pt idx="21">
                  <c:v>37926</c:v>
                </c:pt>
                <c:pt idx="22">
                  <c:v>37956</c:v>
                </c:pt>
                <c:pt idx="23">
                  <c:v>37987</c:v>
                </c:pt>
                <c:pt idx="24">
                  <c:v>38018</c:v>
                </c:pt>
                <c:pt idx="25">
                  <c:v>38047</c:v>
                </c:pt>
                <c:pt idx="26">
                  <c:v>38078</c:v>
                </c:pt>
                <c:pt idx="27">
                  <c:v>38108</c:v>
                </c:pt>
                <c:pt idx="28">
                  <c:v>38139</c:v>
                </c:pt>
                <c:pt idx="29">
                  <c:v>38169</c:v>
                </c:pt>
                <c:pt idx="30">
                  <c:v>38200</c:v>
                </c:pt>
                <c:pt idx="31">
                  <c:v>38231</c:v>
                </c:pt>
                <c:pt idx="32">
                  <c:v>38261</c:v>
                </c:pt>
                <c:pt idx="33">
                  <c:v>38292</c:v>
                </c:pt>
                <c:pt idx="34">
                  <c:v>38322</c:v>
                </c:pt>
                <c:pt idx="35">
                  <c:v>38353</c:v>
                </c:pt>
                <c:pt idx="36">
                  <c:v>38384</c:v>
                </c:pt>
                <c:pt idx="37">
                  <c:v>38412</c:v>
                </c:pt>
                <c:pt idx="38">
                  <c:v>38443</c:v>
                </c:pt>
                <c:pt idx="39">
                  <c:v>38473</c:v>
                </c:pt>
                <c:pt idx="40">
                  <c:v>38504</c:v>
                </c:pt>
                <c:pt idx="41">
                  <c:v>38534</c:v>
                </c:pt>
                <c:pt idx="42">
                  <c:v>38565</c:v>
                </c:pt>
                <c:pt idx="43">
                  <c:v>38596</c:v>
                </c:pt>
                <c:pt idx="44">
                  <c:v>38626</c:v>
                </c:pt>
                <c:pt idx="45">
                  <c:v>38657</c:v>
                </c:pt>
                <c:pt idx="46">
                  <c:v>38687</c:v>
                </c:pt>
                <c:pt idx="47">
                  <c:v>38718</c:v>
                </c:pt>
                <c:pt idx="48">
                  <c:v>38749</c:v>
                </c:pt>
                <c:pt idx="49">
                  <c:v>38777</c:v>
                </c:pt>
                <c:pt idx="50">
                  <c:v>38808</c:v>
                </c:pt>
                <c:pt idx="51">
                  <c:v>38838</c:v>
                </c:pt>
                <c:pt idx="52">
                  <c:v>38869</c:v>
                </c:pt>
                <c:pt idx="53">
                  <c:v>38899</c:v>
                </c:pt>
                <c:pt idx="54">
                  <c:v>38930</c:v>
                </c:pt>
                <c:pt idx="55">
                  <c:v>38961</c:v>
                </c:pt>
                <c:pt idx="56">
                  <c:v>38991</c:v>
                </c:pt>
                <c:pt idx="57">
                  <c:v>39022</c:v>
                </c:pt>
                <c:pt idx="58">
                  <c:v>39052</c:v>
                </c:pt>
                <c:pt idx="59">
                  <c:v>39083</c:v>
                </c:pt>
                <c:pt idx="60">
                  <c:v>39114</c:v>
                </c:pt>
                <c:pt idx="61">
                  <c:v>39142</c:v>
                </c:pt>
                <c:pt idx="62">
                  <c:v>39173</c:v>
                </c:pt>
                <c:pt idx="63">
                  <c:v>39203</c:v>
                </c:pt>
                <c:pt idx="64">
                  <c:v>39234</c:v>
                </c:pt>
                <c:pt idx="65">
                  <c:v>39264</c:v>
                </c:pt>
                <c:pt idx="66">
                  <c:v>39295</c:v>
                </c:pt>
                <c:pt idx="67">
                  <c:v>39326</c:v>
                </c:pt>
                <c:pt idx="68">
                  <c:v>39356</c:v>
                </c:pt>
                <c:pt idx="69">
                  <c:v>39387</c:v>
                </c:pt>
                <c:pt idx="70">
                  <c:v>39417</c:v>
                </c:pt>
                <c:pt idx="71">
                  <c:v>39448</c:v>
                </c:pt>
                <c:pt idx="72">
                  <c:v>39479</c:v>
                </c:pt>
                <c:pt idx="73">
                  <c:v>39508</c:v>
                </c:pt>
                <c:pt idx="74">
                  <c:v>39539</c:v>
                </c:pt>
                <c:pt idx="75">
                  <c:v>39569</c:v>
                </c:pt>
                <c:pt idx="76">
                  <c:v>39600</c:v>
                </c:pt>
                <c:pt idx="77">
                  <c:v>39630</c:v>
                </c:pt>
                <c:pt idx="78">
                  <c:v>39661</c:v>
                </c:pt>
                <c:pt idx="79">
                  <c:v>39692</c:v>
                </c:pt>
                <c:pt idx="80">
                  <c:v>39722</c:v>
                </c:pt>
                <c:pt idx="81">
                  <c:v>39753</c:v>
                </c:pt>
                <c:pt idx="82">
                  <c:v>39783</c:v>
                </c:pt>
                <c:pt idx="83">
                  <c:v>39814</c:v>
                </c:pt>
                <c:pt idx="84">
                  <c:v>39845</c:v>
                </c:pt>
                <c:pt idx="85">
                  <c:v>39873</c:v>
                </c:pt>
                <c:pt idx="86">
                  <c:v>39904</c:v>
                </c:pt>
                <c:pt idx="87">
                  <c:v>39934</c:v>
                </c:pt>
                <c:pt idx="88">
                  <c:v>39965</c:v>
                </c:pt>
                <c:pt idx="89">
                  <c:v>39995</c:v>
                </c:pt>
                <c:pt idx="90">
                  <c:v>40026</c:v>
                </c:pt>
                <c:pt idx="91">
                  <c:v>40057</c:v>
                </c:pt>
                <c:pt idx="92">
                  <c:v>40087</c:v>
                </c:pt>
                <c:pt idx="93">
                  <c:v>40118</c:v>
                </c:pt>
                <c:pt idx="94">
                  <c:v>40148</c:v>
                </c:pt>
                <c:pt idx="95">
                  <c:v>40179</c:v>
                </c:pt>
                <c:pt idx="96">
                  <c:v>40210</c:v>
                </c:pt>
                <c:pt idx="97">
                  <c:v>40238</c:v>
                </c:pt>
                <c:pt idx="98">
                  <c:v>40269</c:v>
                </c:pt>
                <c:pt idx="99">
                  <c:v>40299</c:v>
                </c:pt>
                <c:pt idx="100">
                  <c:v>40330</c:v>
                </c:pt>
                <c:pt idx="101">
                  <c:v>40360</c:v>
                </c:pt>
                <c:pt idx="102">
                  <c:v>40391</c:v>
                </c:pt>
                <c:pt idx="103">
                  <c:v>40422</c:v>
                </c:pt>
                <c:pt idx="104">
                  <c:v>40452</c:v>
                </c:pt>
                <c:pt idx="105">
                  <c:v>40483</c:v>
                </c:pt>
                <c:pt idx="106">
                  <c:v>40513</c:v>
                </c:pt>
                <c:pt idx="107">
                  <c:v>40544</c:v>
                </c:pt>
                <c:pt idx="108">
                  <c:v>40575</c:v>
                </c:pt>
                <c:pt idx="109">
                  <c:v>40603</c:v>
                </c:pt>
                <c:pt idx="110">
                  <c:v>40634</c:v>
                </c:pt>
                <c:pt idx="111">
                  <c:v>40664</c:v>
                </c:pt>
                <c:pt idx="112">
                  <c:v>40695</c:v>
                </c:pt>
                <c:pt idx="113">
                  <c:v>40725</c:v>
                </c:pt>
                <c:pt idx="114">
                  <c:v>40756</c:v>
                </c:pt>
                <c:pt idx="115">
                  <c:v>40787</c:v>
                </c:pt>
                <c:pt idx="116">
                  <c:v>40817</c:v>
                </c:pt>
                <c:pt idx="117">
                  <c:v>40848</c:v>
                </c:pt>
                <c:pt idx="118">
                  <c:v>40878</c:v>
                </c:pt>
                <c:pt idx="119">
                  <c:v>40909</c:v>
                </c:pt>
                <c:pt idx="120">
                  <c:v>40940</c:v>
                </c:pt>
                <c:pt idx="121">
                  <c:v>40969</c:v>
                </c:pt>
                <c:pt idx="122">
                  <c:v>41000</c:v>
                </c:pt>
                <c:pt idx="123">
                  <c:v>41030</c:v>
                </c:pt>
                <c:pt idx="124">
                  <c:v>41061</c:v>
                </c:pt>
                <c:pt idx="125">
                  <c:v>41091</c:v>
                </c:pt>
                <c:pt idx="126">
                  <c:v>41122</c:v>
                </c:pt>
                <c:pt idx="127">
                  <c:v>41153</c:v>
                </c:pt>
                <c:pt idx="128">
                  <c:v>41183</c:v>
                </c:pt>
                <c:pt idx="129">
                  <c:v>41214</c:v>
                </c:pt>
                <c:pt idx="130">
                  <c:v>41244</c:v>
                </c:pt>
                <c:pt idx="131">
                  <c:v>41275</c:v>
                </c:pt>
                <c:pt idx="132">
                  <c:v>41306</c:v>
                </c:pt>
                <c:pt idx="133">
                  <c:v>41334</c:v>
                </c:pt>
                <c:pt idx="134">
                  <c:v>41365</c:v>
                </c:pt>
                <c:pt idx="135">
                  <c:v>41395</c:v>
                </c:pt>
                <c:pt idx="136">
                  <c:v>41426</c:v>
                </c:pt>
                <c:pt idx="137">
                  <c:v>41456</c:v>
                </c:pt>
                <c:pt idx="138">
                  <c:v>41487</c:v>
                </c:pt>
                <c:pt idx="139">
                  <c:v>41518</c:v>
                </c:pt>
                <c:pt idx="140">
                  <c:v>41548</c:v>
                </c:pt>
                <c:pt idx="141">
                  <c:v>41579</c:v>
                </c:pt>
                <c:pt idx="142">
                  <c:v>41609</c:v>
                </c:pt>
                <c:pt idx="143">
                  <c:v>41640</c:v>
                </c:pt>
                <c:pt idx="144">
                  <c:v>41671</c:v>
                </c:pt>
                <c:pt idx="145">
                  <c:v>41699</c:v>
                </c:pt>
                <c:pt idx="146">
                  <c:v>41730</c:v>
                </c:pt>
                <c:pt idx="147">
                  <c:v>41760</c:v>
                </c:pt>
                <c:pt idx="148">
                  <c:v>41791</c:v>
                </c:pt>
                <c:pt idx="149">
                  <c:v>41821</c:v>
                </c:pt>
                <c:pt idx="150">
                  <c:v>41852</c:v>
                </c:pt>
                <c:pt idx="151">
                  <c:v>41883</c:v>
                </c:pt>
                <c:pt idx="152">
                  <c:v>41913</c:v>
                </c:pt>
                <c:pt idx="153">
                  <c:v>41944</c:v>
                </c:pt>
                <c:pt idx="154">
                  <c:v>41974</c:v>
                </c:pt>
                <c:pt idx="155">
                  <c:v>42005</c:v>
                </c:pt>
                <c:pt idx="156">
                  <c:v>42036</c:v>
                </c:pt>
                <c:pt idx="157">
                  <c:v>42064</c:v>
                </c:pt>
                <c:pt idx="158">
                  <c:v>42095</c:v>
                </c:pt>
                <c:pt idx="159">
                  <c:v>42125</c:v>
                </c:pt>
                <c:pt idx="160">
                  <c:v>42156</c:v>
                </c:pt>
                <c:pt idx="161">
                  <c:v>42186</c:v>
                </c:pt>
                <c:pt idx="162">
                  <c:v>42217</c:v>
                </c:pt>
                <c:pt idx="163">
                  <c:v>42248</c:v>
                </c:pt>
                <c:pt idx="164">
                  <c:v>42278</c:v>
                </c:pt>
                <c:pt idx="165">
                  <c:v>42309</c:v>
                </c:pt>
                <c:pt idx="166">
                  <c:v>42339</c:v>
                </c:pt>
                <c:pt idx="167">
                  <c:v>42370</c:v>
                </c:pt>
                <c:pt idx="168">
                  <c:v>42401</c:v>
                </c:pt>
                <c:pt idx="169">
                  <c:v>42430</c:v>
                </c:pt>
                <c:pt idx="170">
                  <c:v>42461</c:v>
                </c:pt>
                <c:pt idx="171">
                  <c:v>42491</c:v>
                </c:pt>
                <c:pt idx="172">
                  <c:v>42522</c:v>
                </c:pt>
                <c:pt idx="173">
                  <c:v>42552</c:v>
                </c:pt>
                <c:pt idx="174">
                  <c:v>42583</c:v>
                </c:pt>
                <c:pt idx="175">
                  <c:v>42614</c:v>
                </c:pt>
                <c:pt idx="176">
                  <c:v>42644</c:v>
                </c:pt>
                <c:pt idx="177">
                  <c:v>42675</c:v>
                </c:pt>
                <c:pt idx="178">
                  <c:v>42705</c:v>
                </c:pt>
                <c:pt idx="179">
                  <c:v>42736</c:v>
                </c:pt>
                <c:pt idx="180">
                  <c:v>42767</c:v>
                </c:pt>
                <c:pt idx="181">
                  <c:v>42795</c:v>
                </c:pt>
                <c:pt idx="182">
                  <c:v>42826</c:v>
                </c:pt>
                <c:pt idx="183">
                  <c:v>42856</c:v>
                </c:pt>
                <c:pt idx="184">
                  <c:v>42887</c:v>
                </c:pt>
                <c:pt idx="185">
                  <c:v>42917</c:v>
                </c:pt>
                <c:pt idx="186">
                  <c:v>42948</c:v>
                </c:pt>
                <c:pt idx="187">
                  <c:v>42979</c:v>
                </c:pt>
                <c:pt idx="188">
                  <c:v>43009</c:v>
                </c:pt>
                <c:pt idx="189">
                  <c:v>43040</c:v>
                </c:pt>
                <c:pt idx="190">
                  <c:v>43070</c:v>
                </c:pt>
                <c:pt idx="191">
                  <c:v>43101</c:v>
                </c:pt>
                <c:pt idx="192">
                  <c:v>43132</c:v>
                </c:pt>
                <c:pt idx="193">
                  <c:v>43160</c:v>
                </c:pt>
                <c:pt idx="194">
                  <c:v>43191</c:v>
                </c:pt>
                <c:pt idx="195">
                  <c:v>43221</c:v>
                </c:pt>
                <c:pt idx="196">
                  <c:v>43252</c:v>
                </c:pt>
                <c:pt idx="197">
                  <c:v>43282</c:v>
                </c:pt>
                <c:pt idx="198">
                  <c:v>43313</c:v>
                </c:pt>
                <c:pt idx="199">
                  <c:v>43344</c:v>
                </c:pt>
                <c:pt idx="200">
                  <c:v>43374</c:v>
                </c:pt>
                <c:pt idx="201">
                  <c:v>43405</c:v>
                </c:pt>
                <c:pt idx="202">
                  <c:v>43435</c:v>
                </c:pt>
                <c:pt idx="203">
                  <c:v>43466</c:v>
                </c:pt>
                <c:pt idx="204">
                  <c:v>43497</c:v>
                </c:pt>
                <c:pt idx="205">
                  <c:v>43525</c:v>
                </c:pt>
                <c:pt idx="206">
                  <c:v>43556</c:v>
                </c:pt>
                <c:pt idx="207">
                  <c:v>43586</c:v>
                </c:pt>
                <c:pt idx="208">
                  <c:v>43617</c:v>
                </c:pt>
                <c:pt idx="209">
                  <c:v>43647</c:v>
                </c:pt>
                <c:pt idx="210">
                  <c:v>43678</c:v>
                </c:pt>
                <c:pt idx="211">
                  <c:v>43709</c:v>
                </c:pt>
                <c:pt idx="212">
                  <c:v>43739</c:v>
                </c:pt>
                <c:pt idx="213">
                  <c:v>43770</c:v>
                </c:pt>
                <c:pt idx="214">
                  <c:v>43800</c:v>
                </c:pt>
                <c:pt idx="215">
                  <c:v>43831</c:v>
                </c:pt>
                <c:pt idx="216">
                  <c:v>43862</c:v>
                </c:pt>
                <c:pt idx="217">
                  <c:v>43891</c:v>
                </c:pt>
                <c:pt idx="218">
                  <c:v>43922</c:v>
                </c:pt>
                <c:pt idx="219">
                  <c:v>43952</c:v>
                </c:pt>
                <c:pt idx="220">
                  <c:v>43983</c:v>
                </c:pt>
                <c:pt idx="221">
                  <c:v>44013</c:v>
                </c:pt>
                <c:pt idx="222">
                  <c:v>44044</c:v>
                </c:pt>
                <c:pt idx="223">
                  <c:v>44075</c:v>
                </c:pt>
                <c:pt idx="224">
                  <c:v>44105</c:v>
                </c:pt>
                <c:pt idx="225">
                  <c:v>44136</c:v>
                </c:pt>
                <c:pt idx="226">
                  <c:v>44166</c:v>
                </c:pt>
                <c:pt idx="227">
                  <c:v>44197</c:v>
                </c:pt>
                <c:pt idx="228">
                  <c:v>44228</c:v>
                </c:pt>
                <c:pt idx="229">
                  <c:v>44256</c:v>
                </c:pt>
                <c:pt idx="230">
                  <c:v>44287</c:v>
                </c:pt>
                <c:pt idx="231">
                  <c:v>44317</c:v>
                </c:pt>
                <c:pt idx="232">
                  <c:v>44348</c:v>
                </c:pt>
                <c:pt idx="233">
                  <c:v>44378</c:v>
                </c:pt>
                <c:pt idx="234">
                  <c:v>44409</c:v>
                </c:pt>
                <c:pt idx="235">
                  <c:v>44440</c:v>
                </c:pt>
                <c:pt idx="236">
                  <c:v>44470</c:v>
                </c:pt>
                <c:pt idx="237">
                  <c:v>44501</c:v>
                </c:pt>
                <c:pt idx="238">
                  <c:v>44531</c:v>
                </c:pt>
              </c:numCache>
            </c:numRef>
          </c:cat>
          <c:val>
            <c:numRef>
              <c:f>SEASADJ!$G$9:$G$247</c:f>
              <c:numCache>
                <c:formatCode>0.0</c:formatCode>
                <c:ptCount val="239"/>
                <c:pt idx="0">
                  <c:v>-3.8005981625192522</c:v>
                </c:pt>
                <c:pt idx="1">
                  <c:v>10.478646282920332</c:v>
                </c:pt>
                <c:pt idx="2">
                  <c:v>2.8027312254655659</c:v>
                </c:pt>
                <c:pt idx="3">
                  <c:v>1.0000083334583398</c:v>
                </c:pt>
                <c:pt idx="4">
                  <c:v>-3.6736239825619466</c:v>
                </c:pt>
                <c:pt idx="5">
                  <c:v>7.2170612813495589</c:v>
                </c:pt>
                <c:pt idx="6">
                  <c:v>0.3594970917858793</c:v>
                </c:pt>
                <c:pt idx="7">
                  <c:v>-1.8105503632273354</c:v>
                </c:pt>
                <c:pt idx="8">
                  <c:v>8.2943023127581306</c:v>
                </c:pt>
                <c:pt idx="9">
                  <c:v>-6.1255426112803208</c:v>
                </c:pt>
                <c:pt idx="10">
                  <c:v>-11.748510626344547</c:v>
                </c:pt>
                <c:pt idx="11">
                  <c:v>-0.80754140055453072</c:v>
                </c:pt>
                <c:pt idx="12">
                  <c:v>-3.0180617149991287</c:v>
                </c:pt>
                <c:pt idx="13">
                  <c:v>7.5102304541503075</c:v>
                </c:pt>
                <c:pt idx="14">
                  <c:v>-1.1696039763191299</c:v>
                </c:pt>
                <c:pt idx="15">
                  <c:v>4.0978844963679268</c:v>
                </c:pt>
                <c:pt idx="16">
                  <c:v>-4.3596647505758162</c:v>
                </c:pt>
                <c:pt idx="17">
                  <c:v>6.3473078263353662</c:v>
                </c:pt>
                <c:pt idx="18">
                  <c:v>0.36832454162963679</c:v>
                </c:pt>
                <c:pt idx="19">
                  <c:v>4.9023563633672822</c:v>
                </c:pt>
                <c:pt idx="20">
                  <c:v>4.8956844726530981</c:v>
                </c:pt>
                <c:pt idx="21">
                  <c:v>-6.1875403718087529</c:v>
                </c:pt>
                <c:pt idx="22">
                  <c:v>-8.2508313735474825</c:v>
                </c:pt>
                <c:pt idx="23">
                  <c:v>-1.4221312723076169</c:v>
                </c:pt>
                <c:pt idx="24">
                  <c:v>-3.7139546949456657</c:v>
                </c:pt>
                <c:pt idx="25">
                  <c:v>16.069293906717668</c:v>
                </c:pt>
                <c:pt idx="26">
                  <c:v>-5.5602730209212119</c:v>
                </c:pt>
                <c:pt idx="27">
                  <c:v>4.8674296027248021</c:v>
                </c:pt>
                <c:pt idx="28">
                  <c:v>-0.23201866556971981</c:v>
                </c:pt>
                <c:pt idx="29">
                  <c:v>4.5410753180607175</c:v>
                </c:pt>
                <c:pt idx="30">
                  <c:v>2.1954778646968967</c:v>
                </c:pt>
                <c:pt idx="31">
                  <c:v>0</c:v>
                </c:pt>
                <c:pt idx="32">
                  <c:v>1.5086493033380162</c:v>
                </c:pt>
                <c:pt idx="33">
                  <c:v>-1.8349138668196541</c:v>
                </c:pt>
                <c:pt idx="34">
                  <c:v>-8.0496695968436054</c:v>
                </c:pt>
                <c:pt idx="35">
                  <c:v>-4.4666446985569994</c:v>
                </c:pt>
                <c:pt idx="36">
                  <c:v>-5.8466458499963849</c:v>
                </c:pt>
                <c:pt idx="37">
                  <c:v>14.135411830573155</c:v>
                </c:pt>
                <c:pt idx="38">
                  <c:v>-1.1428695823622743</c:v>
                </c:pt>
                <c:pt idx="39">
                  <c:v>4.6049685611328837</c:v>
                </c:pt>
                <c:pt idx="40">
                  <c:v>0.32876741941917081</c:v>
                </c:pt>
                <c:pt idx="41">
                  <c:v>-0.98956277542239612</c:v>
                </c:pt>
                <c:pt idx="42">
                  <c:v>5.482296935147505</c:v>
                </c:pt>
                <c:pt idx="43">
                  <c:v>-3.8384243008315222</c:v>
                </c:pt>
                <c:pt idx="44">
                  <c:v>1.8309612195336253</c:v>
                </c:pt>
                <c:pt idx="45">
                  <c:v>-1.3971210596737951</c:v>
                </c:pt>
                <c:pt idx="46">
                  <c:v>-6.4827163079249166</c:v>
                </c:pt>
                <c:pt idx="47">
                  <c:v>-3.4060838072959752</c:v>
                </c:pt>
                <c:pt idx="48">
                  <c:v>-4.2715462622960851</c:v>
                </c:pt>
                <c:pt idx="49">
                  <c:v>14.160346377516964</c:v>
                </c:pt>
                <c:pt idx="50">
                  <c:v>-7.5274153043904395</c:v>
                </c:pt>
                <c:pt idx="51">
                  <c:v>10.722575285050679</c:v>
                </c:pt>
                <c:pt idx="52">
                  <c:v>-4.6120774188328273</c:v>
                </c:pt>
                <c:pt idx="53">
                  <c:v>2.9207051746266317</c:v>
                </c:pt>
                <c:pt idx="54">
                  <c:v>4.9906405596410703</c:v>
                </c:pt>
                <c:pt idx="55">
                  <c:v>-5.6323539917044103</c:v>
                </c:pt>
                <c:pt idx="56">
                  <c:v>4.5104656312255988</c:v>
                </c:pt>
                <c:pt idx="57">
                  <c:v>-1.6546396114408941</c:v>
                </c:pt>
                <c:pt idx="58">
                  <c:v>-9.7397863234808941</c:v>
                </c:pt>
                <c:pt idx="59">
                  <c:v>0</c:v>
                </c:pt>
                <c:pt idx="60">
                  <c:v>-5.1898438127651367</c:v>
                </c:pt>
                <c:pt idx="61">
                  <c:v>15.449652108956771</c:v>
                </c:pt>
                <c:pt idx="62">
                  <c:v>-6.205198856756641</c:v>
                </c:pt>
                <c:pt idx="63">
                  <c:v>9.7715472605574369</c:v>
                </c:pt>
                <c:pt idx="64">
                  <c:v>-3.0490166757787276</c:v>
                </c:pt>
                <c:pt idx="65">
                  <c:v>2.9488664420697721</c:v>
                </c:pt>
                <c:pt idx="66">
                  <c:v>4.9839332084833199</c:v>
                </c:pt>
                <c:pt idx="67">
                  <c:v>-6.3966711344043752</c:v>
                </c:pt>
                <c:pt idx="68">
                  <c:v>9.1236854416688988</c:v>
                </c:pt>
                <c:pt idx="69">
                  <c:v>-5.1390945869489242</c:v>
                </c:pt>
                <c:pt idx="70">
                  <c:v>-10.059757095327383</c:v>
                </c:pt>
                <c:pt idx="71">
                  <c:v>2.3480267608842449</c:v>
                </c:pt>
                <c:pt idx="72">
                  <c:v>-3.9811604995063505</c:v>
                </c:pt>
                <c:pt idx="73">
                  <c:v>6.9943754782824428</c:v>
                </c:pt>
                <c:pt idx="74">
                  <c:v>1.5236455242089986</c:v>
                </c:pt>
                <c:pt idx="75">
                  <c:v>3.2724784287635709</c:v>
                </c:pt>
                <c:pt idx="76">
                  <c:v>0.77745775471300005</c:v>
                </c:pt>
                <c:pt idx="77">
                  <c:v>4.9112796854921346</c:v>
                </c:pt>
                <c:pt idx="78">
                  <c:v>-1.4856354949514659</c:v>
                </c:pt>
                <c:pt idx="79">
                  <c:v>0.37348316056530828</c:v>
                </c:pt>
                <c:pt idx="80">
                  <c:v>1.0199439368893048</c:v>
                </c:pt>
                <c:pt idx="81">
                  <c:v>-11.939873133388506</c:v>
                </c:pt>
                <c:pt idx="82">
                  <c:v>-19.571648289805267</c:v>
                </c:pt>
                <c:pt idx="83">
                  <c:v>-0.50697193502505111</c:v>
                </c:pt>
                <c:pt idx="84">
                  <c:v>-3.3594890555717507</c:v>
                </c:pt>
                <c:pt idx="85">
                  <c:v>15.208359274339509</c:v>
                </c:pt>
                <c:pt idx="86">
                  <c:v>-3.9130423775765082</c:v>
                </c:pt>
                <c:pt idx="87">
                  <c:v>6.9149353765652606</c:v>
                </c:pt>
                <c:pt idx="88">
                  <c:v>0.98093429616254413</c:v>
                </c:pt>
                <c:pt idx="89">
                  <c:v>5.7941428486188959</c:v>
                </c:pt>
                <c:pt idx="90">
                  <c:v>1.9260605541815436</c:v>
                </c:pt>
                <c:pt idx="91">
                  <c:v>-0.20100509280241119</c:v>
                </c:pt>
                <c:pt idx="92">
                  <c:v>6.0506257609632605</c:v>
                </c:pt>
                <c:pt idx="93">
                  <c:v>-4.0585280115078213</c:v>
                </c:pt>
                <c:pt idx="94">
                  <c:v>-7.4715044565749</c:v>
                </c:pt>
                <c:pt idx="95">
                  <c:v>-3.1303149511048107</c:v>
                </c:pt>
                <c:pt idx="96">
                  <c:v>-2.4418527348145886</c:v>
                </c:pt>
                <c:pt idx="97">
                  <c:v>16.627590815076555</c:v>
                </c:pt>
                <c:pt idx="98">
                  <c:v>-5.6766706831778553</c:v>
                </c:pt>
                <c:pt idx="99">
                  <c:v>4.9125790955599946</c:v>
                </c:pt>
                <c:pt idx="100">
                  <c:v>-1.7408563428263819</c:v>
                </c:pt>
                <c:pt idx="101">
                  <c:v>4.2031019452536711</c:v>
                </c:pt>
                <c:pt idx="102">
                  <c:v>1.1162906614163006</c:v>
                </c:pt>
                <c:pt idx="103">
                  <c:v>-2.1506205220963506</c:v>
                </c:pt>
                <c:pt idx="104">
                  <c:v>1.779906473814393</c:v>
                </c:pt>
                <c:pt idx="105">
                  <c:v>-0.83916576362485129</c:v>
                </c:pt>
                <c:pt idx="106">
                  <c:v>-10.037918530762216</c:v>
                </c:pt>
                <c:pt idx="107">
                  <c:v>-3.5831019526926728</c:v>
                </c:pt>
                <c:pt idx="108">
                  <c:v>2.3330856762695267</c:v>
                </c:pt>
                <c:pt idx="109">
                  <c:v>9.0151096994297486</c:v>
                </c:pt>
                <c:pt idx="110">
                  <c:v>-6.8377297444736849</c:v>
                </c:pt>
                <c:pt idx="111">
                  <c:v>9.3910599449901522</c:v>
                </c:pt>
                <c:pt idx="112">
                  <c:v>-4.0977624432638322</c:v>
                </c:pt>
                <c:pt idx="113">
                  <c:v>3.1596692598872607</c:v>
                </c:pt>
                <c:pt idx="114">
                  <c:v>4.3344728693245962</c:v>
                </c:pt>
                <c:pt idx="115">
                  <c:v>-5.5673002426241638</c:v>
                </c:pt>
                <c:pt idx="116">
                  <c:v>1.4211513460960548</c:v>
                </c:pt>
                <c:pt idx="117">
                  <c:v>-1.9953156028635677</c:v>
                </c:pt>
                <c:pt idx="118">
                  <c:v>-8.5093830860358022</c:v>
                </c:pt>
                <c:pt idx="119">
                  <c:v>-7.5958409143374785</c:v>
                </c:pt>
                <c:pt idx="120">
                  <c:v>1.2325085992620033</c:v>
                </c:pt>
                <c:pt idx="121">
                  <c:v>10.458070165963877</c:v>
                </c:pt>
                <c:pt idx="122">
                  <c:v>-7.1719037175637768</c:v>
                </c:pt>
                <c:pt idx="123">
                  <c:v>9.9416158786307989</c:v>
                </c:pt>
                <c:pt idx="124">
                  <c:v>-4.1838771425342038</c:v>
                </c:pt>
                <c:pt idx="125">
                  <c:v>6.1163044251744862</c:v>
                </c:pt>
                <c:pt idx="126">
                  <c:v>6.4837519495307667</c:v>
                </c:pt>
                <c:pt idx="127">
                  <c:v>-7.5419628825844658</c:v>
                </c:pt>
                <c:pt idx="128">
                  <c:v>7.8106598646669854</c:v>
                </c:pt>
                <c:pt idx="129">
                  <c:v>-6.4657788834056955</c:v>
                </c:pt>
                <c:pt idx="130">
                  <c:v>-12.809364132439352</c:v>
                </c:pt>
                <c:pt idx="131">
                  <c:v>2.4639703937148925</c:v>
                </c:pt>
                <c:pt idx="132">
                  <c:v>-7.0127301557563264</c:v>
                </c:pt>
                <c:pt idx="133">
                  <c:v>10.342902610660323</c:v>
                </c:pt>
                <c:pt idx="134">
                  <c:v>4.1108545067685318</c:v>
                </c:pt>
                <c:pt idx="135">
                  <c:v>3.0950246041101059</c:v>
                </c:pt>
                <c:pt idx="136">
                  <c:v>-3.1933047103009029</c:v>
                </c:pt>
                <c:pt idx="137">
                  <c:v>6.0103924069705306</c:v>
                </c:pt>
                <c:pt idx="138">
                  <c:v>3.6367644170874791</c:v>
                </c:pt>
                <c:pt idx="139">
                  <c:v>-4.2870221658441832</c:v>
                </c:pt>
                <c:pt idx="140">
                  <c:v>4.8213066068937094</c:v>
                </c:pt>
                <c:pt idx="141">
                  <c:v>-5.9459670085652512</c:v>
                </c:pt>
                <c:pt idx="142">
                  <c:v>-16.346188100564525</c:v>
                </c:pt>
                <c:pt idx="143">
                  <c:v>2.7368977037841566</c:v>
                </c:pt>
                <c:pt idx="144">
                  <c:v>-0.32450001433271897</c:v>
                </c:pt>
                <c:pt idx="145">
                  <c:v>5.2754847683152821</c:v>
                </c:pt>
                <c:pt idx="146">
                  <c:v>-1.3450797724123105</c:v>
                </c:pt>
                <c:pt idx="147">
                  <c:v>5.7679111586677987</c:v>
                </c:pt>
                <c:pt idx="148">
                  <c:v>-6.920359743863207</c:v>
                </c:pt>
                <c:pt idx="149">
                  <c:v>9.5405969832656066</c:v>
                </c:pt>
                <c:pt idx="150">
                  <c:v>1.8035609899363723</c:v>
                </c:pt>
                <c:pt idx="151">
                  <c:v>-0.66069140757411748</c:v>
                </c:pt>
                <c:pt idx="152">
                  <c:v>3.4438023910331883</c:v>
                </c:pt>
                <c:pt idx="153">
                  <c:v>-9.0928211865074626</c:v>
                </c:pt>
                <c:pt idx="154">
                  <c:v>-12.924628393928089</c:v>
                </c:pt>
                <c:pt idx="155">
                  <c:v>0.45506335639962892</c:v>
                </c:pt>
                <c:pt idx="156">
                  <c:v>-5.1233555446704067</c:v>
                </c:pt>
                <c:pt idx="157">
                  <c:v>11.924221214398219</c:v>
                </c:pt>
                <c:pt idx="158">
                  <c:v>-6.0094539641287446</c:v>
                </c:pt>
                <c:pt idx="159">
                  <c:v>4.7287534284896902</c:v>
                </c:pt>
                <c:pt idx="160">
                  <c:v>-0.646553976464186</c:v>
                </c:pt>
                <c:pt idx="161">
                  <c:v>3.1917602968304948</c:v>
                </c:pt>
                <c:pt idx="162">
                  <c:v>2.175124593236212</c:v>
                </c:pt>
                <c:pt idx="163">
                  <c:v>-3.439630377963502</c:v>
                </c:pt>
                <c:pt idx="164">
                  <c:v>3.0289521826981729</c:v>
                </c:pt>
                <c:pt idx="165">
                  <c:v>-10.398971352404775</c:v>
                </c:pt>
                <c:pt idx="166">
                  <c:v>-12.638154091161514</c:v>
                </c:pt>
                <c:pt idx="167">
                  <c:v>-1.1726518740319207</c:v>
                </c:pt>
                <c:pt idx="168">
                  <c:v>-0.65746456420853572</c:v>
                </c:pt>
                <c:pt idx="169">
                  <c:v>9.9140684847103628</c:v>
                </c:pt>
                <c:pt idx="170">
                  <c:v>-0.8398369698831718</c:v>
                </c:pt>
                <c:pt idx="171">
                  <c:v>3.8988990292784345</c:v>
                </c:pt>
                <c:pt idx="172">
                  <c:v>1.6092301288755131</c:v>
                </c:pt>
                <c:pt idx="173">
                  <c:v>2.1433420602747244</c:v>
                </c:pt>
                <c:pt idx="174">
                  <c:v>3.7244173172371178</c:v>
                </c:pt>
                <c:pt idx="175">
                  <c:v>-2.504213603216495</c:v>
                </c:pt>
                <c:pt idx="176">
                  <c:v>-0.55279300525129427</c:v>
                </c:pt>
                <c:pt idx="177">
                  <c:v>-4.1885013130744326</c:v>
                </c:pt>
                <c:pt idx="178">
                  <c:v>-11.374495690710315</c:v>
                </c:pt>
                <c:pt idx="179">
                  <c:v>0.90264958459721245</c:v>
                </c:pt>
                <c:pt idx="180">
                  <c:v>-2.6009268475118326</c:v>
                </c:pt>
                <c:pt idx="181">
                  <c:v>11.792941639294002</c:v>
                </c:pt>
                <c:pt idx="182">
                  <c:v>-7.4107972153721962</c:v>
                </c:pt>
                <c:pt idx="183">
                  <c:v>12.768203597348998</c:v>
                </c:pt>
                <c:pt idx="184">
                  <c:v>-1.9048194970694363</c:v>
                </c:pt>
                <c:pt idx="185">
                  <c:v>4.1002973617663265</c:v>
                </c:pt>
                <c:pt idx="186">
                  <c:v>4.8738459197987503</c:v>
                </c:pt>
                <c:pt idx="187">
                  <c:v>-3.901390930599276</c:v>
                </c:pt>
                <c:pt idx="188">
                  <c:v>2.2329476398088577</c:v>
                </c:pt>
                <c:pt idx="189">
                  <c:v>-4.8474756502411021</c:v>
                </c:pt>
                <c:pt idx="190">
                  <c:v>-11.200505837649487</c:v>
                </c:pt>
                <c:pt idx="191">
                  <c:v>1.5921953010585257</c:v>
                </c:pt>
                <c:pt idx="192">
                  <c:v>-6.2677152089647858</c:v>
                </c:pt>
                <c:pt idx="193">
                  <c:v>10.897622207627112</c:v>
                </c:pt>
                <c:pt idx="194">
                  <c:v>0.34742362681862726</c:v>
                </c:pt>
                <c:pt idx="195">
                  <c:v>-2.4577012335922137</c:v>
                </c:pt>
                <c:pt idx="196">
                  <c:v>7.6390402664001016</c:v>
                </c:pt>
                <c:pt idx="197">
                  <c:v>5.0304880710902253</c:v>
                </c:pt>
                <c:pt idx="198">
                  <c:v>2.4743530383605368</c:v>
                </c:pt>
                <c:pt idx="199">
                  <c:v>-7.9448858239329327</c:v>
                </c:pt>
                <c:pt idx="200">
                  <c:v>5.4705327855723951</c:v>
                </c:pt>
                <c:pt idx="201">
                  <c:v>-6.8024059696005086</c:v>
                </c:pt>
                <c:pt idx="202">
                  <c:v>-13.752979859121798</c:v>
                </c:pt>
                <c:pt idx="203">
                  <c:v>3.402974858631147</c:v>
                </c:pt>
                <c:pt idx="204">
                  <c:v>-2.0025700502295027</c:v>
                </c:pt>
                <c:pt idx="205">
                  <c:v>2.3736279898830737</c:v>
                </c:pt>
                <c:pt idx="206">
                  <c:v>2.799939450035819</c:v>
                </c:pt>
                <c:pt idx="207">
                  <c:v>8.8410957344053145</c:v>
                </c:pt>
                <c:pt idx="208">
                  <c:v>-5.8840500022933462</c:v>
                </c:pt>
                <c:pt idx="209">
                  <c:v>8.4872338740880444</c:v>
                </c:pt>
                <c:pt idx="210">
                  <c:v>2.9538012436863874</c:v>
                </c:pt>
                <c:pt idx="211">
                  <c:v>-4.6817060045216028</c:v>
                </c:pt>
                <c:pt idx="212">
                  <c:v>5.5098680876938131</c:v>
                </c:pt>
                <c:pt idx="213">
                  <c:v>-9.7374164025176366</c:v>
                </c:pt>
                <c:pt idx="214">
                  <c:v>-13.483093796660814</c:v>
                </c:pt>
                <c:pt idx="215">
                  <c:v>3.9520758162283198</c:v>
                </c:pt>
                <c:pt idx="216">
                  <c:v>-1.3845406822052981</c:v>
                </c:pt>
                <c:pt idx="217">
                  <c:v>-1.2755274975126014</c:v>
                </c:pt>
                <c:pt idx="218">
                  <c:v>-25.609384914356298</c:v>
                </c:pt>
                <c:pt idx="219">
                  <c:v>16.616071468479046</c:v>
                </c:pt>
                <c:pt idx="220">
                  <c:v>9.6331108938432113</c:v>
                </c:pt>
                <c:pt idx="221">
                  <c:v>14.903557916048776</c:v>
                </c:pt>
                <c:pt idx="222">
                  <c:v>3.1370879697367284</c:v>
                </c:pt>
                <c:pt idx="223">
                  <c:v>1.5848192240023713</c:v>
                </c:pt>
                <c:pt idx="224">
                  <c:v>1.9720410737718495</c:v>
                </c:pt>
                <c:pt idx="225">
                  <c:v>-7.5769562123381347</c:v>
                </c:pt>
                <c:pt idx="226">
                  <c:v>-7.9580877895781015</c:v>
                </c:pt>
                <c:pt idx="227">
                  <c:v>-1.6949558313773205</c:v>
                </c:pt>
                <c:pt idx="228">
                  <c:v>-3.4786116085415655</c:v>
                </c:pt>
                <c:pt idx="229">
                  <c:v>8.4796536660076853</c:v>
                </c:pt>
                <c:pt idx="230">
                  <c:v>-5.7363394879920193</c:v>
                </c:pt>
                <c:pt idx="231">
                  <c:v>8.3725953089832981</c:v>
                </c:pt>
                <c:pt idx="232">
                  <c:v>-0.56721649524664175</c:v>
                </c:pt>
                <c:pt idx="233">
                  <c:v>4.7760325871416818</c:v>
                </c:pt>
                <c:pt idx="234">
                  <c:v>1.2931214672248785</c:v>
                </c:pt>
                <c:pt idx="235">
                  <c:v>-2.0552372953321347</c:v>
                </c:pt>
                <c:pt idx="236">
                  <c:v>-1.9868203216725173</c:v>
                </c:pt>
                <c:pt idx="237">
                  <c:v>-3.8641170975368224</c:v>
                </c:pt>
                <c:pt idx="238">
                  <c:v>-8.5853299269002026</c:v>
                </c:pt>
              </c:numCache>
            </c:numRef>
          </c:val>
          <c:smooth val="0"/>
          <c:extLst>
            <c:ext xmlns:c16="http://schemas.microsoft.com/office/drawing/2014/chart" uri="{C3380CC4-5D6E-409C-BE32-E72D297353CC}">
              <c16:uniqueId val="{00000000-A60B-4EBE-8720-7D622261500E}"/>
            </c:ext>
          </c:extLst>
        </c:ser>
        <c:ser>
          <c:idx val="1"/>
          <c:order val="1"/>
          <c:tx>
            <c:v>SA</c:v>
          </c:tx>
          <c:spPr>
            <a:ln w="19050" cap="rnd">
              <a:solidFill>
                <a:schemeClr val="accent2"/>
              </a:solidFill>
              <a:round/>
            </a:ln>
            <a:effectLst/>
          </c:spPr>
          <c:marker>
            <c:symbol val="none"/>
          </c:marker>
          <c:cat>
            <c:numRef>
              <c:f>SEASADJ!$F$9:$F$247</c:f>
              <c:numCache>
                <c:formatCode>[$-416]mmm\-yy;@</c:formatCode>
                <c:ptCount val="239"/>
                <c:pt idx="0">
                  <c:v>37288</c:v>
                </c:pt>
                <c:pt idx="1">
                  <c:v>37316</c:v>
                </c:pt>
                <c:pt idx="2">
                  <c:v>37347</c:v>
                </c:pt>
                <c:pt idx="3">
                  <c:v>37377</c:v>
                </c:pt>
                <c:pt idx="4">
                  <c:v>37408</c:v>
                </c:pt>
                <c:pt idx="5">
                  <c:v>37438</c:v>
                </c:pt>
                <c:pt idx="6">
                  <c:v>37469</c:v>
                </c:pt>
                <c:pt idx="7">
                  <c:v>37500</c:v>
                </c:pt>
                <c:pt idx="8">
                  <c:v>37530</c:v>
                </c:pt>
                <c:pt idx="9">
                  <c:v>37561</c:v>
                </c:pt>
                <c:pt idx="10">
                  <c:v>37591</c:v>
                </c:pt>
                <c:pt idx="11">
                  <c:v>37622</c:v>
                </c:pt>
                <c:pt idx="12">
                  <c:v>37653</c:v>
                </c:pt>
                <c:pt idx="13">
                  <c:v>37681</c:v>
                </c:pt>
                <c:pt idx="14">
                  <c:v>37712</c:v>
                </c:pt>
                <c:pt idx="15">
                  <c:v>37742</c:v>
                </c:pt>
                <c:pt idx="16">
                  <c:v>37773</c:v>
                </c:pt>
                <c:pt idx="17">
                  <c:v>37803</c:v>
                </c:pt>
                <c:pt idx="18">
                  <c:v>37834</c:v>
                </c:pt>
                <c:pt idx="19">
                  <c:v>37865</c:v>
                </c:pt>
                <c:pt idx="20">
                  <c:v>37895</c:v>
                </c:pt>
                <c:pt idx="21">
                  <c:v>37926</c:v>
                </c:pt>
                <c:pt idx="22">
                  <c:v>37956</c:v>
                </c:pt>
                <c:pt idx="23">
                  <c:v>37987</c:v>
                </c:pt>
                <c:pt idx="24">
                  <c:v>38018</c:v>
                </c:pt>
                <c:pt idx="25">
                  <c:v>38047</c:v>
                </c:pt>
                <c:pt idx="26">
                  <c:v>38078</c:v>
                </c:pt>
                <c:pt idx="27">
                  <c:v>38108</c:v>
                </c:pt>
                <c:pt idx="28">
                  <c:v>38139</c:v>
                </c:pt>
                <c:pt idx="29">
                  <c:v>38169</c:v>
                </c:pt>
                <c:pt idx="30">
                  <c:v>38200</c:v>
                </c:pt>
                <c:pt idx="31">
                  <c:v>38231</c:v>
                </c:pt>
                <c:pt idx="32">
                  <c:v>38261</c:v>
                </c:pt>
                <c:pt idx="33">
                  <c:v>38292</c:v>
                </c:pt>
                <c:pt idx="34">
                  <c:v>38322</c:v>
                </c:pt>
                <c:pt idx="35">
                  <c:v>38353</c:v>
                </c:pt>
                <c:pt idx="36">
                  <c:v>38384</c:v>
                </c:pt>
                <c:pt idx="37">
                  <c:v>38412</c:v>
                </c:pt>
                <c:pt idx="38">
                  <c:v>38443</c:v>
                </c:pt>
                <c:pt idx="39">
                  <c:v>38473</c:v>
                </c:pt>
                <c:pt idx="40">
                  <c:v>38504</c:v>
                </c:pt>
                <c:pt idx="41">
                  <c:v>38534</c:v>
                </c:pt>
                <c:pt idx="42">
                  <c:v>38565</c:v>
                </c:pt>
                <c:pt idx="43">
                  <c:v>38596</c:v>
                </c:pt>
                <c:pt idx="44">
                  <c:v>38626</c:v>
                </c:pt>
                <c:pt idx="45">
                  <c:v>38657</c:v>
                </c:pt>
                <c:pt idx="46">
                  <c:v>38687</c:v>
                </c:pt>
                <c:pt idx="47">
                  <c:v>38718</c:v>
                </c:pt>
                <c:pt idx="48">
                  <c:v>38749</c:v>
                </c:pt>
                <c:pt idx="49">
                  <c:v>38777</c:v>
                </c:pt>
                <c:pt idx="50">
                  <c:v>38808</c:v>
                </c:pt>
                <c:pt idx="51">
                  <c:v>38838</c:v>
                </c:pt>
                <c:pt idx="52">
                  <c:v>38869</c:v>
                </c:pt>
                <c:pt idx="53">
                  <c:v>38899</c:v>
                </c:pt>
                <c:pt idx="54">
                  <c:v>38930</c:v>
                </c:pt>
                <c:pt idx="55">
                  <c:v>38961</c:v>
                </c:pt>
                <c:pt idx="56">
                  <c:v>38991</c:v>
                </c:pt>
                <c:pt idx="57">
                  <c:v>39022</c:v>
                </c:pt>
                <c:pt idx="58">
                  <c:v>39052</c:v>
                </c:pt>
                <c:pt idx="59">
                  <c:v>39083</c:v>
                </c:pt>
                <c:pt idx="60">
                  <c:v>39114</c:v>
                </c:pt>
                <c:pt idx="61">
                  <c:v>39142</c:v>
                </c:pt>
                <c:pt idx="62">
                  <c:v>39173</c:v>
                </c:pt>
                <c:pt idx="63">
                  <c:v>39203</c:v>
                </c:pt>
                <c:pt idx="64">
                  <c:v>39234</c:v>
                </c:pt>
                <c:pt idx="65">
                  <c:v>39264</c:v>
                </c:pt>
                <c:pt idx="66">
                  <c:v>39295</c:v>
                </c:pt>
                <c:pt idx="67">
                  <c:v>39326</c:v>
                </c:pt>
                <c:pt idx="68">
                  <c:v>39356</c:v>
                </c:pt>
                <c:pt idx="69">
                  <c:v>39387</c:v>
                </c:pt>
                <c:pt idx="70">
                  <c:v>39417</c:v>
                </c:pt>
                <c:pt idx="71">
                  <c:v>39448</c:v>
                </c:pt>
                <c:pt idx="72">
                  <c:v>39479</c:v>
                </c:pt>
                <c:pt idx="73">
                  <c:v>39508</c:v>
                </c:pt>
                <c:pt idx="74">
                  <c:v>39539</c:v>
                </c:pt>
                <c:pt idx="75">
                  <c:v>39569</c:v>
                </c:pt>
                <c:pt idx="76">
                  <c:v>39600</c:v>
                </c:pt>
                <c:pt idx="77">
                  <c:v>39630</c:v>
                </c:pt>
                <c:pt idx="78">
                  <c:v>39661</c:v>
                </c:pt>
                <c:pt idx="79">
                  <c:v>39692</c:v>
                </c:pt>
                <c:pt idx="80">
                  <c:v>39722</c:v>
                </c:pt>
                <c:pt idx="81">
                  <c:v>39753</c:v>
                </c:pt>
                <c:pt idx="82">
                  <c:v>39783</c:v>
                </c:pt>
                <c:pt idx="83">
                  <c:v>39814</c:v>
                </c:pt>
                <c:pt idx="84">
                  <c:v>39845</c:v>
                </c:pt>
                <c:pt idx="85">
                  <c:v>39873</c:v>
                </c:pt>
                <c:pt idx="86">
                  <c:v>39904</c:v>
                </c:pt>
                <c:pt idx="87">
                  <c:v>39934</c:v>
                </c:pt>
                <c:pt idx="88">
                  <c:v>39965</c:v>
                </c:pt>
                <c:pt idx="89">
                  <c:v>39995</c:v>
                </c:pt>
                <c:pt idx="90">
                  <c:v>40026</c:v>
                </c:pt>
                <c:pt idx="91">
                  <c:v>40057</c:v>
                </c:pt>
                <c:pt idx="92">
                  <c:v>40087</c:v>
                </c:pt>
                <c:pt idx="93">
                  <c:v>40118</c:v>
                </c:pt>
                <c:pt idx="94">
                  <c:v>40148</c:v>
                </c:pt>
                <c:pt idx="95">
                  <c:v>40179</c:v>
                </c:pt>
                <c:pt idx="96">
                  <c:v>40210</c:v>
                </c:pt>
                <c:pt idx="97">
                  <c:v>40238</c:v>
                </c:pt>
                <c:pt idx="98">
                  <c:v>40269</c:v>
                </c:pt>
                <c:pt idx="99">
                  <c:v>40299</c:v>
                </c:pt>
                <c:pt idx="100">
                  <c:v>40330</c:v>
                </c:pt>
                <c:pt idx="101">
                  <c:v>40360</c:v>
                </c:pt>
                <c:pt idx="102">
                  <c:v>40391</c:v>
                </c:pt>
                <c:pt idx="103">
                  <c:v>40422</c:v>
                </c:pt>
                <c:pt idx="104">
                  <c:v>40452</c:v>
                </c:pt>
                <c:pt idx="105">
                  <c:v>40483</c:v>
                </c:pt>
                <c:pt idx="106">
                  <c:v>40513</c:v>
                </c:pt>
                <c:pt idx="107">
                  <c:v>40544</c:v>
                </c:pt>
                <c:pt idx="108">
                  <c:v>40575</c:v>
                </c:pt>
                <c:pt idx="109">
                  <c:v>40603</c:v>
                </c:pt>
                <c:pt idx="110">
                  <c:v>40634</c:v>
                </c:pt>
                <c:pt idx="111">
                  <c:v>40664</c:v>
                </c:pt>
                <c:pt idx="112">
                  <c:v>40695</c:v>
                </c:pt>
                <c:pt idx="113">
                  <c:v>40725</c:v>
                </c:pt>
                <c:pt idx="114">
                  <c:v>40756</c:v>
                </c:pt>
                <c:pt idx="115">
                  <c:v>40787</c:v>
                </c:pt>
                <c:pt idx="116">
                  <c:v>40817</c:v>
                </c:pt>
                <c:pt idx="117">
                  <c:v>40848</c:v>
                </c:pt>
                <c:pt idx="118">
                  <c:v>40878</c:v>
                </c:pt>
                <c:pt idx="119">
                  <c:v>40909</c:v>
                </c:pt>
                <c:pt idx="120">
                  <c:v>40940</c:v>
                </c:pt>
                <c:pt idx="121">
                  <c:v>40969</c:v>
                </c:pt>
                <c:pt idx="122">
                  <c:v>41000</c:v>
                </c:pt>
                <c:pt idx="123">
                  <c:v>41030</c:v>
                </c:pt>
                <c:pt idx="124">
                  <c:v>41061</c:v>
                </c:pt>
                <c:pt idx="125">
                  <c:v>41091</c:v>
                </c:pt>
                <c:pt idx="126">
                  <c:v>41122</c:v>
                </c:pt>
                <c:pt idx="127">
                  <c:v>41153</c:v>
                </c:pt>
                <c:pt idx="128">
                  <c:v>41183</c:v>
                </c:pt>
                <c:pt idx="129">
                  <c:v>41214</c:v>
                </c:pt>
                <c:pt idx="130">
                  <c:v>41244</c:v>
                </c:pt>
                <c:pt idx="131">
                  <c:v>41275</c:v>
                </c:pt>
                <c:pt idx="132">
                  <c:v>41306</c:v>
                </c:pt>
                <c:pt idx="133">
                  <c:v>41334</c:v>
                </c:pt>
                <c:pt idx="134">
                  <c:v>41365</c:v>
                </c:pt>
                <c:pt idx="135">
                  <c:v>41395</c:v>
                </c:pt>
                <c:pt idx="136">
                  <c:v>41426</c:v>
                </c:pt>
                <c:pt idx="137">
                  <c:v>41456</c:v>
                </c:pt>
                <c:pt idx="138">
                  <c:v>41487</c:v>
                </c:pt>
                <c:pt idx="139">
                  <c:v>41518</c:v>
                </c:pt>
                <c:pt idx="140">
                  <c:v>41548</c:v>
                </c:pt>
                <c:pt idx="141">
                  <c:v>41579</c:v>
                </c:pt>
                <c:pt idx="142">
                  <c:v>41609</c:v>
                </c:pt>
                <c:pt idx="143">
                  <c:v>41640</c:v>
                </c:pt>
                <c:pt idx="144">
                  <c:v>41671</c:v>
                </c:pt>
                <c:pt idx="145">
                  <c:v>41699</c:v>
                </c:pt>
                <c:pt idx="146">
                  <c:v>41730</c:v>
                </c:pt>
                <c:pt idx="147">
                  <c:v>41760</c:v>
                </c:pt>
                <c:pt idx="148">
                  <c:v>41791</c:v>
                </c:pt>
                <c:pt idx="149">
                  <c:v>41821</c:v>
                </c:pt>
                <c:pt idx="150">
                  <c:v>41852</c:v>
                </c:pt>
                <c:pt idx="151">
                  <c:v>41883</c:v>
                </c:pt>
                <c:pt idx="152">
                  <c:v>41913</c:v>
                </c:pt>
                <c:pt idx="153">
                  <c:v>41944</c:v>
                </c:pt>
                <c:pt idx="154">
                  <c:v>41974</c:v>
                </c:pt>
                <c:pt idx="155">
                  <c:v>42005</c:v>
                </c:pt>
                <c:pt idx="156">
                  <c:v>42036</c:v>
                </c:pt>
                <c:pt idx="157">
                  <c:v>42064</c:v>
                </c:pt>
                <c:pt idx="158">
                  <c:v>42095</c:v>
                </c:pt>
                <c:pt idx="159">
                  <c:v>42125</c:v>
                </c:pt>
                <c:pt idx="160">
                  <c:v>42156</c:v>
                </c:pt>
                <c:pt idx="161">
                  <c:v>42186</c:v>
                </c:pt>
                <c:pt idx="162">
                  <c:v>42217</c:v>
                </c:pt>
                <c:pt idx="163">
                  <c:v>42248</c:v>
                </c:pt>
                <c:pt idx="164">
                  <c:v>42278</c:v>
                </c:pt>
                <c:pt idx="165">
                  <c:v>42309</c:v>
                </c:pt>
                <c:pt idx="166">
                  <c:v>42339</c:v>
                </c:pt>
                <c:pt idx="167">
                  <c:v>42370</c:v>
                </c:pt>
                <c:pt idx="168">
                  <c:v>42401</c:v>
                </c:pt>
                <c:pt idx="169">
                  <c:v>42430</c:v>
                </c:pt>
                <c:pt idx="170">
                  <c:v>42461</c:v>
                </c:pt>
                <c:pt idx="171">
                  <c:v>42491</c:v>
                </c:pt>
                <c:pt idx="172">
                  <c:v>42522</c:v>
                </c:pt>
                <c:pt idx="173">
                  <c:v>42552</c:v>
                </c:pt>
                <c:pt idx="174">
                  <c:v>42583</c:v>
                </c:pt>
                <c:pt idx="175">
                  <c:v>42614</c:v>
                </c:pt>
                <c:pt idx="176">
                  <c:v>42644</c:v>
                </c:pt>
                <c:pt idx="177">
                  <c:v>42675</c:v>
                </c:pt>
                <c:pt idx="178">
                  <c:v>42705</c:v>
                </c:pt>
                <c:pt idx="179">
                  <c:v>42736</c:v>
                </c:pt>
                <c:pt idx="180">
                  <c:v>42767</c:v>
                </c:pt>
                <c:pt idx="181">
                  <c:v>42795</c:v>
                </c:pt>
                <c:pt idx="182">
                  <c:v>42826</c:v>
                </c:pt>
                <c:pt idx="183">
                  <c:v>42856</c:v>
                </c:pt>
                <c:pt idx="184">
                  <c:v>42887</c:v>
                </c:pt>
                <c:pt idx="185">
                  <c:v>42917</c:v>
                </c:pt>
                <c:pt idx="186">
                  <c:v>42948</c:v>
                </c:pt>
                <c:pt idx="187">
                  <c:v>42979</c:v>
                </c:pt>
                <c:pt idx="188">
                  <c:v>43009</c:v>
                </c:pt>
                <c:pt idx="189">
                  <c:v>43040</c:v>
                </c:pt>
                <c:pt idx="190">
                  <c:v>43070</c:v>
                </c:pt>
                <c:pt idx="191">
                  <c:v>43101</c:v>
                </c:pt>
                <c:pt idx="192">
                  <c:v>43132</c:v>
                </c:pt>
                <c:pt idx="193">
                  <c:v>43160</c:v>
                </c:pt>
                <c:pt idx="194">
                  <c:v>43191</c:v>
                </c:pt>
                <c:pt idx="195">
                  <c:v>43221</c:v>
                </c:pt>
                <c:pt idx="196">
                  <c:v>43252</c:v>
                </c:pt>
                <c:pt idx="197">
                  <c:v>43282</c:v>
                </c:pt>
                <c:pt idx="198">
                  <c:v>43313</c:v>
                </c:pt>
                <c:pt idx="199">
                  <c:v>43344</c:v>
                </c:pt>
                <c:pt idx="200">
                  <c:v>43374</c:v>
                </c:pt>
                <c:pt idx="201">
                  <c:v>43405</c:v>
                </c:pt>
                <c:pt idx="202">
                  <c:v>43435</c:v>
                </c:pt>
                <c:pt idx="203">
                  <c:v>43466</c:v>
                </c:pt>
                <c:pt idx="204">
                  <c:v>43497</c:v>
                </c:pt>
                <c:pt idx="205">
                  <c:v>43525</c:v>
                </c:pt>
                <c:pt idx="206">
                  <c:v>43556</c:v>
                </c:pt>
                <c:pt idx="207">
                  <c:v>43586</c:v>
                </c:pt>
                <c:pt idx="208">
                  <c:v>43617</c:v>
                </c:pt>
                <c:pt idx="209">
                  <c:v>43647</c:v>
                </c:pt>
                <c:pt idx="210">
                  <c:v>43678</c:v>
                </c:pt>
                <c:pt idx="211">
                  <c:v>43709</c:v>
                </c:pt>
                <c:pt idx="212">
                  <c:v>43739</c:v>
                </c:pt>
                <c:pt idx="213">
                  <c:v>43770</c:v>
                </c:pt>
                <c:pt idx="214">
                  <c:v>43800</c:v>
                </c:pt>
                <c:pt idx="215">
                  <c:v>43831</c:v>
                </c:pt>
                <c:pt idx="216">
                  <c:v>43862</c:v>
                </c:pt>
                <c:pt idx="217">
                  <c:v>43891</c:v>
                </c:pt>
                <c:pt idx="218">
                  <c:v>43922</c:v>
                </c:pt>
                <c:pt idx="219">
                  <c:v>43952</c:v>
                </c:pt>
                <c:pt idx="220">
                  <c:v>43983</c:v>
                </c:pt>
                <c:pt idx="221">
                  <c:v>44013</c:v>
                </c:pt>
                <c:pt idx="222">
                  <c:v>44044</c:v>
                </c:pt>
                <c:pt idx="223">
                  <c:v>44075</c:v>
                </c:pt>
                <c:pt idx="224">
                  <c:v>44105</c:v>
                </c:pt>
                <c:pt idx="225">
                  <c:v>44136</c:v>
                </c:pt>
                <c:pt idx="226">
                  <c:v>44166</c:v>
                </c:pt>
                <c:pt idx="227">
                  <c:v>44197</c:v>
                </c:pt>
                <c:pt idx="228">
                  <c:v>44228</c:v>
                </c:pt>
                <c:pt idx="229">
                  <c:v>44256</c:v>
                </c:pt>
                <c:pt idx="230">
                  <c:v>44287</c:v>
                </c:pt>
                <c:pt idx="231">
                  <c:v>44317</c:v>
                </c:pt>
                <c:pt idx="232">
                  <c:v>44348</c:v>
                </c:pt>
                <c:pt idx="233">
                  <c:v>44378</c:v>
                </c:pt>
                <c:pt idx="234">
                  <c:v>44409</c:v>
                </c:pt>
                <c:pt idx="235">
                  <c:v>44440</c:v>
                </c:pt>
                <c:pt idx="236">
                  <c:v>44470</c:v>
                </c:pt>
                <c:pt idx="237">
                  <c:v>44501</c:v>
                </c:pt>
                <c:pt idx="238">
                  <c:v>44531</c:v>
                </c:pt>
              </c:numCache>
            </c:numRef>
          </c:cat>
          <c:val>
            <c:numRef>
              <c:f>SEASADJ!$K$9:$K$297</c:f>
              <c:numCache>
                <c:formatCode>0.0</c:formatCode>
                <c:ptCount val="289"/>
                <c:pt idx="0">
                  <c:v>-0.71753883388702944</c:v>
                </c:pt>
                <c:pt idx="1">
                  <c:v>0.22460287827182232</c:v>
                </c:pt>
                <c:pt idx="2">
                  <c:v>6.8688421574020353</c:v>
                </c:pt>
                <c:pt idx="3">
                  <c:v>-5.5188277653232447</c:v>
                </c:pt>
                <c:pt idx="4">
                  <c:v>-2.4312302589565311</c:v>
                </c:pt>
                <c:pt idx="5">
                  <c:v>1.9869393011204659</c:v>
                </c:pt>
                <c:pt idx="6">
                  <c:v>-2.4443016238566138</c:v>
                </c:pt>
                <c:pt idx="7">
                  <c:v>1.0146606755559135</c:v>
                </c:pt>
                <c:pt idx="8">
                  <c:v>4.7225693217673861</c:v>
                </c:pt>
                <c:pt idx="9">
                  <c:v>-0.58337465728584181</c:v>
                </c:pt>
                <c:pt idx="10">
                  <c:v>-0.66122229185945081</c:v>
                </c:pt>
                <c:pt idx="11">
                  <c:v>-0.24722363333822142</c:v>
                </c:pt>
                <c:pt idx="12">
                  <c:v>6.4997613633094059E-2</c:v>
                </c:pt>
                <c:pt idx="13">
                  <c:v>-2.7438129504982021</c:v>
                </c:pt>
                <c:pt idx="14">
                  <c:v>2.8965069556173395</c:v>
                </c:pt>
                <c:pt idx="15">
                  <c:v>-2.4209516024136573</c:v>
                </c:pt>
                <c:pt idx="16">
                  <c:v>-3.1172710269704007</c:v>
                </c:pt>
                <c:pt idx="17">
                  <c:v>1.1171858461062731</c:v>
                </c:pt>
                <c:pt idx="18">
                  <c:v>-2.4354741740128558</c:v>
                </c:pt>
                <c:pt idx="19">
                  <c:v>7.7275674021505312</c:v>
                </c:pt>
                <c:pt idx="20">
                  <c:v>1.3239514816623537</c:v>
                </c:pt>
                <c:pt idx="21">
                  <c:v>-0.6453724178142739</c:v>
                </c:pt>
                <c:pt idx="22">
                  <c:v>2.836456960937614</c:v>
                </c:pt>
                <c:pt idx="23">
                  <c:v>-0.86181350509130761</c:v>
                </c:pt>
                <c:pt idx="24">
                  <c:v>-0.6308953663134429</c:v>
                </c:pt>
                <c:pt idx="25">
                  <c:v>5.8152505020691585</c:v>
                </c:pt>
                <c:pt idx="26">
                  <c:v>-1.4941620889847425</c:v>
                </c:pt>
                <c:pt idx="27">
                  <c:v>-1.651406496056782</c:v>
                </c:pt>
                <c:pt idx="28">
                  <c:v>1.0103750580356954</c:v>
                </c:pt>
                <c:pt idx="29">
                  <c:v>-0.68904666216837551</c:v>
                </c:pt>
                <c:pt idx="30">
                  <c:v>-0.60832085094559618</c:v>
                </c:pt>
                <c:pt idx="31">
                  <c:v>2.825211038783249</c:v>
                </c:pt>
                <c:pt idx="32">
                  <c:v>-2.0630836876527283</c:v>
                </c:pt>
                <c:pt idx="33">
                  <c:v>3.707254087174825</c:v>
                </c:pt>
                <c:pt idx="34">
                  <c:v>3.0376187376414912</c:v>
                </c:pt>
                <c:pt idx="35">
                  <c:v>-3.9063269313406899</c:v>
                </c:pt>
                <c:pt idx="36">
                  <c:v>-2.7635865213641622</c:v>
                </c:pt>
                <c:pt idx="37">
                  <c:v>3.881368425924645</c:v>
                </c:pt>
                <c:pt idx="38">
                  <c:v>2.9232413495741953</c:v>
                </c:pt>
                <c:pt idx="39">
                  <c:v>-1.9138675376487004</c:v>
                </c:pt>
                <c:pt idx="40">
                  <c:v>1.571161143024586</c:v>
                </c:pt>
                <c:pt idx="41">
                  <c:v>-6.2196847556514889</c:v>
                </c:pt>
                <c:pt idx="42">
                  <c:v>2.6784982195050122</c:v>
                </c:pt>
                <c:pt idx="43">
                  <c:v>-1.0132132620482732</c:v>
                </c:pt>
                <c:pt idx="44">
                  <c:v>-1.7407717714571191</c:v>
                </c:pt>
                <c:pt idx="45">
                  <c:v>4.145046894320684</c:v>
                </c:pt>
                <c:pt idx="46">
                  <c:v>4.6045720265601799</c:v>
                </c:pt>
                <c:pt idx="47">
                  <c:v>-2.845766040079666</c:v>
                </c:pt>
                <c:pt idx="48">
                  <c:v>-1.1884869336638624</c:v>
                </c:pt>
                <c:pt idx="49">
                  <c:v>3.9063029728684544</c:v>
                </c:pt>
                <c:pt idx="50">
                  <c:v>-3.46130437245397</c:v>
                </c:pt>
                <c:pt idx="51">
                  <c:v>4.2037391862690949</c:v>
                </c:pt>
                <c:pt idx="52">
                  <c:v>-3.3696836952274118</c:v>
                </c:pt>
                <c:pt idx="53">
                  <c:v>-2.3094168056024613</c:v>
                </c:pt>
                <c:pt idx="54">
                  <c:v>2.1868418439985775</c:v>
                </c:pt>
                <c:pt idx="55">
                  <c:v>-2.8071429529211613</c:v>
                </c:pt>
                <c:pt idx="56">
                  <c:v>0.93873264023485437</c:v>
                </c:pt>
                <c:pt idx="57">
                  <c:v>3.8875283425535851</c:v>
                </c:pt>
                <c:pt idx="58">
                  <c:v>1.3475020110042024</c:v>
                </c:pt>
                <c:pt idx="59">
                  <c:v>0.56031776721630933</c:v>
                </c:pt>
                <c:pt idx="60">
                  <c:v>-2.106784484132914</c:v>
                </c:pt>
                <c:pt idx="61">
                  <c:v>5.1956087043082615</c:v>
                </c:pt>
                <c:pt idx="62">
                  <c:v>-2.1390879248201715</c:v>
                </c:pt>
                <c:pt idx="63">
                  <c:v>3.2527111617758528</c:v>
                </c:pt>
                <c:pt idx="64">
                  <c:v>-1.8066229521733124</c:v>
                </c:pt>
                <c:pt idx="65">
                  <c:v>-2.2812555381593209</c:v>
                </c:pt>
                <c:pt idx="66">
                  <c:v>2.1801344928408271</c:v>
                </c:pt>
                <c:pt idx="67">
                  <c:v>-3.5714600956211262</c:v>
                </c:pt>
                <c:pt idx="68">
                  <c:v>5.5519524506781543</c:v>
                </c:pt>
                <c:pt idx="69">
                  <c:v>0.40307336704555485</c:v>
                </c:pt>
                <c:pt idx="70">
                  <c:v>1.0275312391577138</c:v>
                </c:pt>
                <c:pt idx="71">
                  <c:v>2.908344528100554</c:v>
                </c:pt>
                <c:pt idx="72">
                  <c:v>-0.89810117087412777</c:v>
                </c:pt>
                <c:pt idx="73">
                  <c:v>-3.2596679263660668</c:v>
                </c:pt>
                <c:pt idx="74">
                  <c:v>5.5897564561454676</c:v>
                </c:pt>
                <c:pt idx="75">
                  <c:v>-3.2463576700180132</c:v>
                </c:pt>
                <c:pt idx="76">
                  <c:v>2.0198514783184152</c:v>
                </c:pt>
                <c:pt idx="77">
                  <c:v>-0.31884229473695846</c:v>
                </c:pt>
                <c:pt idx="78">
                  <c:v>-4.2894342105939582</c:v>
                </c:pt>
                <c:pt idx="79">
                  <c:v>3.1986941993485574</c:v>
                </c:pt>
                <c:pt idx="80">
                  <c:v>-2.5517890541014396</c:v>
                </c:pt>
                <c:pt idx="81">
                  <c:v>-6.3977051793940269</c:v>
                </c:pt>
                <c:pt idx="82">
                  <c:v>-8.484359955320171</c:v>
                </c:pt>
                <c:pt idx="83">
                  <c:v>5.3345832191258193E-2</c:v>
                </c:pt>
                <c:pt idx="84">
                  <c:v>-0.27642972693952794</c:v>
                </c:pt>
                <c:pt idx="85">
                  <c:v>4.9543158696909995</c:v>
                </c:pt>
                <c:pt idx="86">
                  <c:v>0.15306855435996122</c:v>
                </c:pt>
                <c:pt idx="87">
                  <c:v>0.39609927778367648</c:v>
                </c:pt>
                <c:pt idx="88">
                  <c:v>2.2233280197679592</c:v>
                </c:pt>
                <c:pt idx="89">
                  <c:v>0.56402086838980292</c:v>
                </c:pt>
                <c:pt idx="90">
                  <c:v>-0.87773816146094918</c:v>
                </c:pt>
                <c:pt idx="91">
                  <c:v>2.6242059459808376</c:v>
                </c:pt>
                <c:pt idx="92">
                  <c:v>2.4788927699725161</c:v>
                </c:pt>
                <c:pt idx="93">
                  <c:v>1.4836399424866578</c:v>
                </c:pt>
                <c:pt idx="94">
                  <c:v>3.6157838779101965</c:v>
                </c:pt>
                <c:pt idx="95">
                  <c:v>-2.5699971838885016</c:v>
                </c:pt>
                <c:pt idx="96">
                  <c:v>0.64120659381763412</c:v>
                </c:pt>
                <c:pt idx="97">
                  <c:v>6.3735474104280456</c:v>
                </c:pt>
                <c:pt idx="98">
                  <c:v>-1.6105597512413858</c:v>
                </c:pt>
                <c:pt idx="99">
                  <c:v>-1.6062570032215895</c:v>
                </c:pt>
                <c:pt idx="100">
                  <c:v>-0.49846261922096669</c:v>
                </c:pt>
                <c:pt idx="101">
                  <c:v>-1.0270200349754219</c:v>
                </c:pt>
                <c:pt idx="102">
                  <c:v>-1.6875080542261922</c:v>
                </c:pt>
                <c:pt idx="103">
                  <c:v>0.6745905166868984</c:v>
                </c:pt>
                <c:pt idx="104">
                  <c:v>-1.7918265171763514</c:v>
                </c:pt>
                <c:pt idx="105">
                  <c:v>4.7030021903696273</c:v>
                </c:pt>
                <c:pt idx="106">
                  <c:v>1.0493698037228807</c:v>
                </c:pt>
                <c:pt idx="107">
                  <c:v>-3.0227841854763637</c:v>
                </c:pt>
                <c:pt idx="108">
                  <c:v>5.4161450049017494</c:v>
                </c:pt>
                <c:pt idx="109">
                  <c:v>-1.238933705218761</c:v>
                </c:pt>
                <c:pt idx="110">
                  <c:v>-2.7716188125372154</c:v>
                </c:pt>
                <c:pt idx="111">
                  <c:v>2.8722238462085681</c:v>
                </c:pt>
                <c:pt idx="112">
                  <c:v>-2.8553687196584168</c:v>
                </c:pt>
                <c:pt idx="113">
                  <c:v>-2.0704527203418324</c:v>
                </c:pt>
                <c:pt idx="114">
                  <c:v>1.5306741536821034</c:v>
                </c:pt>
                <c:pt idx="115">
                  <c:v>-2.7420892038409148</c:v>
                </c:pt>
                <c:pt idx="116">
                  <c:v>-2.1505816448946895</c:v>
                </c:pt>
                <c:pt idx="117">
                  <c:v>3.5468523511309114</c:v>
                </c:pt>
                <c:pt idx="118">
                  <c:v>2.5779052484492944</c:v>
                </c:pt>
                <c:pt idx="119">
                  <c:v>-7.035523147121169</c:v>
                </c:pt>
                <c:pt idx="120">
                  <c:v>4.3155679278942261</c:v>
                </c:pt>
                <c:pt idx="121">
                  <c:v>0.20402676131536698</c:v>
                </c:pt>
                <c:pt idx="122">
                  <c:v>-3.1057927856273073</c:v>
                </c:pt>
                <c:pt idx="123">
                  <c:v>3.4227797798492148</c:v>
                </c:pt>
                <c:pt idx="124">
                  <c:v>-2.9414834189287884</c:v>
                </c:pt>
                <c:pt idx="125">
                  <c:v>0.88618244494539322</c:v>
                </c:pt>
                <c:pt idx="126">
                  <c:v>3.6799532338882739</c:v>
                </c:pt>
                <c:pt idx="127">
                  <c:v>-4.7167518438012168</c:v>
                </c:pt>
                <c:pt idx="128">
                  <c:v>4.2389268736762409</c:v>
                </c:pt>
                <c:pt idx="129">
                  <c:v>-0.92361092941121647</c:v>
                </c:pt>
                <c:pt idx="130">
                  <c:v>-1.7220757979542558</c:v>
                </c:pt>
                <c:pt idx="131">
                  <c:v>3.024288160931202</c:v>
                </c:pt>
                <c:pt idx="132">
                  <c:v>-3.9296708271241036</c:v>
                </c:pt>
                <c:pt idx="133">
                  <c:v>8.8859206011813158E-2</c:v>
                </c:pt>
                <c:pt idx="134">
                  <c:v>8.1769654387050004</c:v>
                </c:pt>
                <c:pt idx="135">
                  <c:v>-3.4238114946714782</c:v>
                </c:pt>
                <c:pt idx="136">
                  <c:v>-1.9509109866954877</c:v>
                </c:pt>
                <c:pt idx="137">
                  <c:v>0.78027042674143754</c:v>
                </c:pt>
                <c:pt idx="138">
                  <c:v>0.83296570144498627</c:v>
                </c:pt>
                <c:pt idx="139">
                  <c:v>-1.4618111270609342</c:v>
                </c:pt>
                <c:pt idx="140">
                  <c:v>1.2495736159029649</c:v>
                </c:pt>
                <c:pt idx="141">
                  <c:v>-0.40379905457077214</c:v>
                </c:pt>
                <c:pt idx="142">
                  <c:v>-5.2588997660794288</c:v>
                </c:pt>
                <c:pt idx="143">
                  <c:v>3.2972154710004657</c:v>
                </c:pt>
                <c:pt idx="144">
                  <c:v>2.7585593142995037</c:v>
                </c:pt>
                <c:pt idx="145">
                  <c:v>-4.9785586363332275</c:v>
                </c:pt>
                <c:pt idx="146">
                  <c:v>2.7210311595241592</c:v>
                </c:pt>
                <c:pt idx="147">
                  <c:v>-0.75092494011378541</c:v>
                </c:pt>
                <c:pt idx="148">
                  <c:v>-5.6779660202577915</c:v>
                </c:pt>
                <c:pt idx="149">
                  <c:v>4.3104750030365135</c:v>
                </c:pt>
                <c:pt idx="150">
                  <c:v>-1.0002377257061206</c:v>
                </c:pt>
                <c:pt idx="151">
                  <c:v>2.1645196312091315</c:v>
                </c:pt>
                <c:pt idx="152">
                  <c:v>-0.12793059995755621</c:v>
                </c:pt>
                <c:pt idx="153">
                  <c:v>-3.5506532325129836</c:v>
                </c:pt>
                <c:pt idx="154">
                  <c:v>-1.8373400594429921</c:v>
                </c:pt>
                <c:pt idx="155">
                  <c:v>1.0153811236159382</c:v>
                </c:pt>
                <c:pt idx="156">
                  <c:v>-2.0402962160381839</c:v>
                </c:pt>
                <c:pt idx="157">
                  <c:v>1.6701778097497098</c:v>
                </c:pt>
                <c:pt idx="158">
                  <c:v>-1.9433430321922751</c:v>
                </c:pt>
                <c:pt idx="159">
                  <c:v>-1.7900826702918939</c:v>
                </c:pt>
                <c:pt idx="160">
                  <c:v>0.59583974714122923</c:v>
                </c:pt>
                <c:pt idx="161">
                  <c:v>-2.0383616833985982</c:v>
                </c:pt>
                <c:pt idx="162">
                  <c:v>-0.62867412240628084</c:v>
                </c:pt>
                <c:pt idx="163">
                  <c:v>-0.61441933918025304</c:v>
                </c:pt>
                <c:pt idx="164">
                  <c:v>-0.54278080829257158</c:v>
                </c:pt>
                <c:pt idx="165">
                  <c:v>-4.8568033984102961</c:v>
                </c:pt>
                <c:pt idx="166">
                  <c:v>-1.5508657566764175</c:v>
                </c:pt>
                <c:pt idx="167">
                  <c:v>-0.6123341068156114</c:v>
                </c:pt>
                <c:pt idx="168">
                  <c:v>2.4255947644236873</c:v>
                </c:pt>
                <c:pt idx="169">
                  <c:v>-0.33997491993814677</c:v>
                </c:pt>
                <c:pt idx="170">
                  <c:v>3.2262739620532974</c:v>
                </c:pt>
                <c:pt idx="171">
                  <c:v>-2.6199370695031496</c:v>
                </c:pt>
                <c:pt idx="172">
                  <c:v>2.8516238524809285</c:v>
                </c:pt>
                <c:pt idx="173">
                  <c:v>-3.0867799199543686</c:v>
                </c:pt>
                <c:pt idx="174">
                  <c:v>0.92061860159462494</c:v>
                </c:pt>
                <c:pt idx="175">
                  <c:v>0.32099743556675397</c:v>
                </c:pt>
                <c:pt idx="176">
                  <c:v>-4.1245259962420384</c:v>
                </c:pt>
                <c:pt idx="177">
                  <c:v>1.3536666409200464</c:v>
                </c:pt>
                <c:pt idx="178">
                  <c:v>-0.28720735622521865</c:v>
                </c:pt>
                <c:pt idx="179">
                  <c:v>1.4629673518135218</c:v>
                </c:pt>
                <c:pt idx="180">
                  <c:v>0.4821324811203902</c:v>
                </c:pt>
                <c:pt idx="181">
                  <c:v>1.538898234645492</c:v>
                </c:pt>
                <c:pt idx="182">
                  <c:v>-3.3446862834357267</c:v>
                </c:pt>
                <c:pt idx="183">
                  <c:v>6.2493674985674144</c:v>
                </c:pt>
                <c:pt idx="184">
                  <c:v>-0.66242577346402109</c:v>
                </c:pt>
                <c:pt idx="185">
                  <c:v>-1.1298246184627665</c:v>
                </c:pt>
                <c:pt idx="186">
                  <c:v>2.0700472041562574</c:v>
                </c:pt>
                <c:pt idx="187">
                  <c:v>-1.076179891816027</c:v>
                </c:pt>
                <c:pt idx="188">
                  <c:v>-1.3387853511818868</c:v>
                </c:pt>
                <c:pt idx="189">
                  <c:v>0.69469230375337698</c:v>
                </c:pt>
                <c:pt idx="190">
                  <c:v>-0.11321750316439075</c:v>
                </c:pt>
                <c:pt idx="191">
                  <c:v>2.152513068274835</c:v>
                </c:pt>
                <c:pt idx="192">
                  <c:v>-3.1846558803325631</c:v>
                </c:pt>
                <c:pt idx="193">
                  <c:v>0.64357880297860248</c:v>
                </c:pt>
                <c:pt idx="194">
                  <c:v>4.4135345587550967</c:v>
                </c:pt>
                <c:pt idx="195">
                  <c:v>-8.9765373323737983</c:v>
                </c:pt>
                <c:pt idx="196">
                  <c:v>8.881433990005517</c:v>
                </c:pt>
                <c:pt idx="197">
                  <c:v>-0.19963390913886772</c:v>
                </c:pt>
                <c:pt idx="198">
                  <c:v>-0.32944567728195606</c:v>
                </c:pt>
                <c:pt idx="199">
                  <c:v>-5.1196747851496838</c:v>
                </c:pt>
                <c:pt idx="200">
                  <c:v>1.8987997945816506</c:v>
                </c:pt>
                <c:pt idx="201">
                  <c:v>-1.2602380156060295</c:v>
                </c:pt>
                <c:pt idx="202">
                  <c:v>-2.665691524636701</c:v>
                </c:pt>
                <c:pt idx="203">
                  <c:v>3.9632926258474566</c:v>
                </c:pt>
                <c:pt idx="204">
                  <c:v>1.08048927840272</c:v>
                </c:pt>
                <c:pt idx="205">
                  <c:v>-7.8804154147654355</c:v>
                </c:pt>
                <c:pt idx="206">
                  <c:v>6.866050381972288</c:v>
                </c:pt>
                <c:pt idx="207">
                  <c:v>2.3222596356237304</c:v>
                </c:pt>
                <c:pt idx="208">
                  <c:v>-4.6416562786879307</c:v>
                </c:pt>
                <c:pt idx="209">
                  <c:v>3.2571118938589514</c:v>
                </c:pt>
                <c:pt idx="210">
                  <c:v>0.15000252804389455</c:v>
                </c:pt>
                <c:pt idx="211">
                  <c:v>-1.8564949657383538</c:v>
                </c:pt>
                <c:pt idx="212">
                  <c:v>1.9381350967030686</c:v>
                </c:pt>
                <c:pt idx="213">
                  <c:v>-4.1952484485231576</c:v>
                </c:pt>
                <c:pt idx="214">
                  <c:v>-2.3958054621757174</c:v>
                </c:pt>
                <c:pt idx="215">
                  <c:v>4.5123935834446289</c:v>
                </c:pt>
                <c:pt idx="216">
                  <c:v>1.6985186464269246</c:v>
                </c:pt>
                <c:pt idx="217">
                  <c:v>-11.529570902161112</c:v>
                </c:pt>
                <c:pt idx="218">
                  <c:v>-21.54327398241983</c:v>
                </c:pt>
                <c:pt idx="219">
                  <c:v>10.097235369697461</c:v>
                </c:pt>
                <c:pt idx="220">
                  <c:v>10.875504617448627</c:v>
                </c:pt>
                <c:pt idx="221">
                  <c:v>9.6734359358196826</c:v>
                </c:pt>
                <c:pt idx="222">
                  <c:v>0.3332892540942356</c:v>
                </c:pt>
                <c:pt idx="223">
                  <c:v>4.4100302627856198</c:v>
                </c:pt>
                <c:pt idx="224">
                  <c:v>-1.599691917218895</c:v>
                </c:pt>
                <c:pt idx="225">
                  <c:v>-2.0347882583436556</c:v>
                </c:pt>
                <c:pt idx="226">
                  <c:v>3.1292005449069951</c:v>
                </c:pt>
                <c:pt idx="227">
                  <c:v>-1.1346380641610112</c:v>
                </c:pt>
                <c:pt idx="228">
                  <c:v>-0.39555227990934272</c:v>
                </c:pt>
                <c:pt idx="229">
                  <c:v>-1.7743897386408243</c:v>
                </c:pt>
                <c:pt idx="230">
                  <c:v>-1.6702285560555499</c:v>
                </c:pt>
                <c:pt idx="231">
                  <c:v>1.853759210201714</c:v>
                </c:pt>
                <c:pt idx="232">
                  <c:v>0.67517722835877347</c:v>
                </c:pt>
                <c:pt idx="233">
                  <c:v>-0.45408939308741125</c:v>
                </c:pt>
                <c:pt idx="234">
                  <c:v>-1.5106772484176143</c:v>
                </c:pt>
                <c:pt idx="235">
                  <c:v>0.76997374345111425</c:v>
                </c:pt>
                <c:pt idx="236">
                  <c:v>-5.5585533126632622</c:v>
                </c:pt>
                <c:pt idx="237">
                  <c:v>1.6780508564576566</c:v>
                </c:pt>
                <c:pt idx="238">
                  <c:v>2.501958407584894</c:v>
                </c:pt>
              </c:numCache>
            </c:numRef>
          </c:val>
          <c:smooth val="0"/>
          <c:extLst>
            <c:ext xmlns:c16="http://schemas.microsoft.com/office/drawing/2014/chart" uri="{C3380CC4-5D6E-409C-BE32-E72D297353CC}">
              <c16:uniqueId val="{00000001-A60B-4EBE-8720-7D622261500E}"/>
            </c:ext>
          </c:extLst>
        </c:ser>
        <c:dLbls>
          <c:showLegendKey val="0"/>
          <c:showVal val="0"/>
          <c:showCatName val="0"/>
          <c:showSerName val="0"/>
          <c:showPercent val="0"/>
          <c:showBubbleSize val="0"/>
        </c:dLbls>
        <c:smooth val="0"/>
        <c:axId val="2040515792"/>
        <c:axId val="2040519952"/>
      </c:lineChart>
      <c:dateAx>
        <c:axId val="2040515792"/>
        <c:scaling>
          <c:orientation val="minMax"/>
        </c:scaling>
        <c:delete val="0"/>
        <c:axPos val="b"/>
        <c:numFmt formatCode="[$-416]m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0519952"/>
        <c:crosses val="autoZero"/>
        <c:auto val="1"/>
        <c:lblOffset val="100"/>
        <c:baseTimeUnit val="months"/>
      </c:dateAx>
      <c:valAx>
        <c:axId val="204051995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051579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8740157499999996" l="0.511811024" r="0.511811024" t="0.78740157499999996" header="0.31496062000000002" footer="0.31496062000000002"/>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TSOPER!$N$3</c:f>
          <c:strCache>
            <c:ptCount val="1"/>
            <c:pt idx="0">
              <c:v>IBC-Br SA V%(3)</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19050" cap="rnd">
              <a:solidFill>
                <a:schemeClr val="accent1"/>
              </a:solidFill>
              <a:round/>
            </a:ln>
            <a:effectLst/>
          </c:spPr>
          <c:marker>
            <c:symbol val="none"/>
          </c:marker>
          <c:cat>
            <c:numRef>
              <c:f>TSOPER!$F$10:$F$249</c:f>
              <c:numCache>
                <c:formatCode>[$-416]mmm\-yy;@</c:formatCode>
                <c:ptCount val="240"/>
                <c:pt idx="0">
                  <c:v>37622</c:v>
                </c:pt>
                <c:pt idx="1">
                  <c:v>37653</c:v>
                </c:pt>
                <c:pt idx="2">
                  <c:v>37681</c:v>
                </c:pt>
                <c:pt idx="3">
                  <c:v>37712</c:v>
                </c:pt>
                <c:pt idx="4">
                  <c:v>37742</c:v>
                </c:pt>
                <c:pt idx="5">
                  <c:v>37773</c:v>
                </c:pt>
                <c:pt idx="6">
                  <c:v>37803</c:v>
                </c:pt>
                <c:pt idx="7">
                  <c:v>37834</c:v>
                </c:pt>
                <c:pt idx="8">
                  <c:v>37865</c:v>
                </c:pt>
                <c:pt idx="9">
                  <c:v>37895</c:v>
                </c:pt>
                <c:pt idx="10">
                  <c:v>37926</c:v>
                </c:pt>
                <c:pt idx="11">
                  <c:v>37956</c:v>
                </c:pt>
                <c:pt idx="12">
                  <c:v>37987</c:v>
                </c:pt>
                <c:pt idx="13">
                  <c:v>38018</c:v>
                </c:pt>
                <c:pt idx="14">
                  <c:v>38047</c:v>
                </c:pt>
                <c:pt idx="15">
                  <c:v>38078</c:v>
                </c:pt>
                <c:pt idx="16">
                  <c:v>38108</c:v>
                </c:pt>
                <c:pt idx="17">
                  <c:v>38139</c:v>
                </c:pt>
                <c:pt idx="18">
                  <c:v>38169</c:v>
                </c:pt>
                <c:pt idx="19">
                  <c:v>38200</c:v>
                </c:pt>
                <c:pt idx="20">
                  <c:v>38231</c:v>
                </c:pt>
                <c:pt idx="21">
                  <c:v>38261</c:v>
                </c:pt>
                <c:pt idx="22">
                  <c:v>38292</c:v>
                </c:pt>
                <c:pt idx="23">
                  <c:v>38322</c:v>
                </c:pt>
                <c:pt idx="24">
                  <c:v>38353</c:v>
                </c:pt>
                <c:pt idx="25">
                  <c:v>38384</c:v>
                </c:pt>
                <c:pt idx="26">
                  <c:v>38412</c:v>
                </c:pt>
                <c:pt idx="27">
                  <c:v>38443</c:v>
                </c:pt>
                <c:pt idx="28">
                  <c:v>38473</c:v>
                </c:pt>
                <c:pt idx="29">
                  <c:v>38504</c:v>
                </c:pt>
                <c:pt idx="30">
                  <c:v>38534</c:v>
                </c:pt>
                <c:pt idx="31">
                  <c:v>38565</c:v>
                </c:pt>
                <c:pt idx="32">
                  <c:v>38596</c:v>
                </c:pt>
                <c:pt idx="33">
                  <c:v>38626</c:v>
                </c:pt>
                <c:pt idx="34">
                  <c:v>38657</c:v>
                </c:pt>
                <c:pt idx="35">
                  <c:v>38687</c:v>
                </c:pt>
                <c:pt idx="36">
                  <c:v>38718</c:v>
                </c:pt>
                <c:pt idx="37">
                  <c:v>38749</c:v>
                </c:pt>
                <c:pt idx="38">
                  <c:v>38777</c:v>
                </c:pt>
                <c:pt idx="39">
                  <c:v>38808</c:v>
                </c:pt>
                <c:pt idx="40">
                  <c:v>38838</c:v>
                </c:pt>
                <c:pt idx="41">
                  <c:v>38869</c:v>
                </c:pt>
                <c:pt idx="42">
                  <c:v>38899</c:v>
                </c:pt>
                <c:pt idx="43">
                  <c:v>38930</c:v>
                </c:pt>
                <c:pt idx="44">
                  <c:v>38961</c:v>
                </c:pt>
                <c:pt idx="45">
                  <c:v>38991</c:v>
                </c:pt>
                <c:pt idx="46">
                  <c:v>39022</c:v>
                </c:pt>
                <c:pt idx="47">
                  <c:v>39052</c:v>
                </c:pt>
                <c:pt idx="48">
                  <c:v>39083</c:v>
                </c:pt>
                <c:pt idx="49">
                  <c:v>39114</c:v>
                </c:pt>
                <c:pt idx="50">
                  <c:v>39142</c:v>
                </c:pt>
                <c:pt idx="51">
                  <c:v>39173</c:v>
                </c:pt>
                <c:pt idx="52">
                  <c:v>39203</c:v>
                </c:pt>
                <c:pt idx="53">
                  <c:v>39234</c:v>
                </c:pt>
                <c:pt idx="54">
                  <c:v>39264</c:v>
                </c:pt>
                <c:pt idx="55">
                  <c:v>39295</c:v>
                </c:pt>
                <c:pt idx="56">
                  <c:v>39326</c:v>
                </c:pt>
                <c:pt idx="57">
                  <c:v>39356</c:v>
                </c:pt>
                <c:pt idx="58">
                  <c:v>39387</c:v>
                </c:pt>
                <c:pt idx="59">
                  <c:v>39417</c:v>
                </c:pt>
                <c:pt idx="60">
                  <c:v>39448</c:v>
                </c:pt>
                <c:pt idx="61">
                  <c:v>39479</c:v>
                </c:pt>
                <c:pt idx="62">
                  <c:v>39508</c:v>
                </c:pt>
                <c:pt idx="63">
                  <c:v>39539</c:v>
                </c:pt>
                <c:pt idx="64">
                  <c:v>39569</c:v>
                </c:pt>
                <c:pt idx="65">
                  <c:v>39600</c:v>
                </c:pt>
                <c:pt idx="66">
                  <c:v>39630</c:v>
                </c:pt>
                <c:pt idx="67">
                  <c:v>39661</c:v>
                </c:pt>
                <c:pt idx="68">
                  <c:v>39692</c:v>
                </c:pt>
                <c:pt idx="69">
                  <c:v>39722</c:v>
                </c:pt>
                <c:pt idx="70">
                  <c:v>39753</c:v>
                </c:pt>
                <c:pt idx="71">
                  <c:v>39783</c:v>
                </c:pt>
                <c:pt idx="72">
                  <c:v>39814</c:v>
                </c:pt>
                <c:pt idx="73">
                  <c:v>39845</c:v>
                </c:pt>
                <c:pt idx="74">
                  <c:v>39873</c:v>
                </c:pt>
                <c:pt idx="75">
                  <c:v>39904</c:v>
                </c:pt>
                <c:pt idx="76">
                  <c:v>39934</c:v>
                </c:pt>
                <c:pt idx="77">
                  <c:v>39965</c:v>
                </c:pt>
                <c:pt idx="78">
                  <c:v>39995</c:v>
                </c:pt>
                <c:pt idx="79">
                  <c:v>40026</c:v>
                </c:pt>
                <c:pt idx="80">
                  <c:v>40057</c:v>
                </c:pt>
                <c:pt idx="81">
                  <c:v>40087</c:v>
                </c:pt>
                <c:pt idx="82">
                  <c:v>40118</c:v>
                </c:pt>
                <c:pt idx="83">
                  <c:v>40148</c:v>
                </c:pt>
                <c:pt idx="84">
                  <c:v>40179</c:v>
                </c:pt>
                <c:pt idx="85">
                  <c:v>40210</c:v>
                </c:pt>
                <c:pt idx="86">
                  <c:v>40238</c:v>
                </c:pt>
                <c:pt idx="87">
                  <c:v>40269</c:v>
                </c:pt>
                <c:pt idx="88">
                  <c:v>40299</c:v>
                </c:pt>
                <c:pt idx="89">
                  <c:v>40330</c:v>
                </c:pt>
                <c:pt idx="90">
                  <c:v>40360</c:v>
                </c:pt>
                <c:pt idx="91">
                  <c:v>40391</c:v>
                </c:pt>
                <c:pt idx="92">
                  <c:v>40422</c:v>
                </c:pt>
                <c:pt idx="93">
                  <c:v>40452</c:v>
                </c:pt>
                <c:pt idx="94">
                  <c:v>40483</c:v>
                </c:pt>
                <c:pt idx="95">
                  <c:v>40513</c:v>
                </c:pt>
                <c:pt idx="96">
                  <c:v>40544</c:v>
                </c:pt>
                <c:pt idx="97">
                  <c:v>40575</c:v>
                </c:pt>
                <c:pt idx="98">
                  <c:v>40603</c:v>
                </c:pt>
                <c:pt idx="99">
                  <c:v>40634</c:v>
                </c:pt>
                <c:pt idx="100">
                  <c:v>40664</c:v>
                </c:pt>
                <c:pt idx="101">
                  <c:v>40695</c:v>
                </c:pt>
                <c:pt idx="102">
                  <c:v>40725</c:v>
                </c:pt>
                <c:pt idx="103">
                  <c:v>40756</c:v>
                </c:pt>
                <c:pt idx="104">
                  <c:v>40787</c:v>
                </c:pt>
                <c:pt idx="105">
                  <c:v>40817</c:v>
                </c:pt>
                <c:pt idx="106">
                  <c:v>40848</c:v>
                </c:pt>
                <c:pt idx="107">
                  <c:v>40878</c:v>
                </c:pt>
                <c:pt idx="108">
                  <c:v>40909</c:v>
                </c:pt>
                <c:pt idx="109">
                  <c:v>40940</c:v>
                </c:pt>
                <c:pt idx="110">
                  <c:v>40969</c:v>
                </c:pt>
                <c:pt idx="111">
                  <c:v>41000</c:v>
                </c:pt>
                <c:pt idx="112">
                  <c:v>41030</c:v>
                </c:pt>
                <c:pt idx="113">
                  <c:v>41061</c:v>
                </c:pt>
                <c:pt idx="114">
                  <c:v>41091</c:v>
                </c:pt>
                <c:pt idx="115">
                  <c:v>41122</c:v>
                </c:pt>
                <c:pt idx="116">
                  <c:v>41153</c:v>
                </c:pt>
                <c:pt idx="117">
                  <c:v>41183</c:v>
                </c:pt>
                <c:pt idx="118">
                  <c:v>41214</c:v>
                </c:pt>
                <c:pt idx="119">
                  <c:v>41244</c:v>
                </c:pt>
                <c:pt idx="120">
                  <c:v>41275</c:v>
                </c:pt>
                <c:pt idx="121">
                  <c:v>41306</c:v>
                </c:pt>
                <c:pt idx="122">
                  <c:v>41334</c:v>
                </c:pt>
                <c:pt idx="123">
                  <c:v>41365</c:v>
                </c:pt>
                <c:pt idx="124">
                  <c:v>41395</c:v>
                </c:pt>
                <c:pt idx="125">
                  <c:v>41426</c:v>
                </c:pt>
                <c:pt idx="126">
                  <c:v>41456</c:v>
                </c:pt>
                <c:pt idx="127">
                  <c:v>41487</c:v>
                </c:pt>
                <c:pt idx="128">
                  <c:v>41518</c:v>
                </c:pt>
                <c:pt idx="129">
                  <c:v>41548</c:v>
                </c:pt>
                <c:pt idx="130">
                  <c:v>41579</c:v>
                </c:pt>
                <c:pt idx="131">
                  <c:v>41609</c:v>
                </c:pt>
                <c:pt idx="132">
                  <c:v>41640</c:v>
                </c:pt>
                <c:pt idx="133">
                  <c:v>41671</c:v>
                </c:pt>
                <c:pt idx="134">
                  <c:v>41699</c:v>
                </c:pt>
                <c:pt idx="135">
                  <c:v>41730</c:v>
                </c:pt>
                <c:pt idx="136">
                  <c:v>41760</c:v>
                </c:pt>
                <c:pt idx="137">
                  <c:v>41791</c:v>
                </c:pt>
                <c:pt idx="138">
                  <c:v>41821</c:v>
                </c:pt>
                <c:pt idx="139">
                  <c:v>41852</c:v>
                </c:pt>
                <c:pt idx="140">
                  <c:v>41883</c:v>
                </c:pt>
                <c:pt idx="141">
                  <c:v>41913</c:v>
                </c:pt>
                <c:pt idx="142">
                  <c:v>41944</c:v>
                </c:pt>
                <c:pt idx="143">
                  <c:v>41974</c:v>
                </c:pt>
                <c:pt idx="144">
                  <c:v>42005</c:v>
                </c:pt>
                <c:pt idx="145">
                  <c:v>42036</c:v>
                </c:pt>
                <c:pt idx="146">
                  <c:v>42064</c:v>
                </c:pt>
                <c:pt idx="147">
                  <c:v>42095</c:v>
                </c:pt>
                <c:pt idx="148">
                  <c:v>42125</c:v>
                </c:pt>
                <c:pt idx="149">
                  <c:v>42156</c:v>
                </c:pt>
                <c:pt idx="150">
                  <c:v>42186</c:v>
                </c:pt>
                <c:pt idx="151">
                  <c:v>42217</c:v>
                </c:pt>
                <c:pt idx="152">
                  <c:v>42248</c:v>
                </c:pt>
                <c:pt idx="153">
                  <c:v>42278</c:v>
                </c:pt>
                <c:pt idx="154">
                  <c:v>42309</c:v>
                </c:pt>
                <c:pt idx="155">
                  <c:v>42339</c:v>
                </c:pt>
                <c:pt idx="156">
                  <c:v>42370</c:v>
                </c:pt>
                <c:pt idx="157">
                  <c:v>42401</c:v>
                </c:pt>
                <c:pt idx="158">
                  <c:v>42430</c:v>
                </c:pt>
                <c:pt idx="159">
                  <c:v>42461</c:v>
                </c:pt>
                <c:pt idx="160">
                  <c:v>42491</c:v>
                </c:pt>
                <c:pt idx="161">
                  <c:v>42522</c:v>
                </c:pt>
                <c:pt idx="162">
                  <c:v>42552</c:v>
                </c:pt>
                <c:pt idx="163">
                  <c:v>42583</c:v>
                </c:pt>
                <c:pt idx="164">
                  <c:v>42614</c:v>
                </c:pt>
                <c:pt idx="165">
                  <c:v>42644</c:v>
                </c:pt>
                <c:pt idx="166">
                  <c:v>42675</c:v>
                </c:pt>
                <c:pt idx="167">
                  <c:v>42705</c:v>
                </c:pt>
                <c:pt idx="168">
                  <c:v>42736</c:v>
                </c:pt>
                <c:pt idx="169">
                  <c:v>42767</c:v>
                </c:pt>
                <c:pt idx="170">
                  <c:v>42795</c:v>
                </c:pt>
                <c:pt idx="171">
                  <c:v>42826</c:v>
                </c:pt>
                <c:pt idx="172">
                  <c:v>42856</c:v>
                </c:pt>
                <c:pt idx="173">
                  <c:v>42887</c:v>
                </c:pt>
                <c:pt idx="174">
                  <c:v>42917</c:v>
                </c:pt>
                <c:pt idx="175">
                  <c:v>42948</c:v>
                </c:pt>
                <c:pt idx="176">
                  <c:v>42979</c:v>
                </c:pt>
                <c:pt idx="177">
                  <c:v>43009</c:v>
                </c:pt>
                <c:pt idx="178">
                  <c:v>43040</c:v>
                </c:pt>
                <c:pt idx="179">
                  <c:v>43070</c:v>
                </c:pt>
                <c:pt idx="180">
                  <c:v>43101</c:v>
                </c:pt>
                <c:pt idx="181">
                  <c:v>43132</c:v>
                </c:pt>
                <c:pt idx="182">
                  <c:v>43160</c:v>
                </c:pt>
                <c:pt idx="183">
                  <c:v>43191</c:v>
                </c:pt>
                <c:pt idx="184">
                  <c:v>43221</c:v>
                </c:pt>
                <c:pt idx="185">
                  <c:v>43252</c:v>
                </c:pt>
                <c:pt idx="186">
                  <c:v>43282</c:v>
                </c:pt>
                <c:pt idx="187">
                  <c:v>43313</c:v>
                </c:pt>
                <c:pt idx="188">
                  <c:v>43344</c:v>
                </c:pt>
                <c:pt idx="189">
                  <c:v>43374</c:v>
                </c:pt>
                <c:pt idx="190">
                  <c:v>43405</c:v>
                </c:pt>
                <c:pt idx="191">
                  <c:v>43435</c:v>
                </c:pt>
                <c:pt idx="192">
                  <c:v>43466</c:v>
                </c:pt>
                <c:pt idx="193">
                  <c:v>43497</c:v>
                </c:pt>
                <c:pt idx="194">
                  <c:v>43525</c:v>
                </c:pt>
                <c:pt idx="195">
                  <c:v>43556</c:v>
                </c:pt>
                <c:pt idx="196">
                  <c:v>43586</c:v>
                </c:pt>
                <c:pt idx="197">
                  <c:v>43617</c:v>
                </c:pt>
                <c:pt idx="198">
                  <c:v>43647</c:v>
                </c:pt>
                <c:pt idx="199">
                  <c:v>43678</c:v>
                </c:pt>
                <c:pt idx="200">
                  <c:v>43709</c:v>
                </c:pt>
                <c:pt idx="201">
                  <c:v>43739</c:v>
                </c:pt>
                <c:pt idx="202">
                  <c:v>43770</c:v>
                </c:pt>
                <c:pt idx="203">
                  <c:v>43800</c:v>
                </c:pt>
                <c:pt idx="204">
                  <c:v>43831</c:v>
                </c:pt>
                <c:pt idx="205">
                  <c:v>43862</c:v>
                </c:pt>
                <c:pt idx="206">
                  <c:v>43891</c:v>
                </c:pt>
                <c:pt idx="207">
                  <c:v>43922</c:v>
                </c:pt>
                <c:pt idx="208">
                  <c:v>43952</c:v>
                </c:pt>
                <c:pt idx="209">
                  <c:v>43983</c:v>
                </c:pt>
                <c:pt idx="210">
                  <c:v>44013</c:v>
                </c:pt>
                <c:pt idx="211">
                  <c:v>44044</c:v>
                </c:pt>
                <c:pt idx="212">
                  <c:v>44075</c:v>
                </c:pt>
                <c:pt idx="213">
                  <c:v>44105</c:v>
                </c:pt>
                <c:pt idx="214">
                  <c:v>44136</c:v>
                </c:pt>
                <c:pt idx="215">
                  <c:v>44166</c:v>
                </c:pt>
                <c:pt idx="216">
                  <c:v>44197</c:v>
                </c:pt>
                <c:pt idx="217">
                  <c:v>44228</c:v>
                </c:pt>
                <c:pt idx="218">
                  <c:v>44256</c:v>
                </c:pt>
                <c:pt idx="219">
                  <c:v>44287</c:v>
                </c:pt>
                <c:pt idx="220">
                  <c:v>44317</c:v>
                </c:pt>
                <c:pt idx="221">
                  <c:v>44348</c:v>
                </c:pt>
                <c:pt idx="222">
                  <c:v>44378</c:v>
                </c:pt>
                <c:pt idx="223">
                  <c:v>44409</c:v>
                </c:pt>
                <c:pt idx="224">
                  <c:v>44440</c:v>
                </c:pt>
                <c:pt idx="225">
                  <c:v>44470</c:v>
                </c:pt>
                <c:pt idx="226">
                  <c:v>44501</c:v>
                </c:pt>
                <c:pt idx="227">
                  <c:v>44531</c:v>
                </c:pt>
                <c:pt idx="228">
                  <c:v>44562</c:v>
                </c:pt>
                <c:pt idx="229">
                  <c:v>44593</c:v>
                </c:pt>
              </c:numCache>
            </c:numRef>
          </c:cat>
          <c:val>
            <c:numRef>
              <c:f>TSOPER!$J$10:$J$249</c:f>
              <c:numCache>
                <c:formatCode>0.0%</c:formatCode>
                <c:ptCount val="240"/>
                <c:pt idx="0">
                  <c:v>#N/A</c:v>
                </c:pt>
                <c:pt idx="1">
                  <c:v>#N/A</c:v>
                </c:pt>
                <c:pt idx="2">
                  <c:v>#N/A</c:v>
                </c:pt>
                <c:pt idx="3">
                  <c:v>4.6789447486310642E-3</c:v>
                </c:pt>
                <c:pt idx="4">
                  <c:v>-2.0205983325159438E-2</c:v>
                </c:pt>
                <c:pt idx="5">
                  <c:v>-1.7151818092717819E-2</c:v>
                </c:pt>
                <c:pt idx="6">
                  <c:v>-1.8331351565596621E-2</c:v>
                </c:pt>
                <c:pt idx="7">
                  <c:v>-1.6017619381318848E-3</c:v>
                </c:pt>
                <c:pt idx="8">
                  <c:v>1.4260071798962937E-2</c:v>
                </c:pt>
                <c:pt idx="9">
                  <c:v>2.836378318360766E-2</c:v>
                </c:pt>
                <c:pt idx="10">
                  <c:v>2.2460643738092756E-2</c:v>
                </c:pt>
                <c:pt idx="11">
                  <c:v>-1.2781437420115171E-3</c:v>
                </c:pt>
                <c:pt idx="12">
                  <c:v>1.6588142913231296E-2</c:v>
                </c:pt>
                <c:pt idx="13">
                  <c:v>2.4713150926743088E-2</c:v>
                </c:pt>
                <c:pt idx="14">
                  <c:v>4.3315613309706791E-2</c:v>
                </c:pt>
                <c:pt idx="15">
                  <c:v>2.7421067876798322E-2</c:v>
                </c:pt>
                <c:pt idx="16">
                  <c:v>1.8662072925638817E-2</c:v>
                </c:pt>
                <c:pt idx="17">
                  <c:v>1.1700320815248189E-2</c:v>
                </c:pt>
                <c:pt idx="18">
                  <c:v>1.3250634338877854E-2</c:v>
                </c:pt>
                <c:pt idx="19">
                  <c:v>1.6441187523487333E-2</c:v>
                </c:pt>
                <c:pt idx="20">
                  <c:v>2.0891624696884881E-2</c:v>
                </c:pt>
                <c:pt idx="21">
                  <c:v>8.4399925802263187E-3</c:v>
                </c:pt>
                <c:pt idx="22">
                  <c:v>1.3217487753027113E-2</c:v>
                </c:pt>
                <c:pt idx="23">
                  <c:v>-6.1209574273706213E-3</c:v>
                </c:pt>
                <c:pt idx="24">
                  <c:v>8.1854134093626296E-3</c:v>
                </c:pt>
                <c:pt idx="25">
                  <c:v>4.7436599160737281E-3</c:v>
                </c:pt>
                <c:pt idx="26">
                  <c:v>1.5074914973802755E-2</c:v>
                </c:pt>
                <c:pt idx="27">
                  <c:v>1.2132822477650018E-2</c:v>
                </c:pt>
                <c:pt idx="28">
                  <c:v>7.717450517523039E-3</c:v>
                </c:pt>
                <c:pt idx="29">
                  <c:v>1.8111020556006441E-3</c:v>
                </c:pt>
                <c:pt idx="30">
                  <c:v>-2.8841820639928795E-3</c:v>
                </c:pt>
                <c:pt idx="31">
                  <c:v>2.7029462113705716E-3</c:v>
                </c:pt>
                <c:pt idx="32">
                  <c:v>2.0790020790020236E-3</c:v>
                </c:pt>
                <c:pt idx="33">
                  <c:v>3.7964385790472122E-3</c:v>
                </c:pt>
                <c:pt idx="34">
                  <c:v>4.6724773115283114E-3</c:v>
                </c:pt>
                <c:pt idx="35">
                  <c:v>1.3169763665884737E-2</c:v>
                </c:pt>
                <c:pt idx="36">
                  <c:v>2.0981539846915753E-2</c:v>
                </c:pt>
                <c:pt idx="37">
                  <c:v>1.6098738932116996E-2</c:v>
                </c:pt>
                <c:pt idx="38">
                  <c:v>1.0950854700854773E-2</c:v>
                </c:pt>
                <c:pt idx="39">
                  <c:v>7.4969130358089053E-3</c:v>
                </c:pt>
                <c:pt idx="40">
                  <c:v>1.8044186251210181E-2</c:v>
                </c:pt>
                <c:pt idx="41">
                  <c:v>1.0303830911492673E-2</c:v>
                </c:pt>
                <c:pt idx="42">
                  <c:v>2.3724065481922407E-2</c:v>
                </c:pt>
                <c:pt idx="43">
                  <c:v>8.3001902126924598E-3</c:v>
                </c:pt>
                <c:pt idx="44">
                  <c:v>1.830543933054396E-2</c:v>
                </c:pt>
                <c:pt idx="45">
                  <c:v>9.6630750812380928E-3</c:v>
                </c:pt>
                <c:pt idx="46">
                  <c:v>1.9293431658377713E-2</c:v>
                </c:pt>
                <c:pt idx="47">
                  <c:v>2.6108543057695721E-2</c:v>
                </c:pt>
                <c:pt idx="48">
                  <c:v>1.3466587617515069E-2</c:v>
                </c:pt>
                <c:pt idx="49">
                  <c:v>1.0936316984941463E-2</c:v>
                </c:pt>
                <c:pt idx="50">
                  <c:v>-3.9209143238507771E-3</c:v>
                </c:pt>
                <c:pt idx="51">
                  <c:v>1.2702657529667372E-2</c:v>
                </c:pt>
                <c:pt idx="52">
                  <c:v>1.8390613297827985E-2</c:v>
                </c:pt>
                <c:pt idx="53">
                  <c:v>3.3584589614740201E-2</c:v>
                </c:pt>
                <c:pt idx="54">
                  <c:v>2.5169169830004945E-2</c:v>
                </c:pt>
                <c:pt idx="55">
                  <c:v>1.6015688838045605E-2</c:v>
                </c:pt>
                <c:pt idx="56">
                  <c:v>1.5719957864030354E-2</c:v>
                </c:pt>
                <c:pt idx="57">
                  <c:v>1.6823633582870423E-2</c:v>
                </c:pt>
                <c:pt idx="58">
                  <c:v>1.4717709506192778E-2</c:v>
                </c:pt>
                <c:pt idx="59">
                  <c:v>1.2844036697247763E-2</c:v>
                </c:pt>
                <c:pt idx="60">
                  <c:v>7.1247625079164933E-3</c:v>
                </c:pt>
                <c:pt idx="61">
                  <c:v>5.2310374891020306E-3</c:v>
                </c:pt>
                <c:pt idx="62">
                  <c:v>-4.095778197857558E-3</c:v>
                </c:pt>
                <c:pt idx="63">
                  <c:v>3.7729916679767328E-3</c:v>
                </c:pt>
                <c:pt idx="64">
                  <c:v>2.0263344634550151E-2</c:v>
                </c:pt>
                <c:pt idx="65">
                  <c:v>3.7567225561531137E-2</c:v>
                </c:pt>
                <c:pt idx="66">
                  <c:v>2.5293657008613968E-2</c:v>
                </c:pt>
                <c:pt idx="67">
                  <c:v>1.2287480680061913E-2</c:v>
                </c:pt>
                <c:pt idx="68">
                  <c:v>-1.9818583733515194E-3</c:v>
                </c:pt>
                <c:pt idx="69">
                  <c:v>-2.0927213014587998E-2</c:v>
                </c:pt>
                <c:pt idx="70">
                  <c:v>-4.6110390106115062E-2</c:v>
                </c:pt>
                <c:pt idx="71">
                  <c:v>-7.6376689834262601E-2</c:v>
                </c:pt>
                <c:pt idx="72">
                  <c:v>-5.7492784148529541E-2</c:v>
                </c:pt>
                <c:pt idx="73">
                  <c:v>-2.2088835534213702E-2</c:v>
                </c:pt>
                <c:pt idx="74">
                  <c:v>1.6869263210121499E-2</c:v>
                </c:pt>
                <c:pt idx="75">
                  <c:v>2.3340506538652495E-2</c:v>
                </c:pt>
                <c:pt idx="76">
                  <c:v>2.1933055078157127E-2</c:v>
                </c:pt>
                <c:pt idx="77">
                  <c:v>2.4070911604456402E-2</c:v>
                </c:pt>
                <c:pt idx="78">
                  <c:v>2.1433193141378259E-2</c:v>
                </c:pt>
                <c:pt idx="79">
                  <c:v>2.5786818291022584E-2</c:v>
                </c:pt>
                <c:pt idx="80">
                  <c:v>2.5331533391566685E-2</c:v>
                </c:pt>
                <c:pt idx="81">
                  <c:v>2.7713991606619581E-2</c:v>
                </c:pt>
                <c:pt idx="82">
                  <c:v>1.506753064251698E-2</c:v>
                </c:pt>
                <c:pt idx="83">
                  <c:v>1.6883519206939424E-2</c:v>
                </c:pt>
                <c:pt idx="84">
                  <c:v>2.8353494105863408E-2</c:v>
                </c:pt>
                <c:pt idx="85">
                  <c:v>3.960929087832632E-2</c:v>
                </c:pt>
                <c:pt idx="86">
                  <c:v>4.0289413556740206E-2</c:v>
                </c:pt>
                <c:pt idx="87">
                  <c:v>2.682250693039645E-2</c:v>
                </c:pt>
                <c:pt idx="88">
                  <c:v>9.7654805060296557E-3</c:v>
                </c:pt>
                <c:pt idx="89">
                  <c:v>-2.6356248627279477E-3</c:v>
                </c:pt>
                <c:pt idx="90">
                  <c:v>-8.7559284932514636E-4</c:v>
                </c:pt>
                <c:pt idx="91">
                  <c:v>8.6453220016116106E-3</c:v>
                </c:pt>
                <c:pt idx="92">
                  <c:v>2.334287601849816E-2</c:v>
                </c:pt>
                <c:pt idx="93">
                  <c:v>1.3072372745198235E-2</c:v>
                </c:pt>
                <c:pt idx="94">
                  <c:v>1.7578266870051706E-2</c:v>
                </c:pt>
                <c:pt idx="95">
                  <c:v>-8.0338569686536632E-3</c:v>
                </c:pt>
                <c:pt idx="96">
                  <c:v>1.0236447520184377E-2</c:v>
                </c:pt>
                <c:pt idx="97">
                  <c:v>4.4971090013561366E-3</c:v>
                </c:pt>
                <c:pt idx="98">
                  <c:v>2.0319618193651134E-2</c:v>
                </c:pt>
                <c:pt idx="99">
                  <c:v>4.9950049950051589E-3</c:v>
                </c:pt>
                <c:pt idx="100">
                  <c:v>3.9084707220011783E-3</c:v>
                </c:pt>
                <c:pt idx="101">
                  <c:v>7.9376328844791288E-3</c:v>
                </c:pt>
                <c:pt idx="102">
                  <c:v>1.0011360408974657E-2</c:v>
                </c:pt>
                <c:pt idx="103">
                  <c:v>4.8842641749839988E-3</c:v>
                </c:pt>
                <c:pt idx="104">
                  <c:v>-3.023484741949134E-3</c:v>
                </c:pt>
                <c:pt idx="105">
                  <c:v>-4.71001757469236E-3</c:v>
                </c:pt>
                <c:pt idx="106">
                  <c:v>2.0428289659057963E-3</c:v>
                </c:pt>
                <c:pt idx="107">
                  <c:v>-9.4505959517596771E-3</c:v>
                </c:pt>
                <c:pt idx="108">
                  <c:v>-1.9141121627348601E-2</c:v>
                </c:pt>
                <c:pt idx="109">
                  <c:v>-1.237258347978909E-2</c:v>
                </c:pt>
                <c:pt idx="110">
                  <c:v>-2.776788892844384E-3</c:v>
                </c:pt>
                <c:pt idx="111">
                  <c:v>1.5626125153020753E-2</c:v>
                </c:pt>
                <c:pt idx="112">
                  <c:v>1.5517118656132034E-2</c:v>
                </c:pt>
                <c:pt idx="113">
                  <c:v>2.4989290304155309E-2</c:v>
                </c:pt>
                <c:pt idx="114">
                  <c:v>2.1199659671015336E-2</c:v>
                </c:pt>
                <c:pt idx="115">
                  <c:v>1.1775425807808215E-2</c:v>
                </c:pt>
                <c:pt idx="116">
                  <c:v>1.044859292282041E-3</c:v>
                </c:pt>
                <c:pt idx="117">
                  <c:v>5.7626883288204311E-3</c:v>
                </c:pt>
                <c:pt idx="118">
                  <c:v>1.5933494977486973E-3</c:v>
                </c:pt>
                <c:pt idx="119">
                  <c:v>3.1313061025675104E-3</c:v>
                </c:pt>
                <c:pt idx="120">
                  <c:v>8.9741819687971791E-4</c:v>
                </c:pt>
                <c:pt idx="121">
                  <c:v>-5.6024346382625989E-3</c:v>
                </c:pt>
                <c:pt idx="122">
                  <c:v>5.4800221975581653E-3</c:v>
                </c:pt>
                <c:pt idx="123">
                  <c:v>8.6212842264983269E-3</c:v>
                </c:pt>
                <c:pt idx="124">
                  <c:v>2.1283995270223288E-2</c:v>
                </c:pt>
                <c:pt idx="125">
                  <c:v>9.6585029320455096E-3</c:v>
                </c:pt>
                <c:pt idx="126">
                  <c:v>6.4961706783368545E-3</c:v>
                </c:pt>
                <c:pt idx="127">
                  <c:v>1.9069672410270133E-3</c:v>
                </c:pt>
                <c:pt idx="128">
                  <c:v>1.2230953194396932E-2</c:v>
                </c:pt>
                <c:pt idx="129">
                  <c:v>5.4351518445547864E-3</c:v>
                </c:pt>
                <c:pt idx="130">
                  <c:v>8.3610903405613168E-3</c:v>
                </c:pt>
                <c:pt idx="131">
                  <c:v>3.1726744970974607E-3</c:v>
                </c:pt>
                <c:pt idx="132">
                  <c:v>1.8920197310630105E-3</c:v>
                </c:pt>
                <c:pt idx="133">
                  <c:v>-3.3032223270864636E-3</c:v>
                </c:pt>
                <c:pt idx="134">
                  <c:v>-4.8448960366060945E-3</c:v>
                </c:pt>
                <c:pt idx="135">
                  <c:v>-9.3747892358536644E-3</c:v>
                </c:pt>
                <c:pt idx="136">
                  <c:v>-1.0483598241460834E-2</c:v>
                </c:pt>
                <c:pt idx="137">
                  <c:v>-2.8940428697004306E-2</c:v>
                </c:pt>
                <c:pt idx="138">
                  <c:v>-1.4093137254901911E-2</c:v>
                </c:pt>
                <c:pt idx="139">
                  <c:v>-4.9213943950785488E-3</c:v>
                </c:pt>
                <c:pt idx="140">
                  <c:v>1.8313487918668603E-2</c:v>
                </c:pt>
                <c:pt idx="141">
                  <c:v>4.2124162695944545E-3</c:v>
                </c:pt>
                <c:pt idx="142">
                  <c:v>-1.373815084489971E-4</c:v>
                </c:pt>
                <c:pt idx="143">
                  <c:v>-2.0514223194745274E-4</c:v>
                </c:pt>
                <c:pt idx="144">
                  <c:v>-3.1632512721769812E-3</c:v>
                </c:pt>
                <c:pt idx="145">
                  <c:v>-1.0854630392965192E-2</c:v>
                </c:pt>
                <c:pt idx="146">
                  <c:v>-1.6961904110526116E-2</c:v>
                </c:pt>
                <c:pt idx="147">
                  <c:v>-1.7798013245033162E-2</c:v>
                </c:pt>
                <c:pt idx="148">
                  <c:v>-2.0141686345325538E-2</c:v>
                </c:pt>
                <c:pt idx="149">
                  <c:v>-2.8873582411465759E-2</c:v>
                </c:pt>
                <c:pt idx="150">
                  <c:v>-2.6057030481809296E-2</c:v>
                </c:pt>
                <c:pt idx="151">
                  <c:v>-1.5239580379926343E-2</c:v>
                </c:pt>
                <c:pt idx="152">
                  <c:v>-1.4400343888809397E-2</c:v>
                </c:pt>
                <c:pt idx="153">
                  <c:v>-1.1538184178264688E-3</c:v>
                </c:pt>
                <c:pt idx="154">
                  <c:v>-1.6195206218959202E-2</c:v>
                </c:pt>
                <c:pt idx="155">
                  <c:v>-9.1589736134330968E-3</c:v>
                </c:pt>
                <c:pt idx="156">
                  <c:v>-2.1586889033282652E-2</c:v>
                </c:pt>
                <c:pt idx="157">
                  <c:v>-8.5601404741002529E-3</c:v>
                </c:pt>
                <c:pt idx="158">
                  <c:v>-1.2471572151712906E-2</c:v>
                </c:pt>
                <c:pt idx="159">
                  <c:v>-5.8293978748525932E-3</c:v>
                </c:pt>
                <c:pt idx="160">
                  <c:v>-9.0030256069663084E-3</c:v>
                </c:pt>
                <c:pt idx="161">
                  <c:v>1.7086397741623571E-3</c:v>
                </c:pt>
                <c:pt idx="162">
                  <c:v>-8.9067022934741225E-4</c:v>
                </c:pt>
                <c:pt idx="163">
                  <c:v>-2.159505547695173E-3</c:v>
                </c:pt>
                <c:pt idx="164">
                  <c:v>-8.083654701868892E-3</c:v>
                </c:pt>
                <c:pt idx="165">
                  <c:v>-9.7318178441423431E-3</c:v>
                </c:pt>
                <c:pt idx="166">
                  <c:v>-7.3134328358208656E-3</c:v>
                </c:pt>
                <c:pt idx="167">
                  <c:v>-1.0392523364485928E-2</c:v>
                </c:pt>
                <c:pt idx="168">
                  <c:v>5.251312828207233E-4</c:v>
                </c:pt>
                <c:pt idx="169">
                  <c:v>1.7892046308825682E-2</c:v>
                </c:pt>
                <c:pt idx="170">
                  <c:v>2.4856452100332271E-2</c:v>
                </c:pt>
                <c:pt idx="171">
                  <c:v>1.7995051360875758E-2</c:v>
                </c:pt>
                <c:pt idx="172">
                  <c:v>-1.6986706056131284E-3</c:v>
                </c:pt>
                <c:pt idx="173">
                  <c:v>2.8750460744562112E-3</c:v>
                </c:pt>
                <c:pt idx="174">
                  <c:v>5.3030861014951025E-3</c:v>
                </c:pt>
                <c:pt idx="175">
                  <c:v>4.7347784271658533E-3</c:v>
                </c:pt>
                <c:pt idx="176">
                  <c:v>-4.0429285504262058E-3</c:v>
                </c:pt>
                <c:pt idx="177">
                  <c:v>-5.2751117297969996E-3</c:v>
                </c:pt>
                <c:pt idx="178">
                  <c:v>-1.7671747294014661E-3</c:v>
                </c:pt>
                <c:pt idx="179">
                  <c:v>1.4318399881910082E-2</c:v>
                </c:pt>
                <c:pt idx="180">
                  <c:v>7.9546291522425427E-3</c:v>
                </c:pt>
                <c:pt idx="181">
                  <c:v>7.8926016080254069E-3</c:v>
                </c:pt>
                <c:pt idx="182">
                  <c:v>-1.2369933784472931E-3</c:v>
                </c:pt>
                <c:pt idx="183">
                  <c:v>1.1033978808915101E-2</c:v>
                </c:pt>
                <c:pt idx="184">
                  <c:v>-2.3785128805620559E-2</c:v>
                </c:pt>
                <c:pt idx="185">
                  <c:v>1.311379863033757E-3</c:v>
                </c:pt>
                <c:pt idx="186">
                  <c:v>-2.3128071697023911E-3</c:v>
                </c:pt>
                <c:pt idx="187">
                  <c:v>4.4456106154884267E-2</c:v>
                </c:pt>
                <c:pt idx="188">
                  <c:v>4.0017462165309325E-3</c:v>
                </c:pt>
                <c:pt idx="189">
                  <c:v>1.4488554042313417E-4</c:v>
                </c:pt>
                <c:pt idx="190">
                  <c:v>-1.0479471719781697E-2</c:v>
                </c:pt>
                <c:pt idx="191">
                  <c:v>3.9133270526849895E-3</c:v>
                </c:pt>
                <c:pt idx="192">
                  <c:v>3.042155584528361E-3</c:v>
                </c:pt>
                <c:pt idx="193">
                  <c:v>-3.481793123458754E-3</c:v>
                </c:pt>
                <c:pt idx="194">
                  <c:v>-7.9405182992864365E-4</c:v>
                </c:pt>
                <c:pt idx="195">
                  <c:v>-2.8162911611784303E-3</c:v>
                </c:pt>
                <c:pt idx="196">
                  <c:v>1.1500946280390334E-2</c:v>
                </c:pt>
                <c:pt idx="197">
                  <c:v>4.1179020372779096E-3</c:v>
                </c:pt>
                <c:pt idx="198">
                  <c:v>3.4035773770728639E-3</c:v>
                </c:pt>
                <c:pt idx="199">
                  <c:v>-2.6626367299942277E-3</c:v>
                </c:pt>
                <c:pt idx="200">
                  <c:v>7.1947622131074418E-4</c:v>
                </c:pt>
                <c:pt idx="201">
                  <c:v>1.0103926096997728E-2</c:v>
                </c:pt>
                <c:pt idx="202">
                  <c:v>1.4431055631718426E-3</c:v>
                </c:pt>
                <c:pt idx="203">
                  <c:v>-7.1895894744410382E-3</c:v>
                </c:pt>
                <c:pt idx="204">
                  <c:v>-8.073735352957967E-3</c:v>
                </c:pt>
                <c:pt idx="205">
                  <c:v>4.1069241299807047E-3</c:v>
                </c:pt>
                <c:pt idx="206">
                  <c:v>-4.316025780288224E-2</c:v>
                </c:pt>
                <c:pt idx="207">
                  <c:v>-0.14298062378448462</c:v>
                </c:pt>
                <c:pt idx="208">
                  <c:v>-0.12837256027554544</c:v>
                </c:pt>
                <c:pt idx="209">
                  <c:v>-3.4133050783319407E-2</c:v>
                </c:pt>
                <c:pt idx="210">
                  <c:v>0.10741301059001507</c:v>
                </c:pt>
                <c:pt idx="211">
                  <c:v>0.10726928459701979</c:v>
                </c:pt>
                <c:pt idx="212">
                  <c:v>6.9111424541607791E-2</c:v>
                </c:pt>
                <c:pt idx="213">
                  <c:v>5.0091074681238856E-2</c:v>
                </c:pt>
                <c:pt idx="214">
                  <c:v>2.5278810408921881E-2</c:v>
                </c:pt>
                <c:pt idx="215">
                  <c:v>1.2826150688947546E-2</c:v>
                </c:pt>
                <c:pt idx="216">
                  <c:v>4.6978895634575135E-3</c:v>
                </c:pt>
                <c:pt idx="217">
                  <c:v>2.3205221174764201E-2</c:v>
                </c:pt>
                <c:pt idx="218">
                  <c:v>4.7760329980461869E-3</c:v>
                </c:pt>
                <c:pt idx="219">
                  <c:v>1.5826199553989895E-3</c:v>
                </c:pt>
                <c:pt idx="220">
                  <c:v>-1.2898653437278473E-2</c:v>
                </c:pt>
                <c:pt idx="221">
                  <c:v>4.8973712639539535E-3</c:v>
                </c:pt>
                <c:pt idx="222">
                  <c:v>9.3370681605997596E-4</c:v>
                </c:pt>
                <c:pt idx="223">
                  <c:v>1.5795519816197423E-3</c:v>
                </c:pt>
                <c:pt idx="224">
                  <c:v>-5.9485415322870772E-3</c:v>
                </c:pt>
                <c:pt idx="225">
                  <c:v>-4.2336394948335743E-3</c:v>
                </c:pt>
                <c:pt idx="226">
                  <c:v>-7.1684587813614087E-4</c:v>
                </c:pt>
                <c:pt idx="227">
                  <c:v>8.2912761355444786E-3</c:v>
                </c:pt>
                <c:pt idx="228">
                  <c:v>4.3237010881314042E-4</c:v>
                </c:pt>
                <c:pt idx="229">
                  <c:v>-7.1736011477763206E-4</c:v>
                </c:pt>
              </c:numCache>
            </c:numRef>
          </c:val>
          <c:smooth val="0"/>
          <c:extLst>
            <c:ext xmlns:c16="http://schemas.microsoft.com/office/drawing/2014/chart" uri="{C3380CC4-5D6E-409C-BE32-E72D297353CC}">
              <c16:uniqueId val="{00000000-EA99-4096-AC1D-255E686524FF}"/>
            </c:ext>
          </c:extLst>
        </c:ser>
        <c:dLbls>
          <c:showLegendKey val="0"/>
          <c:showVal val="0"/>
          <c:showCatName val="0"/>
          <c:showSerName val="0"/>
          <c:showPercent val="0"/>
          <c:showBubbleSize val="0"/>
        </c:dLbls>
        <c:smooth val="0"/>
        <c:axId val="2040515792"/>
        <c:axId val="2040519952"/>
      </c:lineChart>
      <c:dateAx>
        <c:axId val="2040515792"/>
        <c:scaling>
          <c:orientation val="minMax"/>
        </c:scaling>
        <c:delete val="0"/>
        <c:axPos val="b"/>
        <c:numFmt formatCode="[$-416]mmm\-yy;@"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0519952"/>
        <c:crosses val="autoZero"/>
        <c:auto val="1"/>
        <c:lblOffset val="100"/>
        <c:baseTimeUnit val="months"/>
      </c:dateAx>
      <c:valAx>
        <c:axId val="204051995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05157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8740157499999996" l="0.511811024" r="0.511811024" t="0.78740157499999996" header="0.31496062000000002" footer="0.3149606200000000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4" Type="http://schemas.openxmlformats.org/officeDocument/2006/relationships/chart" Target="../charts/chart9.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7.xml"/></Relationships>
</file>

<file path=xl/drawings/drawing1.xml><?xml version="1.0" encoding="utf-8"?>
<xdr:wsDr xmlns:xdr="http://schemas.openxmlformats.org/drawingml/2006/spreadsheetDrawing" xmlns:a="http://schemas.openxmlformats.org/drawingml/2006/main">
  <xdr:twoCellAnchor>
    <xdr:from>
      <xdr:col>24</xdr:col>
      <xdr:colOff>28575</xdr:colOff>
      <xdr:row>10</xdr:row>
      <xdr:rowOff>114300</xdr:rowOff>
    </xdr:from>
    <xdr:to>
      <xdr:col>29</xdr:col>
      <xdr:colOff>295275</xdr:colOff>
      <xdr:row>20</xdr:row>
      <xdr:rowOff>57150</xdr:rowOff>
    </xdr:to>
    <xdr:graphicFrame macro="">
      <xdr:nvGraphicFramePr>
        <xdr:cNvPr id="2" name="Gráfico 1">
          <a:extLst>
            <a:ext uri="{FF2B5EF4-FFF2-40B4-BE49-F238E27FC236}">
              <a16:creationId xmlns:a16="http://schemas.microsoft.com/office/drawing/2014/main" id="{EE73AF66-4E40-4439-A56C-FE949935AE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24</xdr:col>
      <xdr:colOff>28575</xdr:colOff>
      <xdr:row>20</xdr:row>
      <xdr:rowOff>171449</xdr:rowOff>
    </xdr:from>
    <xdr:to>
      <xdr:col>29</xdr:col>
      <xdr:colOff>295275</xdr:colOff>
      <xdr:row>29</xdr:row>
      <xdr:rowOff>38099</xdr:rowOff>
    </xdr:to>
    <xdr:graphicFrame macro="">
      <xdr:nvGraphicFramePr>
        <xdr:cNvPr id="3" name="Gráfico 2">
          <a:extLst>
            <a:ext uri="{FF2B5EF4-FFF2-40B4-BE49-F238E27FC236}">
              <a16:creationId xmlns:a16="http://schemas.microsoft.com/office/drawing/2014/main" id="{2D24D7EE-FBD9-4753-A471-FA4E578337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18</xdr:col>
      <xdr:colOff>152399</xdr:colOff>
      <xdr:row>4</xdr:row>
      <xdr:rowOff>142876</xdr:rowOff>
    </xdr:from>
    <xdr:to>
      <xdr:col>26</xdr:col>
      <xdr:colOff>19050</xdr:colOff>
      <xdr:row>11</xdr:row>
      <xdr:rowOff>180976</xdr:rowOff>
    </xdr:to>
    <xdr:graphicFrame macro="">
      <xdr:nvGraphicFramePr>
        <xdr:cNvPr id="4" name="Chart 3">
          <a:extLst>
            <a:ext uri="{FF2B5EF4-FFF2-40B4-BE49-F238E27FC236}">
              <a16:creationId xmlns:a16="http://schemas.microsoft.com/office/drawing/2014/main" id="{BDC7EB88-9778-470E-BCE9-B8EE9E975B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20</xdr:col>
      <xdr:colOff>457200</xdr:colOff>
      <xdr:row>18</xdr:row>
      <xdr:rowOff>200025</xdr:rowOff>
    </xdr:from>
    <xdr:to>
      <xdr:col>25</xdr:col>
      <xdr:colOff>19050</xdr:colOff>
      <xdr:row>28</xdr:row>
      <xdr:rowOff>66675</xdr:rowOff>
    </xdr:to>
    <xdr:graphicFrame macro="">
      <xdr:nvGraphicFramePr>
        <xdr:cNvPr id="2" name="Gráfico 1">
          <a:extLst>
            <a:ext uri="{FF2B5EF4-FFF2-40B4-BE49-F238E27FC236}">
              <a16:creationId xmlns:a16="http://schemas.microsoft.com/office/drawing/2014/main" id="{C1D0859E-2EF1-4A65-8B47-D1CB48AE20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25</xdr:col>
      <xdr:colOff>133350</xdr:colOff>
      <xdr:row>18</xdr:row>
      <xdr:rowOff>180974</xdr:rowOff>
    </xdr:from>
    <xdr:to>
      <xdr:col>31</xdr:col>
      <xdr:colOff>161925</xdr:colOff>
      <xdr:row>27</xdr:row>
      <xdr:rowOff>47624</xdr:rowOff>
    </xdr:to>
    <xdr:graphicFrame macro="">
      <xdr:nvGraphicFramePr>
        <xdr:cNvPr id="3" name="Gráfico 2">
          <a:extLst>
            <a:ext uri="{FF2B5EF4-FFF2-40B4-BE49-F238E27FC236}">
              <a16:creationId xmlns:a16="http://schemas.microsoft.com/office/drawing/2014/main" id="{0DC2C4A2-00CE-4CC6-8E08-95C698058A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20</xdr:col>
      <xdr:colOff>152400</xdr:colOff>
      <xdr:row>20</xdr:row>
      <xdr:rowOff>200026</xdr:rowOff>
    </xdr:from>
    <xdr:to>
      <xdr:col>26</xdr:col>
      <xdr:colOff>28575</xdr:colOff>
      <xdr:row>29</xdr:row>
      <xdr:rowOff>57151</xdr:rowOff>
    </xdr:to>
    <xdr:graphicFrame macro="">
      <xdr:nvGraphicFramePr>
        <xdr:cNvPr id="2" name="Gráfico 1">
          <a:extLst>
            <a:ext uri="{FF2B5EF4-FFF2-40B4-BE49-F238E27FC236}">
              <a16:creationId xmlns:a16="http://schemas.microsoft.com/office/drawing/2014/main" id="{164E9EBD-238E-47FC-BFC3-B912115557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26</xdr:col>
      <xdr:colOff>133350</xdr:colOff>
      <xdr:row>20</xdr:row>
      <xdr:rowOff>180974</xdr:rowOff>
    </xdr:from>
    <xdr:to>
      <xdr:col>32</xdr:col>
      <xdr:colOff>161925</xdr:colOff>
      <xdr:row>29</xdr:row>
      <xdr:rowOff>47624</xdr:rowOff>
    </xdr:to>
    <xdr:graphicFrame macro="">
      <xdr:nvGraphicFramePr>
        <xdr:cNvPr id="3" name="Gráfico 2">
          <a:extLst>
            <a:ext uri="{FF2B5EF4-FFF2-40B4-BE49-F238E27FC236}">
              <a16:creationId xmlns:a16="http://schemas.microsoft.com/office/drawing/2014/main" id="{199B36DB-E4D1-4011-BF67-877AA093AA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152400</xdr:colOff>
      <xdr:row>29</xdr:row>
      <xdr:rowOff>161927</xdr:rowOff>
    </xdr:from>
    <xdr:to>
      <xdr:col>26</xdr:col>
      <xdr:colOff>28575</xdr:colOff>
      <xdr:row>38</xdr:row>
      <xdr:rowOff>19052</xdr:rowOff>
    </xdr:to>
    <xdr:graphicFrame macro="">
      <xdr:nvGraphicFramePr>
        <xdr:cNvPr id="6" name="Gráfico 1">
          <a:extLst>
            <a:ext uri="{FF2B5EF4-FFF2-40B4-BE49-F238E27FC236}">
              <a16:creationId xmlns:a16="http://schemas.microsoft.com/office/drawing/2014/main" id="{167DE328-71E8-46C0-908A-A0E6632074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26</xdr:col>
      <xdr:colOff>133350</xdr:colOff>
      <xdr:row>29</xdr:row>
      <xdr:rowOff>142875</xdr:rowOff>
    </xdr:from>
    <xdr:to>
      <xdr:col>32</xdr:col>
      <xdr:colOff>161925</xdr:colOff>
      <xdr:row>38</xdr:row>
      <xdr:rowOff>9525</xdr:rowOff>
    </xdr:to>
    <xdr:graphicFrame macro="">
      <xdr:nvGraphicFramePr>
        <xdr:cNvPr id="7" name="Gráfico 2">
          <a:extLst>
            <a:ext uri="{FF2B5EF4-FFF2-40B4-BE49-F238E27FC236}">
              <a16:creationId xmlns:a16="http://schemas.microsoft.com/office/drawing/2014/main" id="{3A3C3D4A-E80F-4DF6-A867-80FBE388D1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12</xdr:col>
      <xdr:colOff>409575</xdr:colOff>
      <xdr:row>16</xdr:row>
      <xdr:rowOff>190500</xdr:rowOff>
    </xdr:from>
    <xdr:to>
      <xdr:col>23</xdr:col>
      <xdr:colOff>19050</xdr:colOff>
      <xdr:row>27</xdr:row>
      <xdr:rowOff>204787</xdr:rowOff>
    </xdr:to>
    <xdr:graphicFrame macro="">
      <xdr:nvGraphicFramePr>
        <xdr:cNvPr id="3" name="Gráfico 2">
          <a:extLst>
            <a:ext uri="{FF2B5EF4-FFF2-40B4-BE49-F238E27FC236}">
              <a16:creationId xmlns:a16="http://schemas.microsoft.com/office/drawing/2014/main" id="{72699B8C-4EFD-441C-8AFB-4D70F6DDFF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647700</xdr:colOff>
      <xdr:row>18</xdr:row>
      <xdr:rowOff>144780</xdr:rowOff>
    </xdr:from>
    <xdr:to>
      <xdr:col>9</xdr:col>
      <xdr:colOff>250426</xdr:colOff>
      <xdr:row>34</xdr:row>
      <xdr:rowOff>187341</xdr:rowOff>
    </xdr:to>
    <xdr:pic>
      <xdr:nvPicPr>
        <xdr:cNvPr id="3" name="Imagem 2">
          <a:extLst>
            <a:ext uri="{FF2B5EF4-FFF2-40B4-BE49-F238E27FC236}">
              <a16:creationId xmlns:a16="http://schemas.microsoft.com/office/drawing/2014/main" id="{F53F2AF0-B454-4A19-A077-F6564F54026E}"/>
            </a:ext>
          </a:extLst>
        </xdr:cNvPr>
        <xdr:cNvPicPr>
          <a:picLocks noChangeAspect="1"/>
        </xdr:cNvPicPr>
      </xdr:nvPicPr>
      <xdr:blipFill>
        <a:blip xmlns:r="http://schemas.openxmlformats.org/officeDocument/2006/relationships" r:embed="rId1"/>
        <a:stretch>
          <a:fillRect/>
        </a:stretch>
      </xdr:blipFill>
      <xdr:spPr>
        <a:xfrm>
          <a:off x="647700" y="4564380"/>
          <a:ext cx="5576806" cy="3707781"/>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21</xdr:col>
      <xdr:colOff>561975</xdr:colOff>
      <xdr:row>5</xdr:row>
      <xdr:rowOff>180975</xdr:rowOff>
    </xdr:from>
    <xdr:to>
      <xdr:col>27</xdr:col>
      <xdr:colOff>352425</xdr:colOff>
      <xdr:row>18</xdr:row>
      <xdr:rowOff>66672</xdr:rowOff>
    </xdr:to>
    <xdr:graphicFrame macro="">
      <xdr:nvGraphicFramePr>
        <xdr:cNvPr id="2" name="Gráfico 1">
          <a:extLst>
            <a:ext uri="{FF2B5EF4-FFF2-40B4-BE49-F238E27FC236}">
              <a16:creationId xmlns:a16="http://schemas.microsoft.com/office/drawing/2014/main" id="{C9983100-FB6F-491D-AED5-10446DBDB4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22</xdr:col>
      <xdr:colOff>76200</xdr:colOff>
      <xdr:row>7</xdr:row>
      <xdr:rowOff>161924</xdr:rowOff>
    </xdr:from>
    <xdr:to>
      <xdr:col>29</xdr:col>
      <xdr:colOff>19050</xdr:colOff>
      <xdr:row>19</xdr:row>
      <xdr:rowOff>219071</xdr:rowOff>
    </xdr:to>
    <xdr:graphicFrame macro="">
      <xdr:nvGraphicFramePr>
        <xdr:cNvPr id="2" name="Gráfico 1">
          <a:extLst>
            <a:ext uri="{FF2B5EF4-FFF2-40B4-BE49-F238E27FC236}">
              <a16:creationId xmlns:a16="http://schemas.microsoft.com/office/drawing/2014/main" id="{4CDB18C6-6033-49FC-A763-A876A94680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16</xdr:col>
      <xdr:colOff>342900</xdr:colOff>
      <xdr:row>5</xdr:row>
      <xdr:rowOff>133349</xdr:rowOff>
    </xdr:from>
    <xdr:to>
      <xdr:col>22</xdr:col>
      <xdr:colOff>123825</xdr:colOff>
      <xdr:row>14</xdr:row>
      <xdr:rowOff>190500</xdr:rowOff>
    </xdr:to>
    <xdr:graphicFrame macro="">
      <xdr:nvGraphicFramePr>
        <xdr:cNvPr id="2" name="Gráfico 1">
          <a:extLst>
            <a:ext uri="{FF2B5EF4-FFF2-40B4-BE49-F238E27FC236}">
              <a16:creationId xmlns:a16="http://schemas.microsoft.com/office/drawing/2014/main" id="{A1CD280E-63C6-467A-944C-F8A758048B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13</xdr:col>
      <xdr:colOff>361950</xdr:colOff>
      <xdr:row>5</xdr:row>
      <xdr:rowOff>133349</xdr:rowOff>
    </xdr:from>
    <xdr:to>
      <xdr:col>21</xdr:col>
      <xdr:colOff>352425</xdr:colOff>
      <xdr:row>18</xdr:row>
      <xdr:rowOff>66672</xdr:rowOff>
    </xdr:to>
    <xdr:graphicFrame macro="">
      <xdr:nvGraphicFramePr>
        <xdr:cNvPr id="2" name="Gráfico 1">
          <a:extLst>
            <a:ext uri="{FF2B5EF4-FFF2-40B4-BE49-F238E27FC236}">
              <a16:creationId xmlns:a16="http://schemas.microsoft.com/office/drawing/2014/main" id="{14E6D6EB-81DE-4966-9371-53D828015C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12</xdr:col>
      <xdr:colOff>361950</xdr:colOff>
      <xdr:row>5</xdr:row>
      <xdr:rowOff>133349</xdr:rowOff>
    </xdr:from>
    <xdr:to>
      <xdr:col>20</xdr:col>
      <xdr:colOff>352425</xdr:colOff>
      <xdr:row>17</xdr:row>
      <xdr:rowOff>66672</xdr:rowOff>
    </xdr:to>
    <xdr:graphicFrame macro="">
      <xdr:nvGraphicFramePr>
        <xdr:cNvPr id="2" name="Gráfico 1">
          <a:extLst>
            <a:ext uri="{FF2B5EF4-FFF2-40B4-BE49-F238E27FC236}">
              <a16:creationId xmlns:a16="http://schemas.microsoft.com/office/drawing/2014/main" id="{451595B5-D615-4700-AF97-A0F95685FB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13</xdr:col>
      <xdr:colOff>361950</xdr:colOff>
      <xdr:row>5</xdr:row>
      <xdr:rowOff>133349</xdr:rowOff>
    </xdr:from>
    <xdr:to>
      <xdr:col>21</xdr:col>
      <xdr:colOff>352425</xdr:colOff>
      <xdr:row>17</xdr:row>
      <xdr:rowOff>66672</xdr:rowOff>
    </xdr:to>
    <xdr:graphicFrame macro="">
      <xdr:nvGraphicFramePr>
        <xdr:cNvPr id="5" name="Gráfico 4">
          <a:extLst>
            <a:ext uri="{FF2B5EF4-FFF2-40B4-BE49-F238E27FC236}">
              <a16:creationId xmlns:a16="http://schemas.microsoft.com/office/drawing/2014/main" id="{525901D2-1581-4E4B-8DCE-FA1700536C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13</xdr:col>
      <xdr:colOff>28575</xdr:colOff>
      <xdr:row>8</xdr:row>
      <xdr:rowOff>47625</xdr:rowOff>
    </xdr:from>
    <xdr:to>
      <xdr:col>20</xdr:col>
      <xdr:colOff>152400</xdr:colOff>
      <xdr:row>23</xdr:row>
      <xdr:rowOff>47625</xdr:rowOff>
    </xdr:to>
    <xdr:graphicFrame macro="">
      <xdr:nvGraphicFramePr>
        <xdr:cNvPr id="2" name="Gráfico 1">
          <a:extLst>
            <a:ext uri="{FF2B5EF4-FFF2-40B4-BE49-F238E27FC236}">
              <a16:creationId xmlns:a16="http://schemas.microsoft.com/office/drawing/2014/main" id="{4B9F3D74-996B-4D75-A3AB-0089FCD268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Eduardo Amaral" id="{D6DB9FE1-3307-4620-8E2D-D33C5FE10F9B}" userId="1bfa2ac83e16c31e" providerId="Windows Live"/>
</personList>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7">
  <rv s="0">
    <v>2</v>
    <v>5</v>
    <v>19</v>
  </rv>
  <rv s="0">
    <v>2</v>
    <v>3</v>
    <v>19</v>
  </rv>
  <rv s="0">
    <v>2</v>
    <v>7</v>
    <v>19</v>
  </rv>
  <rv s="0">
    <v>2</v>
    <v>2</v>
    <v>19</v>
  </rv>
  <rv s="0">
    <v>2</v>
    <v>4</v>
    <v>19</v>
  </rv>
  <rv s="0">
    <v>2</v>
    <v>1</v>
    <v>19</v>
  </rv>
  <rv s="0">
    <v>2</v>
    <v>6</v>
    <v>19</v>
  </rv>
</rvData>
</file>

<file path=xl/richData/rdrichvaluestructure.xml><?xml version="1.0" encoding="utf-8"?>
<rvStructures xmlns="http://schemas.microsoft.com/office/spreadsheetml/2017/richdata" count="1">
  <s t="_error">
    <k n="errorType" t="i"/>
    <k n="argument"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Y21" dT="2022-08-28T20:34:50.17" personId="{D6DB9FE1-3307-4620-8E2D-D33C5FE10F9B}" id="{69D6092B-5AD3-4BA5-8EC3-971B5270794C}">
    <text>Excel's LINEST function calculates wrongly the ESS if the parameter CONSTANT is FALSE, but X still has a constant.</text>
  </threadedComment>
</ThreadedComments>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E4794065-FD69-45EC-974B-6C48C1D93FA4}">
  <we:reference id="wa200003696" version="1.0.0.0" store="en-US" storeType="OMEX"/>
  <we:alternateReferences>
    <we:reference id="wa200003696" version="1.0.0.0" store="en-US"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3.bin"/><Relationship Id="rId1" Type="http://schemas.openxmlformats.org/officeDocument/2006/relationships/hyperlink" Target="https://consultglp.com/wp-content/uploads/2018/07/Using-Excel-functions-for-one-way-ANOVA.pdf" TargetMode="Externa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E1965-C276-4C4D-805E-36C4D53F123D}">
  <sheetPr codeName="Planilha10"/>
  <dimension ref="A1:L149"/>
  <sheetViews>
    <sheetView showGridLines="0" tabSelected="1" workbookViewId="0"/>
  </sheetViews>
  <sheetFormatPr defaultColWidth="8.85546875" defaultRowHeight="15" x14ac:dyDescent="0.25"/>
  <cols>
    <col min="1" max="3" width="8" customWidth="1"/>
    <col min="6" max="6" width="77.85546875" customWidth="1"/>
    <col min="7" max="7" width="22.42578125" customWidth="1"/>
    <col min="8" max="8" width="59.28515625" customWidth="1"/>
    <col min="9" max="9" width="36" customWidth="1"/>
    <col min="10" max="12" width="10.7109375" customWidth="1"/>
    <col min="13" max="17" width="12" bestFit="1" customWidth="1"/>
  </cols>
  <sheetData>
    <row r="1" spans="1:12" ht="23.25" x14ac:dyDescent="0.35">
      <c r="A1" s="4" t="s">
        <v>308</v>
      </c>
    </row>
    <row r="2" spans="1:12" ht="21" x14ac:dyDescent="0.35">
      <c r="A2" s="3" t="s">
        <v>0</v>
      </c>
    </row>
    <row r="3" spans="1:12" s="9" customFormat="1" ht="15.75" x14ac:dyDescent="0.25">
      <c r="A3" s="9" t="s">
        <v>11</v>
      </c>
    </row>
    <row r="4" spans="1:12" s="9" customFormat="1" ht="15.75" x14ac:dyDescent="0.25">
      <c r="A4" s="44" t="s">
        <v>509</v>
      </c>
    </row>
    <row r="5" spans="1:12" s="9" customFormat="1" ht="15.75" x14ac:dyDescent="0.25">
      <c r="A5" s="9" t="s">
        <v>12</v>
      </c>
    </row>
    <row r="6" spans="1:12" s="9" customFormat="1" ht="66.75" customHeight="1" x14ac:dyDescent="0.25">
      <c r="A6" s="109" t="s">
        <v>510</v>
      </c>
      <c r="B6" s="109"/>
      <c r="C6" s="109"/>
      <c r="D6" s="109"/>
      <c r="E6" s="109"/>
      <c r="F6" s="109"/>
    </row>
    <row r="7" spans="1:12" s="9" customFormat="1" ht="15.75" x14ac:dyDescent="0.25"/>
    <row r="8" spans="1:12" s="9" customFormat="1" ht="50.25" customHeight="1" x14ac:dyDescent="0.25">
      <c r="A8" s="110" t="s">
        <v>155</v>
      </c>
      <c r="B8" s="110"/>
      <c r="C8" s="110"/>
      <c r="D8" s="110"/>
      <c r="E8" s="110"/>
      <c r="F8" s="110"/>
      <c r="G8" s="110"/>
      <c r="H8" s="110"/>
      <c r="I8" s="110"/>
    </row>
    <row r="10" spans="1:12" ht="46.5" x14ac:dyDescent="0.35">
      <c r="B10" s="3" t="s">
        <v>100</v>
      </c>
      <c r="F10" s="1" t="s">
        <v>16</v>
      </c>
      <c r="G10" s="1" t="s">
        <v>79</v>
      </c>
      <c r="H10" s="1" t="s">
        <v>81</v>
      </c>
      <c r="I10" s="33" t="s">
        <v>156</v>
      </c>
      <c r="J10" s="34"/>
      <c r="K10" s="34"/>
      <c r="L10" s="34"/>
    </row>
    <row r="11" spans="1:12" x14ac:dyDescent="0.25">
      <c r="B11" s="31" t="s">
        <v>436</v>
      </c>
      <c r="F11" s="29" t="s">
        <v>462</v>
      </c>
      <c r="G11" s="32"/>
      <c r="H11" s="30"/>
      <c r="I11" t="e" cm="1" vm="1">
        <f t="array" ref="I11">GET()</f>
        <v>#VALUE!</v>
      </c>
    </row>
    <row r="12" spans="1:12" x14ac:dyDescent="0.25">
      <c r="B12" s="31" t="s">
        <v>98</v>
      </c>
      <c r="F12" s="29" t="s">
        <v>280</v>
      </c>
      <c r="G12" s="32"/>
      <c r="H12" s="30"/>
      <c r="I12" t="e" cm="1" vm="2">
        <f t="array" ref="I12">M()</f>
        <v>#VALUE!</v>
      </c>
    </row>
    <row r="13" spans="1:12" x14ac:dyDescent="0.25">
      <c r="B13" s="31" t="s">
        <v>49</v>
      </c>
      <c r="F13" s="29" t="s">
        <v>463</v>
      </c>
      <c r="G13" s="32"/>
      <c r="H13" s="30"/>
      <c r="I13" t="e" cm="1" vm="3">
        <f t="array" ref="I13">SLICE()</f>
        <v>#VALUE!</v>
      </c>
    </row>
    <row r="14" spans="1:12" x14ac:dyDescent="0.25">
      <c r="B14" s="31" t="s">
        <v>77</v>
      </c>
      <c r="F14" s="29" t="s">
        <v>459</v>
      </c>
      <c r="G14" s="32" t="s">
        <v>77</v>
      </c>
      <c r="H14" s="30" t="s">
        <v>82</v>
      </c>
      <c r="I14" t="e" cm="1" vm="4">
        <f t="array" ref="I14">VERTCAT()</f>
        <v>#VALUE!</v>
      </c>
    </row>
    <row r="15" spans="1:12" x14ac:dyDescent="0.25">
      <c r="B15" s="31" t="s">
        <v>78</v>
      </c>
      <c r="F15" s="29" t="s">
        <v>460</v>
      </c>
      <c r="G15" s="32" t="s">
        <v>78</v>
      </c>
      <c r="H15" s="30" t="s">
        <v>83</v>
      </c>
      <c r="I15" t="e" cm="1" vm="4">
        <f t="array" ref="I15">HORZCAT()</f>
        <v>#VALUE!</v>
      </c>
    </row>
    <row r="16" spans="1:12" x14ac:dyDescent="0.25">
      <c r="B16" s="31" t="s">
        <v>41</v>
      </c>
      <c r="F16" s="29" t="s">
        <v>454</v>
      </c>
      <c r="G16" s="32" t="s">
        <v>84</v>
      </c>
      <c r="H16" s="30"/>
      <c r="I16" t="e" cm="1" vm="4">
        <f t="array" ref="I16">VEC()</f>
        <v>#VALUE!</v>
      </c>
    </row>
    <row r="17" spans="2:9" x14ac:dyDescent="0.25">
      <c r="B17" s="31" t="s">
        <v>70</v>
      </c>
      <c r="F17" s="29" t="s">
        <v>457</v>
      </c>
      <c r="G17" s="32"/>
      <c r="H17" s="30"/>
      <c r="I17" t="e" cm="1" vm="5">
        <f t="array" aca="1" ref="I17" ca="1">SAMPLE()</f>
        <v>#VALUE!</v>
      </c>
    </row>
    <row r="18" spans="2:9" x14ac:dyDescent="0.25">
      <c r="B18" s="31" t="s">
        <v>85</v>
      </c>
      <c r="F18" s="29" t="s">
        <v>67</v>
      </c>
      <c r="G18" s="32" t="s">
        <v>80</v>
      </c>
      <c r="H18" s="30"/>
      <c r="I18" t="e" cm="1" vm="5">
        <f t="array" ref="I18">NOZERO()</f>
        <v>#VALUE!</v>
      </c>
    </row>
    <row r="19" spans="2:9" x14ac:dyDescent="0.25">
      <c r="B19" s="31" t="s">
        <v>384</v>
      </c>
      <c r="F19" s="29" t="s">
        <v>385</v>
      </c>
      <c r="G19" s="32"/>
      <c r="H19" s="30"/>
      <c r="I19" t="e" cm="1" vm="6">
        <f t="array" ref="I19">ISEMPTY()</f>
        <v>#VALUE!</v>
      </c>
    </row>
    <row r="22" spans="2:9" ht="21" x14ac:dyDescent="0.35">
      <c r="B22" s="3" t="s">
        <v>101</v>
      </c>
    </row>
    <row r="23" spans="2:9" x14ac:dyDescent="0.25">
      <c r="B23" s="31" t="s">
        <v>14</v>
      </c>
      <c r="F23" s="29" t="str" cm="1">
        <f t="array" aca="1" ref="F23" ca="1">INDIRECT(B23&amp;"!A2")</f>
        <v>Returns an identity matrix</v>
      </c>
      <c r="G23" s="32" t="s">
        <v>14</v>
      </c>
      <c r="H23" s="30"/>
      <c r="I23" t="e" cm="1" vm="4">
        <f t="array" ref="I23">EYE()</f>
        <v>#VALUE!</v>
      </c>
    </row>
    <row r="24" spans="2:9" x14ac:dyDescent="0.25">
      <c r="B24" s="31" t="s">
        <v>23</v>
      </c>
      <c r="F24" s="29" t="str" cm="1">
        <f t="array" aca="1" ref="F24" ca="1">INDIRECT(B24&amp;"!A2")</f>
        <v>Returns a matrix of zeros</v>
      </c>
      <c r="G24" s="32" t="s">
        <v>23</v>
      </c>
      <c r="H24" s="30"/>
      <c r="I24" t="e" cm="1" vm="4">
        <f t="array" ref="I24">ZEROS()</f>
        <v>#VALUE!</v>
      </c>
    </row>
    <row r="25" spans="2:9" x14ac:dyDescent="0.25">
      <c r="B25" s="31" t="s">
        <v>32</v>
      </c>
      <c r="F25" s="29" t="str" cm="1">
        <f t="array" aca="1" ref="F25" ca="1">INDIRECT(B25&amp;"!A2")</f>
        <v>Returns a matrix of ones</v>
      </c>
      <c r="G25" s="32" t="s">
        <v>32</v>
      </c>
      <c r="H25" s="30"/>
      <c r="I25" t="e" cm="1" vm="4">
        <f t="array" ref="I25">ONES()</f>
        <v>#VALUE!</v>
      </c>
    </row>
    <row r="26" spans="2:9" x14ac:dyDescent="0.25">
      <c r="B26" s="31" t="s">
        <v>20</v>
      </c>
      <c r="F26" s="29" t="str" cm="1">
        <f t="array" aca="1" ref="F26" ca="1">INDIRECT(B26&amp;"!A2")</f>
        <v>Returns the diagonal of a matrix</v>
      </c>
      <c r="G26" s="32" t="s">
        <v>20</v>
      </c>
      <c r="H26" s="30"/>
      <c r="I26" t="e" cm="1" vm="4">
        <f t="array" ref="I26">DIAG()</f>
        <v>#VALUE!</v>
      </c>
    </row>
    <row r="27" spans="2:9" x14ac:dyDescent="0.25">
      <c r="B27" s="31" t="s">
        <v>30</v>
      </c>
      <c r="F27" s="29" t="str" cm="1">
        <f t="array" aca="1" ref="F27" ca="1">INDIRECT(B27&amp;"!A2")</f>
        <v>Returns the lower triangular part of a matrix</v>
      </c>
      <c r="G27" s="32" t="s">
        <v>30</v>
      </c>
      <c r="H27" s="30"/>
      <c r="I27" t="e" cm="1" vm="4">
        <f t="array" ref="I27">TRIL()</f>
        <v>#VALUE!</v>
      </c>
    </row>
    <row r="28" spans="2:9" x14ac:dyDescent="0.25">
      <c r="B28" s="31" t="s">
        <v>31</v>
      </c>
      <c r="F28" s="29" t="str" cm="1">
        <f t="array" aca="1" ref="F28" ca="1">INDIRECT(B28&amp;"!A2")</f>
        <v>Returns the upper triangular part of a matrix</v>
      </c>
      <c r="G28" s="32" t="s">
        <v>31</v>
      </c>
      <c r="H28" s="30"/>
      <c r="I28" t="e" cm="1" vm="4">
        <f t="array" ref="I28">TRIU()</f>
        <v>#VALUE!</v>
      </c>
    </row>
    <row r="29" spans="2:9" x14ac:dyDescent="0.25">
      <c r="B29" s="31" t="s">
        <v>45</v>
      </c>
      <c r="F29" s="29" t="str" cm="1">
        <f t="array" aca="1" ref="F29" ca="1">INDIRECT(B29&amp;"!A2")</f>
        <v>Flip array left to right</v>
      </c>
      <c r="G29" s="32" t="s">
        <v>45</v>
      </c>
      <c r="H29" s="30"/>
      <c r="I29" t="e" cm="1" vm="6">
        <f t="array" ref="I29">FLIPLR()</f>
        <v>#VALUE!</v>
      </c>
    </row>
    <row r="30" spans="2:9" x14ac:dyDescent="0.25">
      <c r="B30" s="31" t="s">
        <v>47</v>
      </c>
      <c r="F30" s="29" t="str" cm="1">
        <f t="array" aca="1" ref="F30" ca="1">INDIRECT(B30&amp;"!A2")</f>
        <v>Flip array up to down</v>
      </c>
      <c r="G30" s="32" t="s">
        <v>47</v>
      </c>
      <c r="H30" s="30"/>
      <c r="I30" t="e" cm="1" vm="6">
        <f t="array" ref="I30">FLIPUD()</f>
        <v>#VALUE!</v>
      </c>
    </row>
    <row r="31" spans="2:9" x14ac:dyDescent="0.25">
      <c r="B31" s="31" t="s">
        <v>50</v>
      </c>
      <c r="F31" s="29" t="str" cm="1">
        <f t="array" aca="1" ref="F31" ca="1">INDIRECT(B31&amp;"!A2")</f>
        <v>Repeat copies of array</v>
      </c>
      <c r="G31" s="32" t="s">
        <v>50</v>
      </c>
      <c r="H31" s="30"/>
      <c r="I31" t="e" cm="1" vm="2">
        <f t="array" ref="I31">REPMAT()</f>
        <v>#VALUE!</v>
      </c>
    </row>
    <row r="32" spans="2:9" ht="30" x14ac:dyDescent="0.25">
      <c r="B32" s="31" t="s">
        <v>124</v>
      </c>
      <c r="F32" s="29" t="str" cm="1">
        <f t="array" aca="1" ref="F32" ca="1">INDIRECT(B32&amp;"!A2")</f>
        <v>Reshape array</v>
      </c>
      <c r="G32" s="32" t="s">
        <v>124</v>
      </c>
      <c r="H32" s="30" t="s">
        <v>133</v>
      </c>
      <c r="I32" t="e" cm="1" vm="5">
        <f t="array" ref="I32">RESHAPE()</f>
        <v>#VALUE!</v>
      </c>
    </row>
    <row r="33" spans="2:9" x14ac:dyDescent="0.25">
      <c r="B33" s="31" t="s">
        <v>71</v>
      </c>
      <c r="F33" s="29" t="str" cm="1">
        <f t="array" aca="1" ref="F33" ca="1">INDIRECT(B33&amp;"!A2")</f>
        <v>Create a block diagonal matrix from existing matrices</v>
      </c>
      <c r="G33" s="32" t="s">
        <v>71</v>
      </c>
      <c r="H33" s="30"/>
      <c r="I33" t="e" cm="1" vm="4">
        <f t="array" ref="I33">BLKDIAG()</f>
        <v>#VALUE!</v>
      </c>
    </row>
    <row r="34" spans="2:9" x14ac:dyDescent="0.25">
      <c r="B34" s="31" t="s">
        <v>87</v>
      </c>
      <c r="F34" s="29" t="str" cm="1">
        <f t="array" aca="1" ref="F34" ca="1">INDIRECT(B34&amp;"!A2")</f>
        <v>Determine if all array elements are nonzero or true</v>
      </c>
      <c r="G34" s="32" t="s">
        <v>87</v>
      </c>
      <c r="H34" s="30"/>
      <c r="I34" t="e" cm="1" vm="4">
        <f t="array" ref="I34">ALL()</f>
        <v>#VALUE!</v>
      </c>
    </row>
    <row r="35" spans="2:9" x14ac:dyDescent="0.25">
      <c r="B35" s="31" t="s">
        <v>93</v>
      </c>
      <c r="F35" s="29" t="str" cm="1">
        <f t="array" aca="1" ref="F35" ca="1">INDIRECT(B35&amp;"!A2")</f>
        <v>Determine if any array elements are nonzero</v>
      </c>
      <c r="G35" s="32" t="s">
        <v>93</v>
      </c>
      <c r="H35" s="30"/>
      <c r="I35" t="e" cm="1" vm="4">
        <f t="array" ref="I35">ANY()</f>
        <v>#VALUE!</v>
      </c>
    </row>
    <row r="36" spans="2:9" x14ac:dyDescent="0.25">
      <c r="B36" s="31" t="s">
        <v>119</v>
      </c>
      <c r="F36" s="29" t="str" cm="1">
        <f t="array" aca="1" ref="F36" ca="1">INDIRECT(B36&amp;"!A2")</f>
        <v>Number of nonzero (nor FALSE) matrix elements</v>
      </c>
      <c r="G36" s="32" t="s">
        <v>119</v>
      </c>
      <c r="H36" s="30"/>
      <c r="I36" t="e" cm="1" vm="6">
        <f t="array" ref="I36">NNZ()</f>
        <v>#VALUE!</v>
      </c>
    </row>
    <row r="37" spans="2:9" x14ac:dyDescent="0.25">
      <c r="B37" s="31" t="s">
        <v>107</v>
      </c>
      <c r="F37" s="29" t="str" cm="1">
        <f t="array" aca="1" ref="F37" ca="1">INDIRECT(B37&amp;"!A2")</f>
        <v>Generate linearly spaced vector</v>
      </c>
      <c r="G37" s="32" t="s">
        <v>107</v>
      </c>
      <c r="H37" s="30"/>
      <c r="I37" t="e" cm="1" vm="2">
        <f t="array" ref="I37">LINSPACE()</f>
        <v>#VALUE!</v>
      </c>
    </row>
    <row r="38" spans="2:9" x14ac:dyDescent="0.25">
      <c r="B38" s="31" t="s">
        <v>114</v>
      </c>
      <c r="F38" s="29" t="str" cm="1">
        <f t="array" aca="1" ref="F38" ca="1">INDIRECT(B38&amp;"!A2")</f>
        <v>Length of largest array dimension</v>
      </c>
      <c r="G38" s="32" t="s">
        <v>114</v>
      </c>
      <c r="H38" s="30"/>
      <c r="I38" t="e" cm="1" vm="6">
        <f t="array" ref="I38">LENGTH()</f>
        <v>#VALUE!</v>
      </c>
    </row>
    <row r="39" spans="2:9" x14ac:dyDescent="0.25">
      <c r="B39" s="31" t="s">
        <v>471</v>
      </c>
      <c r="F39" s="29" t="str" cm="1">
        <f t="array" aca="1" ref="F39" ca="1">INDIRECT(B39&amp;"!A2")</f>
        <v>Array length at specified dimension</v>
      </c>
      <c r="G39" s="32" t="s">
        <v>195</v>
      </c>
      <c r="H39" s="30"/>
      <c r="I39" t="e" cm="1" vm="4">
        <f t="array" ref="I39">DIM()</f>
        <v>#VALUE!</v>
      </c>
    </row>
    <row r="40" spans="2:9" x14ac:dyDescent="0.25">
      <c r="B40" s="31" t="s">
        <v>118</v>
      </c>
      <c r="F40" s="29" t="str" cm="1">
        <f t="array" aca="1" ref="F40" ca="1">INDIRECT(B40&amp;"!A2")</f>
        <v>Number of array elements</v>
      </c>
      <c r="G40" s="32" t="s">
        <v>118</v>
      </c>
      <c r="H40" s="30"/>
      <c r="I40" t="e" cm="1" vm="6">
        <f t="array" ref="I40">NUMEL()</f>
        <v>#VALUE!</v>
      </c>
    </row>
    <row r="41" spans="2:9" x14ac:dyDescent="0.25">
      <c r="B41" s="31" t="s">
        <v>139</v>
      </c>
      <c r="F41" s="29" t="str" cm="1">
        <f t="array" aca="1" ref="F41" ca="1">INDIRECT(B41&amp;"!A2")</f>
        <v>Remove rows or columns with missing entries</v>
      </c>
      <c r="G41" s="32" t="s">
        <v>139</v>
      </c>
      <c r="H41" s="30"/>
      <c r="I41" t="e" cm="1" vm="4">
        <f t="array" ref="I41">RMMISSING()</f>
        <v>#VALUE!</v>
      </c>
    </row>
    <row r="42" spans="2:9" x14ac:dyDescent="0.25">
      <c r="B42" s="31" t="s">
        <v>447</v>
      </c>
      <c r="F42" s="29" t="str" cm="1">
        <f t="array" aca="1" ref="F42" ca="1">INDIRECT(B42&amp;"!A2")</f>
        <v>Detect outliers in a matrix</v>
      </c>
      <c r="G42" s="32"/>
      <c r="H42" s="30"/>
      <c r="I42" t="e" cm="1" vm="1">
        <f t="array" ref="I42">ISOUTLIER()</f>
        <v>#VALUE!</v>
      </c>
    </row>
    <row r="43" spans="2:9" x14ac:dyDescent="0.25">
      <c r="B43" s="31" t="s">
        <v>440</v>
      </c>
      <c r="F43" s="29" t="str" cm="1">
        <f t="array" aca="1" ref="F43" ca="1">INDIRECT(B43&amp;"!A2")</f>
        <v>Remove rows or columns with outliers</v>
      </c>
      <c r="G43" s="32"/>
      <c r="H43" s="30"/>
      <c r="I43" t="e" cm="1" vm="1">
        <f t="array" ref="I43">RMOUTLIERS()</f>
        <v>#VALUE!</v>
      </c>
    </row>
    <row r="44" spans="2:9" x14ac:dyDescent="0.25">
      <c r="B44" s="31" t="s">
        <v>284</v>
      </c>
      <c r="F44" s="29" t="str" cm="1">
        <f t="array" aca="1" ref="F44" ca="1">INDIRECT(B44&amp;"!A2")</f>
        <v>Filter dataset based on (multiple) criteria passed as string</v>
      </c>
      <c r="G44" s="32"/>
      <c r="H44" s="30"/>
      <c r="I44" t="e" cm="1" vm="5">
        <f t="array" ref="I44">MULTIFILTER()</f>
        <v>#VALUE!</v>
      </c>
    </row>
    <row r="45" spans="2:9" x14ac:dyDescent="0.25">
      <c r="B45" s="31" t="s">
        <v>322</v>
      </c>
      <c r="F45" s="29" t="str" cm="1">
        <f t="array" aca="1" ref="F45" ca="1">INDIRECT(B45&amp;"!A2")</f>
        <v>Return the elements in a continuous range of integers that do not belong to a matrix</v>
      </c>
      <c r="G45" s="32"/>
      <c r="H45" s="30"/>
      <c r="I45" t="e" cm="1" vm="2">
        <f t="array" ref="I45">COMPLEMENT()</f>
        <v>#VALUE!</v>
      </c>
    </row>
    <row r="46" spans="2:9" x14ac:dyDescent="0.25">
      <c r="B46" s="31" t="s">
        <v>399</v>
      </c>
      <c r="F46" s="29" t="str" cm="1">
        <f t="array" aca="1" ref="F46" ca="1">INDIRECT(B46&amp;"!A2")</f>
        <v>Sort each column or row of a range independently. Range may contain text values.</v>
      </c>
      <c r="G46" s="32"/>
      <c r="H46" s="30"/>
      <c r="I46" t="e" cm="1" vm="2">
        <f t="array" ref="I46">SORTRANGE()</f>
        <v>#VALUE!</v>
      </c>
    </row>
    <row r="47" spans="2:9" x14ac:dyDescent="0.25">
      <c r="B47" s="31" t="s">
        <v>409</v>
      </c>
      <c r="F47" s="29" t="str" cm="1">
        <f t="array" aca="1" ref="F47" ca="1">INDIRECT(B47&amp;"!A2")</f>
        <v>Checks whether a value is unique in a range</v>
      </c>
      <c r="G47" s="32"/>
      <c r="H47" s="30"/>
      <c r="I47" t="e" cm="1" vm="4">
        <f t="array" ref="I47">ISUNIQUE()</f>
        <v>#VALUE!</v>
      </c>
    </row>
    <row r="50" spans="2:9" ht="21" x14ac:dyDescent="0.35">
      <c r="B50" s="3" t="s">
        <v>147</v>
      </c>
    </row>
    <row r="51" spans="2:9" x14ac:dyDescent="0.25">
      <c r="B51" s="31" t="s">
        <v>99</v>
      </c>
      <c r="F51" s="29" t="s">
        <v>134</v>
      </c>
      <c r="G51" s="32" t="s">
        <v>99</v>
      </c>
      <c r="H51" s="30"/>
      <c r="I51" t="e" cm="1" vm="5">
        <f t="array" ref="I51">_xludf.SPLIT()</f>
        <v>#VALUE!</v>
      </c>
    </row>
    <row r="52" spans="2:9" x14ac:dyDescent="0.25">
      <c r="B52" s="31" t="s">
        <v>367</v>
      </c>
      <c r="F52" s="29" t="s">
        <v>398</v>
      </c>
      <c r="G52" s="32"/>
      <c r="H52" s="30"/>
      <c r="I52" t="e" cm="1" vm="5">
        <f t="array" ref="I52">SPLITTWO()</f>
        <v>#VALUE!</v>
      </c>
    </row>
    <row r="53" spans="2:9" x14ac:dyDescent="0.25">
      <c r="B53" s="31" t="s">
        <v>338</v>
      </c>
      <c r="F53" s="29" t="s">
        <v>339</v>
      </c>
      <c r="G53" s="32"/>
      <c r="H53" s="30"/>
      <c r="I53" t="e" cm="1" vm="4">
        <f t="array" ref="I53">SPLITALL()</f>
        <v>#VALUE!</v>
      </c>
    </row>
    <row r="54" spans="2:9" x14ac:dyDescent="0.25">
      <c r="B54" s="31" t="s">
        <v>336</v>
      </c>
      <c r="F54" s="29" t="s">
        <v>337</v>
      </c>
      <c r="G54" s="32"/>
      <c r="H54" s="30"/>
      <c r="I54" t="e" cm="1" vm="5">
        <f t="array" ref="I54">REPLACEALL()</f>
        <v>#VALUE!</v>
      </c>
    </row>
    <row r="55" spans="2:9" x14ac:dyDescent="0.25">
      <c r="B55" s="31" t="s">
        <v>106</v>
      </c>
      <c r="F55" s="29" t="s">
        <v>135</v>
      </c>
      <c r="G55" s="32"/>
      <c r="H55" s="30"/>
      <c r="I55" t="e" cm="1" vm="6">
        <f t="array" ref="I55">TEXTTOCHAR()</f>
        <v>#VALUE!</v>
      </c>
    </row>
    <row r="56" spans="2:9" x14ac:dyDescent="0.25">
      <c r="B56" s="31" t="s">
        <v>298</v>
      </c>
      <c r="F56" s="29" t="str" cm="1">
        <f t="array" aca="1" ref="F56" ca="1">INDIRECT(B56&amp;"!A2")</f>
        <v>Convert a text that represents a matrix into an array</v>
      </c>
      <c r="G56" s="32"/>
      <c r="H56" s="30"/>
      <c r="I56" t="e" cm="1" vm="2">
        <f t="array" ref="I56">TEXTTOARRAY()</f>
        <v>#VALUE!</v>
      </c>
    </row>
    <row r="59" spans="2:9" ht="21" x14ac:dyDescent="0.35">
      <c r="B59" s="3" t="s">
        <v>102</v>
      </c>
    </row>
    <row r="60" spans="2:9" x14ac:dyDescent="0.25">
      <c r="B60" s="31" t="s">
        <v>173</v>
      </c>
      <c r="F60" s="29" t="str" cm="1">
        <f t="array" aca="1" ref="F60" ca="1">INDIRECT(B60&amp;"!A2")</f>
        <v>Add a column of ones to a matrix</v>
      </c>
      <c r="G60" s="32"/>
      <c r="H60" s="30"/>
      <c r="I60" t="e" cm="1" vm="2">
        <f t="array" ref="I60">ADDCONST()</f>
        <v>#VALUE!</v>
      </c>
    </row>
    <row r="61" spans="2:9" x14ac:dyDescent="0.25">
      <c r="B61" s="31" t="s">
        <v>177</v>
      </c>
      <c r="F61" s="29" t="str" cm="1">
        <f t="array" aca="1" ref="F61" ca="1">INDIRECT(B61&amp;"!A2")</f>
        <v>Add a column with a deterministic trend to a matrix</v>
      </c>
      <c r="G61" s="32"/>
      <c r="H61" s="30"/>
      <c r="I61" t="e" cm="1" vm="2">
        <f t="array" ref="I61">ADDTREND()</f>
        <v>#VALUE!</v>
      </c>
    </row>
    <row r="62" spans="2:9" ht="30" x14ac:dyDescent="0.25">
      <c r="B62" s="31" t="s">
        <v>161</v>
      </c>
      <c r="F62" s="29" t="str" cm="1">
        <f t="array" aca="1" ref="F62" ca="1">INDIRECT(B62&amp;"!A2")</f>
        <v>Create alphabetically ordered dummy variables from categorical ones</v>
      </c>
      <c r="G62" s="32" t="s">
        <v>161</v>
      </c>
      <c r="H62" s="30" t="s">
        <v>168</v>
      </c>
      <c r="I62" t="e" cm="1" vm="4">
        <f t="array" ref="I62">DUMMYVAR()</f>
        <v>#VALUE!</v>
      </c>
    </row>
    <row r="63" spans="2:9" x14ac:dyDescent="0.25">
      <c r="B63" s="31" t="s">
        <v>362</v>
      </c>
      <c r="F63" s="29" t="str" cm="1">
        <f t="array" aca="1" ref="F63" ca="1">INDIRECT(B63&amp;"!A2")</f>
        <v>Differences between adjacent elements</v>
      </c>
      <c r="G63" s="32" t="s">
        <v>362</v>
      </c>
      <c r="H63" s="30"/>
      <c r="I63" t="e" cm="1" vm="2">
        <f t="array" ref="I63">DIFF()</f>
        <v>#VALUE!</v>
      </c>
    </row>
    <row r="64" spans="2:9" x14ac:dyDescent="0.25">
      <c r="B64" s="31" t="s">
        <v>347</v>
      </c>
      <c r="F64" s="29" t="str" cm="1">
        <f t="array" aca="1" ref="F64" ca="1">INDIRECT(B64&amp;"!A2")</f>
        <v>Critical values for the (Augmented) Dicky-Fuller test</v>
      </c>
      <c r="G64" s="32"/>
      <c r="H64" s="30"/>
      <c r="I64" t="e" cm="1" vm="5">
        <f t="array" ref="I64">DFTABLE()</f>
        <v>#VALUE!</v>
      </c>
    </row>
    <row r="65" spans="2:9" x14ac:dyDescent="0.25">
      <c r="B65" s="31" t="s">
        <v>512</v>
      </c>
      <c r="F65" s="29" t="str" cm="1">
        <f t="array" aca="1" ref="F65" ca="1">INDIRECT(B65&amp;"!A2")</f>
        <v>Tests whether a vector is stationary according to the Dickey-Fuller test</v>
      </c>
      <c r="G65" s="32"/>
      <c r="H65" s="30"/>
      <c r="I65" t="e" cm="1" vm="7">
        <f t="array" ref="I65">ISSTATIONARY()</f>
        <v>#VALUE!</v>
      </c>
    </row>
    <row r="66" spans="2:9" x14ac:dyDescent="0.25">
      <c r="B66" s="31" t="s">
        <v>342</v>
      </c>
      <c r="F66" s="29" t="str" cm="1">
        <f t="array" aca="1" ref="F66" ca="1">INDIRECT(B66&amp;"!A2")</f>
        <v>Stationarize a vector</v>
      </c>
      <c r="G66" s="32"/>
      <c r="H66" s="30"/>
      <c r="I66" t="e" cm="1" vm="3">
        <f t="array" ref="I66">STATIONARIZE()</f>
        <v>#VALUE!</v>
      </c>
    </row>
    <row r="67" spans="2:9" x14ac:dyDescent="0.25">
      <c r="B67" s="31" t="s">
        <v>475</v>
      </c>
      <c r="F67" s="29" t="str" cm="1">
        <f t="array" aca="1" ref="F67" ca="1">INDIRECT(B67&amp;"!A2")</f>
        <v>Returns the integration order of a vector</v>
      </c>
      <c r="G67" s="32"/>
      <c r="H67" s="30"/>
      <c r="I67" t="e" cm="1" vm="1">
        <f t="array" ref="I67">IORDER()</f>
        <v>#VALUE!</v>
      </c>
    </row>
    <row r="68" spans="2:9" x14ac:dyDescent="0.25">
      <c r="B68" s="31" t="s">
        <v>513</v>
      </c>
      <c r="F68" s="29" t="str" cm="1">
        <f t="array" aca="1" ref="F68" ca="1">INDIRECT(B68&amp;"!A2")</f>
        <v>Test whether two vectors are cointegrated (Engle–Granger method)</v>
      </c>
      <c r="G68" s="32"/>
      <c r="H68" s="30"/>
      <c r="I68" t="e" cm="1" vm="7">
        <f t="array" ref="I68">ISCOINTEGRATED()</f>
        <v>#VALUE!</v>
      </c>
    </row>
    <row r="69" spans="2:9" x14ac:dyDescent="0.25">
      <c r="B69" s="31" t="s">
        <v>157</v>
      </c>
      <c r="F69" s="29" t="str" cm="1">
        <f t="array" aca="1" ref="F69" ca="1">INDIRECT(B69&amp;"!A2")</f>
        <v>Seasonally adjust a (stationarized) time series with seasonal dummies</v>
      </c>
      <c r="G69" s="32"/>
      <c r="H69" s="30"/>
      <c r="I69" t="e" cm="1" vm="4">
        <f t="array" ref="I69">SEASADJ()</f>
        <v>#VALUE!</v>
      </c>
    </row>
    <row r="70" spans="2:9" x14ac:dyDescent="0.25">
      <c r="B70" s="31" t="s">
        <v>191</v>
      </c>
      <c r="F70" s="29" t="str" cm="1">
        <f t="array" aca="1" ref="F70" ca="1">INDIRECT(B70&amp;"!A2")</f>
        <v>Detrend a time series</v>
      </c>
      <c r="G70" s="32"/>
      <c r="H70" s="30"/>
      <c r="I70" t="e" cm="1" vm="4">
        <f t="array" ref="I70">DETREND()</f>
        <v>#VALUE!</v>
      </c>
    </row>
    <row r="71" spans="2:9" x14ac:dyDescent="0.25">
      <c r="B71" s="31" t="s">
        <v>198</v>
      </c>
      <c r="F71" s="29" t="str" cm="1">
        <f t="array" aca="1" ref="F71" ca="1">INDIRECT(B71&amp;"!A2")</f>
        <v>Hodrick-Prescott filter for trend and cyclical components</v>
      </c>
      <c r="G71" s="32" t="s">
        <v>198</v>
      </c>
      <c r="H71" s="30"/>
      <c r="I71" t="e" cm="1" vm="2">
        <f t="array" ref="I71">HPFILTER()</f>
        <v>#VALUE!</v>
      </c>
    </row>
    <row r="72" spans="2:9" x14ac:dyDescent="0.25">
      <c r="B72" s="31" t="s">
        <v>213</v>
      </c>
      <c r="F72" s="29" t="str" cm="1">
        <f t="array" aca="1" ref="F72" ca="1">INDIRECT(B72&amp;"!A2")</f>
        <v>Lag a vector</v>
      </c>
      <c r="G72" s="32"/>
      <c r="H72" s="30"/>
      <c r="I72" t="e" cm="1" vm="7">
        <f t="array" ref="I72">LAG()</f>
        <v>#VALUE!</v>
      </c>
    </row>
    <row r="73" spans="2:9" x14ac:dyDescent="0.25">
      <c r="B73" s="31" t="s">
        <v>221</v>
      </c>
      <c r="F73" s="29" t="str" cm="1">
        <f t="array" aca="1" ref="F73" ca="1">INDIRECT(B73&amp;"!A2")</f>
        <v>Lead a vector</v>
      </c>
      <c r="G73" s="32"/>
      <c r="H73" s="30"/>
      <c r="I73" t="e" cm="1" vm="7">
        <f t="array" ref="I73">LEAD()</f>
        <v>#VALUE!</v>
      </c>
    </row>
    <row r="74" spans="2:9" x14ac:dyDescent="0.25">
      <c r="B74" s="31" t="s">
        <v>225</v>
      </c>
      <c r="F74" s="29" t="str" cm="1">
        <f t="array" aca="1" ref="F74" ca="1">INDIRECT(B74&amp;"!A2")</f>
        <v>Granger causality</v>
      </c>
      <c r="G74" s="32"/>
      <c r="H74" s="30"/>
      <c r="I74" t="e" cm="1" vm="5">
        <f t="array" ref="I74">GRANGER()</f>
        <v>#VALUE!</v>
      </c>
    </row>
    <row r="75" spans="2:9" x14ac:dyDescent="0.25">
      <c r="B75" s="31" t="s">
        <v>212</v>
      </c>
      <c r="F75" s="29" t="str" cm="1">
        <f t="array" aca="1" ref="F75" ca="1">INDIRECT(B75&amp;"!A2")</f>
        <v>Analysis of variance (1 factor or one-way)</v>
      </c>
      <c r="G75" s="32"/>
      <c r="H75" s="30"/>
      <c r="I75" t="e" cm="1" vm="2">
        <f t="array" ref="I75">ANOVA()</f>
        <v>#VALUE!</v>
      </c>
    </row>
    <row r="76" spans="2:9" x14ac:dyDescent="0.25">
      <c r="B76" s="31" t="s">
        <v>503</v>
      </c>
      <c r="F76" s="29" t="str" cm="1">
        <f t="array" aca="1" ref="F76" ca="1">INDIRECT(B76&amp;"!A2")</f>
        <v>Time series operation</v>
      </c>
      <c r="G76" s="32"/>
      <c r="H76" s="30"/>
      <c r="I76" t="e" cm="1" vm="2">
        <f t="array" ref="I76">TSOPER()</f>
        <v>#VALUE!</v>
      </c>
    </row>
    <row r="77" spans="2:9" ht="25.5" customHeight="1" x14ac:dyDescent="0.25"/>
    <row r="78" spans="2:9" ht="21" x14ac:dyDescent="0.35">
      <c r="B78" s="3" t="s">
        <v>511</v>
      </c>
    </row>
    <row r="79" spans="2:9" x14ac:dyDescent="0.25">
      <c r="B79" s="31" t="s">
        <v>103</v>
      </c>
      <c r="F79" s="29" t="s">
        <v>136</v>
      </c>
      <c r="G79" s="32"/>
      <c r="H79" s="30"/>
      <c r="I79" t="e" cm="1" vm="4">
        <f t="array" ref="I79">OLS_COEFF()</f>
        <v>#VALUE!</v>
      </c>
    </row>
    <row r="80" spans="2:9" ht="30" x14ac:dyDescent="0.25">
      <c r="B80" s="31" t="s">
        <v>144</v>
      </c>
      <c r="F80" s="29" t="s">
        <v>277</v>
      </c>
      <c r="G80" s="32"/>
      <c r="H80" s="30"/>
      <c r="I80" t="e" cm="1" vm="2">
        <f t="array" ref="I80">OLS_COEFF_STDEV()</f>
        <v>#VALUE!</v>
      </c>
    </row>
    <row r="81" spans="2:9" ht="30" x14ac:dyDescent="0.25">
      <c r="B81" s="31" t="s">
        <v>429</v>
      </c>
      <c r="F81" s="29" t="s">
        <v>431</v>
      </c>
      <c r="G81" s="32"/>
      <c r="H81" s="30"/>
      <c r="I81" t="e" cm="1" vm="2">
        <f t="array" ref="I81">OLS_COEFF_STDEV_HAC()</f>
        <v>#VALUE!</v>
      </c>
    </row>
    <row r="82" spans="2:9" ht="30" x14ac:dyDescent="0.25">
      <c r="B82" s="31" t="s">
        <v>275</v>
      </c>
      <c r="F82" s="29" t="s">
        <v>276</v>
      </c>
      <c r="G82" s="32"/>
      <c r="H82" s="30"/>
      <c r="I82" t="e" cm="1" vm="2">
        <f t="array" ref="I82">OLS_COEFF_TSTAT()</f>
        <v>#VALUE!</v>
      </c>
    </row>
    <row r="83" spans="2:9" ht="30" x14ac:dyDescent="0.25">
      <c r="B83" s="31" t="s">
        <v>432</v>
      </c>
      <c r="F83" s="29" t="s">
        <v>434</v>
      </c>
      <c r="G83" s="32"/>
      <c r="H83" s="30"/>
      <c r="I83" t="e" cm="1" vm="2">
        <f t="array" ref="I83">OLS_COEFF_TSTAT_HAC()</f>
        <v>#VALUE!</v>
      </c>
    </row>
    <row r="84" spans="2:9" ht="30" x14ac:dyDescent="0.25">
      <c r="B84" s="31" t="s">
        <v>310</v>
      </c>
      <c r="F84" s="29" t="s">
        <v>311</v>
      </c>
      <c r="G84" s="32"/>
      <c r="H84" s="30"/>
      <c r="I84" t="e" cm="1" vm="2">
        <f t="array" ref="I84">OLS_COEFF_PVALUE()</f>
        <v>#VALUE!</v>
      </c>
    </row>
    <row r="85" spans="2:9" ht="30" x14ac:dyDescent="0.25">
      <c r="B85" s="31" t="s">
        <v>433</v>
      </c>
      <c r="F85" s="29" t="s">
        <v>311</v>
      </c>
      <c r="G85" s="32"/>
      <c r="H85" s="30"/>
      <c r="I85" t="e" cm="1" vm="2">
        <f t="array" ref="I85">OLS_COEFF_PVALUE_HAC()</f>
        <v>#VALUE!</v>
      </c>
    </row>
    <row r="86" spans="2:9" ht="30" x14ac:dyDescent="0.25">
      <c r="B86" s="31" t="s">
        <v>145</v>
      </c>
      <c r="F86" s="29" t="s">
        <v>146</v>
      </c>
      <c r="G86" s="32"/>
      <c r="H86" s="30"/>
      <c r="I86" t="e" cm="1" vm="2">
        <f t="array" ref="I86">OLS_VARCOV()</f>
        <v>#VALUE!</v>
      </c>
    </row>
    <row r="87" spans="2:9" ht="30" x14ac:dyDescent="0.25">
      <c r="B87" s="31" t="s">
        <v>428</v>
      </c>
      <c r="F87" s="29" t="s">
        <v>430</v>
      </c>
      <c r="G87" s="32"/>
      <c r="H87" s="30"/>
      <c r="I87" t="e" cm="1" vm="2">
        <f t="array" ref="I87">OLS_VARCOV_HAC()</f>
        <v>#VALUE!</v>
      </c>
    </row>
    <row r="88" spans="2:9" x14ac:dyDescent="0.25">
      <c r="B88" s="31" t="s">
        <v>104</v>
      </c>
      <c r="F88" s="29" t="s">
        <v>137</v>
      </c>
      <c r="G88" s="32"/>
      <c r="H88" s="30"/>
      <c r="I88" t="e" cm="1" vm="2">
        <f t="array" ref="I88">OLS_FITTED()</f>
        <v>#VALUE!</v>
      </c>
    </row>
    <row r="89" spans="2:9" x14ac:dyDescent="0.25">
      <c r="B89" s="31" t="s">
        <v>105</v>
      </c>
      <c r="F89" s="29" t="s">
        <v>138</v>
      </c>
      <c r="G89" s="32"/>
      <c r="H89" s="30"/>
      <c r="I89" t="e" cm="1" vm="2">
        <f t="array" ref="I89">OLS_RESIDUALS()</f>
        <v>#VALUE!</v>
      </c>
    </row>
    <row r="90" spans="2:9" x14ac:dyDescent="0.25">
      <c r="B90" s="31" t="s">
        <v>496</v>
      </c>
      <c r="F90" s="29" t="s">
        <v>499</v>
      </c>
      <c r="G90" s="32"/>
      <c r="H90" s="30"/>
      <c r="I90" t="e" cm="1" vm="5">
        <f t="array" ref="I90">OLS_RESIDUALS_STD()</f>
        <v>#VALUE!</v>
      </c>
    </row>
    <row r="91" spans="2:9" ht="30" x14ac:dyDescent="0.25">
      <c r="B91" s="31" t="s">
        <v>498</v>
      </c>
      <c r="F91" s="29" t="s">
        <v>500</v>
      </c>
      <c r="G91" s="32"/>
      <c r="H91" s="30"/>
      <c r="I91" t="e" cm="1" vm="2">
        <f t="array" ref="I91">OLS_RESIDUALS_PARTIAL()</f>
        <v>#VALUE!</v>
      </c>
    </row>
    <row r="92" spans="2:9" ht="30" x14ac:dyDescent="0.25">
      <c r="B92" s="31" t="s">
        <v>417</v>
      </c>
      <c r="F92" s="29" t="s">
        <v>418</v>
      </c>
      <c r="G92" s="32"/>
      <c r="H92" s="30"/>
      <c r="I92" t="e" cm="1" vm="2">
        <f t="array" ref="I92">OLS_STDEV()</f>
        <v>#VALUE!</v>
      </c>
    </row>
    <row r="93" spans="2:9" ht="30" x14ac:dyDescent="0.25">
      <c r="B93" s="31" t="s">
        <v>419</v>
      </c>
      <c r="F93" s="29" t="s">
        <v>421</v>
      </c>
      <c r="G93" s="32"/>
      <c r="H93" s="30"/>
      <c r="I93" t="e" cm="1" vm="2">
        <f t="array" ref="I93">OLS_ESS()</f>
        <v>#VALUE!</v>
      </c>
    </row>
    <row r="94" spans="2:9" ht="30" x14ac:dyDescent="0.25">
      <c r="B94" s="31" t="s">
        <v>420</v>
      </c>
      <c r="F94" s="29" t="s">
        <v>422</v>
      </c>
      <c r="G94" s="32"/>
      <c r="H94" s="30"/>
      <c r="I94" t="e" cm="1" vm="2">
        <f t="array" ref="I94">OLS_RSS()</f>
        <v>#VALUE!</v>
      </c>
    </row>
    <row r="95" spans="2:9" x14ac:dyDescent="0.25">
      <c r="B95" s="31" t="s">
        <v>424</v>
      </c>
      <c r="F95" s="29" t="s">
        <v>425</v>
      </c>
      <c r="G95" s="32"/>
      <c r="H95" s="30"/>
      <c r="I95" t="e" cm="1" vm="2">
        <f t="array" ref="I95">OLS_TSS()</f>
        <v>#VALUE!</v>
      </c>
    </row>
    <row r="96" spans="2:9" x14ac:dyDescent="0.25">
      <c r="B96" s="31" t="s">
        <v>450</v>
      </c>
      <c r="F96" s="29" t="s">
        <v>451</v>
      </c>
      <c r="G96" s="32"/>
      <c r="H96" s="30"/>
      <c r="I96" t="e" cm="1" vm="2">
        <f t="array" ref="I96">OLS_FSTAT()</f>
        <v>#VALUE!</v>
      </c>
    </row>
    <row r="97" spans="1:9" x14ac:dyDescent="0.25">
      <c r="B97" s="31" t="s">
        <v>452</v>
      </c>
      <c r="F97" s="29" t="s">
        <v>453</v>
      </c>
      <c r="G97" s="32"/>
      <c r="H97" s="30"/>
      <c r="I97" t="e" cm="1" vm="2">
        <f t="array" ref="I97">OLS_FSTAT_PVALUE()</f>
        <v>#VALUE!</v>
      </c>
    </row>
    <row r="98" spans="1:9" x14ac:dyDescent="0.25">
      <c r="B98" s="31" t="s">
        <v>416</v>
      </c>
      <c r="F98" s="29" t="s">
        <v>423</v>
      </c>
      <c r="G98" s="32"/>
      <c r="H98" s="30"/>
      <c r="I98" t="e" cm="1" vm="2">
        <f t="array" ref="I98">OLS_R2()</f>
        <v>#VALUE!</v>
      </c>
    </row>
    <row r="99" spans="1:9" ht="30" x14ac:dyDescent="0.25">
      <c r="B99" s="31" t="s">
        <v>426</v>
      </c>
      <c r="F99" s="29" t="s">
        <v>427</v>
      </c>
      <c r="G99" s="32"/>
      <c r="H99" s="30"/>
      <c r="I99" t="e" cm="1" vm="2">
        <f t="array" ref="I99">OLS_R2_ADJUSTED()</f>
        <v>#VALUE!</v>
      </c>
    </row>
    <row r="100" spans="1:9" x14ac:dyDescent="0.25">
      <c r="B100" s="31" t="s">
        <v>312</v>
      </c>
      <c r="F100" s="29" t="s">
        <v>315</v>
      </c>
      <c r="G100" s="32"/>
      <c r="H100" s="30"/>
      <c r="I100" t="e" cm="1" vm="2">
        <f t="array" ref="I100">OLS_LOGLIKELIHOOD()</f>
        <v>#VALUE!</v>
      </c>
    </row>
    <row r="101" spans="1:9" ht="30" x14ac:dyDescent="0.25">
      <c r="B101" s="31" t="s">
        <v>313</v>
      </c>
      <c r="F101" s="29" t="s">
        <v>316</v>
      </c>
      <c r="G101" s="32"/>
      <c r="H101" s="30"/>
      <c r="I101" t="e" cm="1" vm="2">
        <f t="array" ref="I101">OLS_AIC()</f>
        <v>#VALUE!</v>
      </c>
    </row>
    <row r="102" spans="1:9" ht="30" x14ac:dyDescent="0.25">
      <c r="B102" s="31" t="s">
        <v>314</v>
      </c>
      <c r="F102" s="29" t="s">
        <v>317</v>
      </c>
      <c r="G102" s="32"/>
      <c r="H102" s="30"/>
      <c r="I102" t="e" cm="1" vm="2">
        <f t="array" ref="I102">OLS_BIC()</f>
        <v>#VALUE!</v>
      </c>
    </row>
    <row r="103" spans="1:9" ht="30" x14ac:dyDescent="0.25">
      <c r="B103" s="31" t="s">
        <v>318</v>
      </c>
      <c r="F103" s="29" t="s">
        <v>319</v>
      </c>
      <c r="G103" s="32"/>
      <c r="H103" s="30"/>
      <c r="I103" t="e" cm="1" vm="3">
        <f t="array" ref="I103">OLS_OPTIMAL_LAG()</f>
        <v>#VALUE!</v>
      </c>
    </row>
    <row r="104" spans="1:9" ht="30" x14ac:dyDescent="0.25">
      <c r="B104" s="31" t="s">
        <v>491</v>
      </c>
      <c r="F104" s="29" t="s">
        <v>493</v>
      </c>
      <c r="G104" s="32"/>
      <c r="H104" s="30"/>
      <c r="I104" t="e" cm="1" vm="1">
        <f t="array" ref="I104">OLS_LEVERAGE()</f>
        <v>#VALUE!</v>
      </c>
    </row>
    <row r="105" spans="1:9" ht="30" x14ac:dyDescent="0.25">
      <c r="B105" s="31" t="s">
        <v>492</v>
      </c>
      <c r="F105" s="29" t="s">
        <v>494</v>
      </c>
      <c r="G105" s="32"/>
      <c r="H105" s="30"/>
      <c r="I105" t="e" cm="1" vm="1">
        <f t="array" ref="I105">OLS_COOKS_DISTANCE()</f>
        <v>#VALUE!</v>
      </c>
    </row>
    <row r="106" spans="1:9" ht="30" x14ac:dyDescent="0.25">
      <c r="B106" s="31" t="s">
        <v>495</v>
      </c>
      <c r="F106" s="29" t="s">
        <v>501</v>
      </c>
      <c r="G106" s="32"/>
      <c r="H106" s="30"/>
      <c r="I106" t="e" cm="1" vm="1">
        <f t="array" ref="I106">OLS_CONF_INTERVAL()</f>
        <v>#VALUE!</v>
      </c>
    </row>
    <row r="107" spans="1:9" ht="30" x14ac:dyDescent="0.25">
      <c r="B107" s="31" t="s">
        <v>497</v>
      </c>
      <c r="F107" s="29" t="s">
        <v>502</v>
      </c>
      <c r="G107" s="32"/>
      <c r="H107" s="30"/>
      <c r="I107" t="e" cm="1" vm="1">
        <f t="array" ref="I107">OLS_PRED_INTERVAL()</f>
        <v>#VALUE!</v>
      </c>
    </row>
    <row r="109" spans="1:9" ht="18.75" x14ac:dyDescent="0.3">
      <c r="A109" s="16" t="s">
        <v>59</v>
      </c>
    </row>
    <row r="111" spans="1:9" x14ac:dyDescent="0.25">
      <c r="A111" t="s">
        <v>307</v>
      </c>
    </row>
    <row r="112" spans="1:9" x14ac:dyDescent="0.25">
      <c r="A112" t="s">
        <v>514</v>
      </c>
    </row>
    <row r="113" spans="1:1" x14ac:dyDescent="0.25">
      <c r="A113" t="s">
        <v>387</v>
      </c>
    </row>
    <row r="114" spans="1:1" x14ac:dyDescent="0.25">
      <c r="A114" t="s">
        <v>386</v>
      </c>
    </row>
    <row r="115" spans="1:1" x14ac:dyDescent="0.25">
      <c r="A115" t="s">
        <v>332</v>
      </c>
    </row>
    <row r="116" spans="1:1" x14ac:dyDescent="0.25">
      <c r="A116" t="s">
        <v>279</v>
      </c>
    </row>
    <row r="117" spans="1:1" x14ac:dyDescent="0.25">
      <c r="A117" t="s">
        <v>285</v>
      </c>
    </row>
    <row r="118" spans="1:1" x14ac:dyDescent="0.25">
      <c r="A118" t="s">
        <v>334</v>
      </c>
    </row>
    <row r="119" spans="1:1" x14ac:dyDescent="0.25">
      <c r="A119" t="s">
        <v>381</v>
      </c>
    </row>
    <row r="120" spans="1:1" x14ac:dyDescent="0.25">
      <c r="A120" t="s">
        <v>368</v>
      </c>
    </row>
    <row r="121" spans="1:1" x14ac:dyDescent="0.25">
      <c r="A121" t="s">
        <v>355</v>
      </c>
    </row>
    <row r="122" spans="1:1" x14ac:dyDescent="0.25">
      <c r="A122" t="s">
        <v>376</v>
      </c>
    </row>
    <row r="123" spans="1:1" x14ac:dyDescent="0.25">
      <c r="A123" t="s">
        <v>392</v>
      </c>
    </row>
    <row r="124" spans="1:1" x14ac:dyDescent="0.25">
      <c r="A124" t="s">
        <v>397</v>
      </c>
    </row>
    <row r="125" spans="1:1" x14ac:dyDescent="0.25">
      <c r="A125" t="s">
        <v>435</v>
      </c>
    </row>
    <row r="126" spans="1:1" x14ac:dyDescent="0.25">
      <c r="A126" t="s">
        <v>458</v>
      </c>
    </row>
    <row r="127" spans="1:1" x14ac:dyDescent="0.25">
      <c r="A127" t="s">
        <v>474</v>
      </c>
    </row>
    <row r="129" spans="1:1" x14ac:dyDescent="0.25">
      <c r="A129" t="s">
        <v>268</v>
      </c>
    </row>
    <row r="130" spans="1:1" x14ac:dyDescent="0.25">
      <c r="A130" t="s">
        <v>269</v>
      </c>
    </row>
    <row r="132" spans="1:1" x14ac:dyDescent="0.25">
      <c r="A132" t="s">
        <v>197</v>
      </c>
    </row>
    <row r="133" spans="1:1" x14ac:dyDescent="0.25">
      <c r="A133" t="s">
        <v>211</v>
      </c>
    </row>
    <row r="135" spans="1:1" x14ac:dyDescent="0.25">
      <c r="A135" t="s">
        <v>189</v>
      </c>
    </row>
    <row r="136" spans="1:1" x14ac:dyDescent="0.25">
      <c r="A136" t="s">
        <v>190</v>
      </c>
    </row>
    <row r="138" spans="1:1" x14ac:dyDescent="0.25">
      <c r="A138" t="s">
        <v>185</v>
      </c>
    </row>
    <row r="139" spans="1:1" x14ac:dyDescent="0.25">
      <c r="A139" t="s">
        <v>184</v>
      </c>
    </row>
    <row r="141" spans="1:1" x14ac:dyDescent="0.25">
      <c r="A141" t="s">
        <v>61</v>
      </c>
    </row>
    <row r="142" spans="1:1" x14ac:dyDescent="0.25">
      <c r="A142" t="s">
        <v>62</v>
      </c>
    </row>
    <row r="143" spans="1:1" x14ac:dyDescent="0.25">
      <c r="A143" t="s">
        <v>151</v>
      </c>
    </row>
    <row r="144" spans="1:1" x14ac:dyDescent="0.25">
      <c r="A144" t="s">
        <v>153</v>
      </c>
    </row>
    <row r="145" spans="1:1" x14ac:dyDescent="0.25">
      <c r="A145" t="s">
        <v>154</v>
      </c>
    </row>
    <row r="146" spans="1:1" x14ac:dyDescent="0.25">
      <c r="A146" t="s">
        <v>152</v>
      </c>
    </row>
    <row r="148" spans="1:1" x14ac:dyDescent="0.25">
      <c r="A148" t="s">
        <v>60</v>
      </c>
    </row>
    <row r="149" spans="1:1" x14ac:dyDescent="0.25">
      <c r="A149" t="s">
        <v>63</v>
      </c>
    </row>
  </sheetData>
  <mergeCells count="2">
    <mergeCell ref="A6:F6"/>
    <mergeCell ref="A8:I8"/>
  </mergeCells>
  <pageMargins left="0.511811024" right="0.511811024" top="0.78740157499999996" bottom="0.78740157499999996" header="0.31496062000000002" footer="0.31496062000000002"/>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323F5C-C4F5-4E87-B96E-C1138A322570}">
  <sheetPr codeName="Planilha1">
    <tabColor theme="9" tint="0.59999389629810485"/>
  </sheetPr>
  <dimension ref="A1:CD33"/>
  <sheetViews>
    <sheetView showGridLines="0" workbookViewId="0">
      <selection activeCell="R2" sqref="R2"/>
    </sheetView>
  </sheetViews>
  <sheetFormatPr defaultColWidth="8.85546875" defaultRowHeight="15" x14ac:dyDescent="0.25"/>
  <cols>
    <col min="1" max="3" width="8" customWidth="1"/>
    <col min="7" max="7" width="3.7109375" customWidth="1"/>
    <col min="8" max="9" width="11.42578125" customWidth="1"/>
    <col min="10" max="10" width="10" customWidth="1"/>
    <col min="11" max="12" width="11.42578125" customWidth="1"/>
    <col min="13" max="14" width="10" customWidth="1"/>
    <col min="15" max="16" width="11.42578125" customWidth="1"/>
    <col min="17" max="18" width="10" customWidth="1"/>
    <col min="19" max="20" width="11.42578125" customWidth="1"/>
    <col min="21" max="22" width="10" customWidth="1"/>
    <col min="25" max="25" width="3.7109375" customWidth="1"/>
    <col min="26" max="27" width="11.42578125" customWidth="1"/>
    <col min="28" max="28" width="10" customWidth="1"/>
    <col min="29" max="31" width="11.42578125" customWidth="1"/>
    <col min="32" max="32" width="10" customWidth="1"/>
    <col min="33" max="35" width="11.42578125" customWidth="1"/>
    <col min="36" max="36" width="7.7109375" customWidth="1"/>
    <col min="37" max="37" width="5.7109375" customWidth="1"/>
    <col min="39" max="39" width="3.7109375" customWidth="1"/>
    <col min="40" max="40" width="5.7109375" customWidth="1"/>
    <col min="42" max="42" width="9.5703125" customWidth="1"/>
    <col min="43" max="43" width="7.7109375" customWidth="1"/>
    <col min="45" max="45" width="9.5703125" customWidth="1"/>
    <col min="48" max="48" width="6" bestFit="1" customWidth="1"/>
    <col min="52" max="52" width="2.7109375" customWidth="1"/>
    <col min="56" max="56" width="6.42578125" customWidth="1"/>
    <col min="60" max="60" width="6.42578125" customWidth="1"/>
    <col min="61" max="61" width="12.42578125" customWidth="1"/>
    <col min="62" max="62" width="9.85546875" customWidth="1"/>
    <col min="64" max="64" width="6.42578125" customWidth="1"/>
    <col min="65" max="65" width="12.42578125" customWidth="1"/>
    <col min="66" max="66" width="9.85546875" customWidth="1"/>
    <col min="68" max="68" width="6.42578125" customWidth="1"/>
    <col min="69" max="69" width="12.42578125" customWidth="1"/>
    <col min="70" max="70" width="9.85546875" customWidth="1"/>
    <col min="72" max="72" width="6.42578125" customWidth="1"/>
    <col min="75" max="75" width="6.42578125" customWidth="1"/>
    <col min="78" max="78" width="6.42578125" customWidth="1"/>
  </cols>
  <sheetData>
    <row r="1" spans="1:82" ht="23.25" x14ac:dyDescent="0.35">
      <c r="A1" s="4" t="s">
        <v>69</v>
      </c>
    </row>
    <row r="3" spans="1:82" x14ac:dyDescent="0.25">
      <c r="E3" s="7" t="s">
        <v>7</v>
      </c>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BV3" s="7"/>
      <c r="BW3" s="7"/>
      <c r="BX3" s="7"/>
      <c r="BY3" s="7"/>
      <c r="BZ3" s="7"/>
      <c r="CA3" s="7"/>
      <c r="CB3" s="7"/>
      <c r="CC3" s="7"/>
      <c r="CD3" s="7"/>
    </row>
    <row r="4" spans="1:82" x14ac:dyDescent="0.25">
      <c r="A4" s="1" t="s">
        <v>4</v>
      </c>
      <c r="E4" s="1" t="s">
        <v>5</v>
      </c>
      <c r="F4" s="1"/>
      <c r="G4" s="1"/>
      <c r="H4" s="1" t="s">
        <v>6</v>
      </c>
      <c r="I4" s="1"/>
      <c r="J4" s="1"/>
      <c r="K4" s="1" t="s">
        <v>278</v>
      </c>
      <c r="L4" s="1"/>
      <c r="M4" s="1"/>
      <c r="N4" s="1"/>
      <c r="O4" s="1" t="s">
        <v>330</v>
      </c>
      <c r="P4" s="1"/>
      <c r="Q4" s="1"/>
      <c r="R4" s="1"/>
      <c r="S4" s="1" t="s">
        <v>382</v>
      </c>
      <c r="T4" s="1"/>
      <c r="U4" s="1"/>
      <c r="V4" s="1"/>
      <c r="W4" s="1" t="s">
        <v>96</v>
      </c>
      <c r="X4" s="1"/>
      <c r="Y4" s="1"/>
      <c r="Z4" s="1" t="s">
        <v>97</v>
      </c>
      <c r="AA4" s="1"/>
      <c r="AB4" s="1"/>
      <c r="AC4" s="1" t="s">
        <v>331</v>
      </c>
      <c r="AD4" s="1"/>
      <c r="AE4" s="1"/>
      <c r="AF4" s="1"/>
      <c r="AG4" s="1" t="s">
        <v>383</v>
      </c>
      <c r="AH4" s="1"/>
      <c r="AI4" s="1"/>
      <c r="AJ4" s="1"/>
      <c r="AK4" s="1" t="s">
        <v>437</v>
      </c>
      <c r="AL4" s="1"/>
      <c r="AM4" s="1"/>
      <c r="AN4" s="1" t="s">
        <v>438</v>
      </c>
      <c r="AO4" s="1"/>
      <c r="AP4" s="1"/>
      <c r="AQ4" s="1" t="s">
        <v>461</v>
      </c>
      <c r="AR4" s="1"/>
      <c r="AS4" s="1"/>
      <c r="AT4" s="1" t="s">
        <v>77</v>
      </c>
      <c r="AU4" s="1"/>
      <c r="AV4" s="1"/>
      <c r="AW4" s="1" t="s">
        <v>78</v>
      </c>
      <c r="AX4" s="1"/>
      <c r="AY4" s="1"/>
      <c r="BA4" s="1" t="s">
        <v>464</v>
      </c>
      <c r="BE4" s="1" t="s">
        <v>465</v>
      </c>
      <c r="BI4" s="1" t="s">
        <v>99</v>
      </c>
      <c r="BM4" s="1" t="s">
        <v>367</v>
      </c>
      <c r="BQ4" s="1" t="s">
        <v>338</v>
      </c>
      <c r="BU4" s="1" t="s">
        <v>106</v>
      </c>
      <c r="BX4" s="1" t="s">
        <v>336</v>
      </c>
      <c r="CA4" s="1" t="s">
        <v>384</v>
      </c>
    </row>
    <row r="5" spans="1:82" x14ac:dyDescent="0.25">
      <c r="A5" s="5" t="s">
        <v>1</v>
      </c>
      <c r="B5" s="5" t="s">
        <v>2</v>
      </c>
      <c r="C5" s="5" t="s">
        <v>3</v>
      </c>
      <c r="E5" s="5" t="s">
        <v>1</v>
      </c>
      <c r="F5" s="5" t="s">
        <v>2</v>
      </c>
      <c r="H5" s="5" t="s">
        <v>1</v>
      </c>
      <c r="I5" s="5" t="s">
        <v>2</v>
      </c>
      <c r="K5" s="5" t="s">
        <v>1</v>
      </c>
      <c r="L5" s="5" t="s">
        <v>2</v>
      </c>
      <c r="M5" s="5" t="s">
        <v>3</v>
      </c>
      <c r="O5" s="5" t="s">
        <v>1</v>
      </c>
      <c r="P5" s="5" t="s">
        <v>2</v>
      </c>
      <c r="Q5" s="5" t="s">
        <v>3</v>
      </c>
      <c r="S5" s="98"/>
      <c r="T5" s="98"/>
      <c r="U5" s="98"/>
      <c r="W5" s="5" t="s">
        <v>1</v>
      </c>
      <c r="X5" s="5" t="s">
        <v>2</v>
      </c>
      <c r="Z5" s="5" t="s">
        <v>1</v>
      </c>
      <c r="AA5" s="5" t="s">
        <v>2</v>
      </c>
      <c r="AC5" s="5" t="s">
        <v>1</v>
      </c>
      <c r="AD5" s="5" t="s">
        <v>2</v>
      </c>
      <c r="AE5" s="5" t="s">
        <v>3</v>
      </c>
      <c r="AG5" s="5" t="s">
        <v>1</v>
      </c>
      <c r="AH5" s="5" t="s">
        <v>2</v>
      </c>
      <c r="AI5" s="5" t="s">
        <v>3</v>
      </c>
      <c r="AK5" s="5"/>
      <c r="AL5" s="5"/>
      <c r="AN5" s="5"/>
      <c r="AO5" s="5"/>
      <c r="AQ5" s="5"/>
      <c r="AR5" s="5"/>
      <c r="AT5" s="8" t="s">
        <v>9</v>
      </c>
      <c r="AU5" s="8"/>
      <c r="AW5" s="8" t="s">
        <v>10</v>
      </c>
      <c r="AX5" s="5"/>
      <c r="AY5" s="5"/>
      <c r="BA5" s="8"/>
      <c r="BB5" s="5"/>
      <c r="BC5" s="5"/>
      <c r="BE5" s="8"/>
      <c r="BF5" s="5"/>
      <c r="BG5" s="5"/>
      <c r="BI5" s="8"/>
      <c r="BJ5" s="5"/>
      <c r="BK5" s="5"/>
      <c r="BM5" s="8"/>
      <c r="BN5" s="5"/>
      <c r="BO5" s="5"/>
      <c r="BQ5" s="8"/>
      <c r="BR5" s="5"/>
      <c r="BS5" s="5"/>
      <c r="BU5" s="8"/>
      <c r="BV5" s="5"/>
      <c r="BX5" s="8"/>
      <c r="BY5" s="5"/>
      <c r="CA5" s="8"/>
      <c r="CB5" s="5"/>
      <c r="CC5" s="5"/>
      <c r="CD5" s="5"/>
    </row>
    <row r="6" spans="1:82" x14ac:dyDescent="0.25">
      <c r="A6" s="10">
        <v>1</v>
      </c>
      <c r="B6" s="10">
        <v>100</v>
      </c>
      <c r="C6" s="10">
        <v>1000</v>
      </c>
      <c r="E6" cm="1">
        <f t="array" ref="E6:F8">_xlfn.LAMBDA(_xlpm.matrix,_xlop.lin_start,_xlop.lin_end,_xlop.col_start,_xlop.col_end,_xlop.patch,_xlop.remove,
_xlfn.LET(
_xlpm.lin_start, IF( OR( _xlfn.ISOMITTED(_xlpm.lin_start), _xlpm.lin_start=0), 1, IF(ISTEXT(_xlpm.lin_start), MATCH(_xlpm.lin_start,INDEX(_xlpm.matrix,0,1),0),_xlpm.lin_start)),
_xlpm.lin_end, IF( OR(_xlfn.ISOMITTED(_xlpm.lin_end), _xlpm.lin_end=0), ROWS(_xlpm.matrix), IF(ISTEXT(_xlpm.lin_end),MATCH(_xlpm.lin_end,INDEX(_xlpm.matrix,0,1),0),_xlpm.lin_end)),
_xlpm.col_start, IF(OR(_xlfn.ISOMITTED(_xlpm.col_start), _xlpm.col_start=0),1, IF(ISTEXT(_xlpm.col_start), MATCH(_xlpm.col_start,INDEX(_xlpm.matrix,1,0),0),_xlpm.col_start)),
_xlpm.col_end, IF( OR(_xlfn.ISOMITTED(_xlpm.col_end), _xlpm.col_end=0), COLUMNS(_xlpm.matrix), IF(ISTEXT(_xlpm.col_end), MATCH(_xlpm.col_end,INDEX(_xlpm.matrix,1,0),0),_xlpm.col_end)),
_xlpm.remove, IF( OR(_xlfn.ISOMITTED(_xlpm.remove), _xlpm.remove=0), FALSE, _xlpm.remove),
_xlpm.idxLins, _xlfn.SEQUENCE(
IF( _xlpm.lin_end &gt; 0, _xlpm.lin_end, ROWS(_xlpm.matrix) + _xlpm.lin_end + 1) - IF( _xlpm.lin_start &gt; 0, _xlpm.lin_start, ROWS(_xlpm.matrix) + _xlpm.lin_start + 1) + 1,
1,
IF( _xlpm.lin_start &gt; 0, _xlpm.lin_start, ROWS(_xlpm.matrix) + _xlpm.lin_start + 1) ),
_xlpm.idxCols, _xlfn.SEQUENCE(
1,
IF( _xlpm.col_end &gt; 0, _xlpm.col_end, COLUMNS(_xlpm.matrix) + _xlpm.col_end + 1) - IF( _xlpm.col_start &gt; 0, _xlpm.col_start, COLUMNS(_xlpm.matrix) + _xlpm.col_start + 1) + 1,
IF( _xlpm.col_start &gt; 0, _xlpm.col_start, COLUMNS(_xlpm.matrix) + _xlpm.col_start + 1) ),
IF(_xlfn.ISOMITTED(_xlpm.patch), IF(_xlpm.remove=FALSE, INDEX(_xlpm.matrix, _xlpm.idxLins,_xlpm.idxCols), INDEX(_xlpm.matrix, IFERROR(COMPLEMENT(_xlpm.idxLins,1,ROWS(_xlpm.matrix)), _xlpm.idxLins), IFERROR(TRANSPOSE(COMPLEMENT(_xlpm.idxCols,1,COLUMNS(_xlpm.matrix))),_xlpm.idxCols)) ),
_xlfn.LET(
_xlpm.patchLeft, IF(_xlpm.col_start-1 &gt;=1,HORZCAT(  M(_xlpm.matrix, "[" &amp; (_xlpm.lin_start) &amp; ":" &amp; (_xlpm.lin_end) &amp; ",1:" &amp; (_xlpm.col_start-1) &amp; "]"), _xlpm.patch), _xlpm.patch ),
_xlpm.patchRight, IF(_xlpm.col_end+1 &lt;= COLUMNS(_xlpm.matrix), HORZCAT(_xlpm.patchLeft, M(_xlpm.matrix, "[" &amp; (_xlpm.lin_start) &amp; ":" &amp; (_xlpm.lin_end) &amp; "," &amp; (_xlpm.col_end+1) &amp; ":]") ), _xlpm.patchLeft),
_xlpm.patchUpper, IF(_xlpm.lin_start-1 &gt;= 1, VERTCAT( M(_xlpm.matrix, "[1:" &amp; (_xlpm.lin_start-1) &amp; ",:]"), _xlpm.patchRight), _xlpm.patchRight),
_xlpm.patchLower, IF(_xlpm.lin_end+1 &lt;= ROWS(_xlpm.matrix), VERTCAT( _xlpm.patchUpper, M(_xlpm.matrix, "[" &amp; (_xlpm.lin_end+1) &amp; ":,:]") ), _xlpm.patchUpper),
IF( AND( ROWS(_xlpm.patch) = (_xlpm.lin_end - _xlpm.lin_start + 1), COLUMNS(_xlpm.patch) = (_xlpm.col_end - _xlpm.col_start + 1) ), _xlpm.patchLower,
"# Patch range size is different" ))))
)($A$6:$C$17,2,4,1,2)</f>
        <v>2</v>
      </c>
      <c r="F6">
        <v>200</v>
      </c>
      <c r="H6" cm="1">
        <f t="array" ref="H6:I16">_xlfn.LAMBDA(_xlpm.matrix,_xlop.lin_start,_xlop.lin_end,_xlop.col_start,_xlop.col_end,_xlop.patch,_xlop.remove,
_xlfn.LET(
_xlpm.lin_start, IF( OR( _xlfn.ISOMITTED(_xlpm.lin_start), _xlpm.lin_start=0), 1, IF(ISTEXT(_xlpm.lin_start), MATCH(_xlpm.lin_start,INDEX(_xlpm.matrix,0,1),0),_xlpm.lin_start)),
_xlpm.lin_end, IF( OR(_xlfn.ISOMITTED(_xlpm.lin_end), _xlpm.lin_end=0), ROWS(_xlpm.matrix), IF(ISTEXT(_xlpm.lin_end),MATCH(_xlpm.lin_end,INDEX(_xlpm.matrix,0,1),0),_xlpm.lin_end)),
_xlpm.col_start, IF(OR(_xlfn.ISOMITTED(_xlpm.col_start), _xlpm.col_start=0),1, IF(ISTEXT(_xlpm.col_start), MATCH(_xlpm.col_start,INDEX(_xlpm.matrix,1,0),0),_xlpm.col_start)),
_xlpm.col_end, IF( OR(_xlfn.ISOMITTED(_xlpm.col_end), _xlpm.col_end=0), COLUMNS(_xlpm.matrix), IF(ISTEXT(_xlpm.col_end), MATCH(_xlpm.col_end,INDEX(_xlpm.matrix,1,0),0),_xlpm.col_end)),
_xlpm.remove, IF( OR(_xlfn.ISOMITTED(_xlpm.remove), _xlpm.remove=0), FALSE, _xlpm.remove),
_xlpm.idxLins, _xlfn.SEQUENCE(
IF( _xlpm.lin_end &gt; 0, _xlpm.lin_end, ROWS(_xlpm.matrix) + _xlpm.lin_end + 1) - IF( _xlpm.lin_start &gt; 0, _xlpm.lin_start, ROWS(_xlpm.matrix) + _xlpm.lin_start + 1) + 1,
1,
IF( _xlpm.lin_start &gt; 0, _xlpm.lin_start, ROWS(_xlpm.matrix) + _xlpm.lin_start + 1) ),
_xlpm.idxCols, _xlfn.SEQUENCE(
1,
IF( _xlpm.col_end &gt; 0, _xlpm.col_end, COLUMNS(_xlpm.matrix) + _xlpm.col_end + 1) - IF( _xlpm.col_start &gt; 0, _xlpm.col_start, COLUMNS(_xlpm.matrix) + _xlpm.col_start + 1) + 1,
IF( _xlpm.col_start &gt; 0, _xlpm.col_start, COLUMNS(_xlpm.matrix) + _xlpm.col_start + 1) ),
IF(_xlfn.ISOMITTED(_xlpm.patch), IF(_xlpm.remove=FALSE, INDEX(_xlpm.matrix, _xlpm.idxLins,_xlpm.idxCols), INDEX(_xlpm.matrix, IFERROR(COMPLEMENT(_xlpm.idxLins,1,ROWS(_xlpm.matrix)), _xlpm.idxLins), IFERROR(TRANSPOSE(COMPLEMENT(_xlpm.idxCols,1,COLUMNS(_xlpm.matrix))),_xlpm.idxCols)) ),
_xlfn.LET(
_xlpm.patchLeft, IF(_xlpm.col_start-1 &gt;=1,HORZCAT(  M(_xlpm.matrix, "[" &amp; (_xlpm.lin_start) &amp; ":" &amp; (_xlpm.lin_end) &amp; ",1:" &amp; (_xlpm.col_start-1) &amp; "]"), _xlpm.patch), _xlpm.patch ),
_xlpm.patchRight, IF(_xlpm.col_end+1 &lt;= COLUMNS(_xlpm.matrix), HORZCAT(_xlpm.patchLeft, M(_xlpm.matrix, "[" &amp; (_xlpm.lin_start) &amp; ":" &amp; (_xlpm.lin_end) &amp; "," &amp; (_xlpm.col_end+1) &amp; ":]") ), _xlpm.patchLeft),
_xlpm.patchUpper, IF(_xlpm.lin_start-1 &gt;= 1, VERTCAT( M(_xlpm.matrix, "[1:" &amp; (_xlpm.lin_start-1) &amp; ",:]"), _xlpm.patchRight), _xlpm.patchRight),
_xlpm.patchLower, IF(_xlpm.lin_end+1 &lt;= ROWS(_xlpm.matrix), VERTCAT( _xlpm.patchUpper, M(_xlpm.matrix, "[" &amp; (_xlpm.lin_end+1) &amp; ":,:]") ), _xlpm.patchUpper),
IF( AND( ROWS(_xlpm.patch) = (_xlpm.lin_end - _xlpm.lin_start + 1), COLUMNS(_xlpm.patch) = (_xlpm.col_end - _xlpm.col_start + 1) ), _xlpm.patchLower,
"# Patch range size is different" ))))
)($A$6:$C$17,2,,1,2)</f>
        <v>2</v>
      </c>
      <c r="I6">
        <v>200</v>
      </c>
      <c r="K6" cm="1">
        <f t="array" ref="K6:M17">_xlfn.LAMBDA(_xlpm.matrix,_xlop.lin_start,_xlop.lin_end,_xlop.col_start,_xlop.col_end,_xlop.patch,_xlop.remove,
_xlfn.LET(
_xlpm.lin_start, IF( OR( _xlfn.ISOMITTED(_xlpm.lin_start), _xlpm.lin_start=0), 1, IF(ISTEXT(_xlpm.lin_start), MATCH(_xlpm.lin_start,INDEX(_xlpm.matrix,0,1),0),_xlpm.lin_start)),
_xlpm.lin_end, IF( OR(_xlfn.ISOMITTED(_xlpm.lin_end), _xlpm.lin_end=0), ROWS(_xlpm.matrix), IF(ISTEXT(_xlpm.lin_end),MATCH(_xlpm.lin_end,INDEX(_xlpm.matrix,0,1),0),_xlpm.lin_end)),
_xlpm.col_start, IF(OR(_xlfn.ISOMITTED(_xlpm.col_start), _xlpm.col_start=0),1, IF(ISTEXT(_xlpm.col_start), MATCH(_xlpm.col_start,INDEX(_xlpm.matrix,1,0),0),_xlpm.col_start)),
_xlpm.col_end, IF( OR(_xlfn.ISOMITTED(_xlpm.col_end), _xlpm.col_end=0), COLUMNS(_xlpm.matrix), IF(ISTEXT(_xlpm.col_end), MATCH(_xlpm.col_end,INDEX(_xlpm.matrix,1,0),0),_xlpm.col_end)),
_xlpm.remove, IF( OR(_xlfn.ISOMITTED(_xlpm.remove), _xlpm.remove=0), FALSE, _xlpm.remove),
_xlpm.idxLins, _xlfn.SEQUENCE(
IF( _xlpm.lin_end &gt; 0, _xlpm.lin_end, ROWS(_xlpm.matrix) + _xlpm.lin_end + 1) - IF( _xlpm.lin_start &gt; 0, _xlpm.lin_start, ROWS(_xlpm.matrix) + _xlpm.lin_start + 1) + 1,
1,
IF( _xlpm.lin_start &gt; 0, _xlpm.lin_start, ROWS(_xlpm.matrix) + _xlpm.lin_start + 1) ),
_xlpm.idxCols, _xlfn.SEQUENCE(
1,
IF( _xlpm.col_end &gt; 0, _xlpm.col_end, COLUMNS(_xlpm.matrix) + _xlpm.col_end + 1) - IF( _xlpm.col_start &gt; 0, _xlpm.col_start, COLUMNS(_xlpm.matrix) + _xlpm.col_start + 1) + 1,
IF( _xlpm.col_start &gt; 0, _xlpm.col_start, COLUMNS(_xlpm.matrix) + _xlpm.col_start + 1) ),
IF(_xlfn.ISOMITTED(_xlpm.patch), IF(_xlpm.remove=FALSE, INDEX(_xlpm.matrix, _xlpm.idxLins,_xlpm.idxCols), INDEX(_xlpm.matrix, IFERROR(COMPLEMENT(_xlpm.idxLins,1,ROWS(_xlpm.matrix)), _xlpm.idxLins), IFERROR(TRANSPOSE(COMPLEMENT(_xlpm.idxCols,1,COLUMNS(_xlpm.matrix))),_xlpm.idxCols)) ),
_xlfn.LET(
_xlpm.patchLeft, IF(_xlpm.col_start-1 &gt;=1,HORZCAT(  M(_xlpm.matrix, "[" &amp; (_xlpm.lin_start) &amp; ":" &amp; (_xlpm.lin_end) &amp; ",1:" &amp; (_xlpm.col_start-1) &amp; "]"), _xlpm.patch), _xlpm.patch ),
_xlpm.patchRight, IF(_xlpm.col_end+1 &lt;= COLUMNS(_xlpm.matrix), HORZCAT(_xlpm.patchLeft, M(_xlpm.matrix, "[" &amp; (_xlpm.lin_start) &amp; ":" &amp; (_xlpm.lin_end) &amp; "," &amp; (_xlpm.col_end+1) &amp; ":]") ), _xlpm.patchLeft),
_xlpm.patchUpper, IF(_xlpm.lin_start-1 &gt;= 1, VERTCAT( M(_xlpm.matrix, "[1:" &amp; (_xlpm.lin_start-1) &amp; ",:]"), _xlpm.patchRight), _xlpm.patchRight),
_xlpm.patchLower, IF(_xlpm.lin_end+1 &lt;= ROWS(_xlpm.matrix), VERTCAT( _xlpm.patchUpper, M(_xlpm.matrix, "[" &amp; (_xlpm.lin_end+1) &amp; ":,:]") ), _xlpm.patchUpper),
IF( AND( ROWS(_xlpm.patch) = (_xlpm.lin_end - _xlpm.lin_start + 1), COLUMNS(_xlpm.patch) = (_xlpm.col_end - _xlpm.col_start + 1) ), _xlpm.patchLower,
"# Patch range size is different" ))))
)($A$6:$C$17,2,4,1,2,A15:B17)</f>
        <v>1</v>
      </c>
      <c r="L6">
        <v>100</v>
      </c>
      <c r="M6">
        <v>1000</v>
      </c>
      <c r="O6" cm="1">
        <f t="array" ref="O6:Q14">_xlfn.LAMBDA(_xlpm.matrix,_xlop.lin_start,_xlop.lin_end,_xlop.col_start,_xlop.col_end,_xlop.patch,_xlop.remove,
_xlfn.LET(
_xlpm.lin_start, IF( OR( _xlfn.ISOMITTED(_xlpm.lin_start), _xlpm.lin_start=0), 1, IF(ISTEXT(_xlpm.lin_start), MATCH(_xlpm.lin_start,INDEX(_xlpm.matrix,0,1),0),_xlpm.lin_start)),
_xlpm.lin_end, IF( OR(_xlfn.ISOMITTED(_xlpm.lin_end), _xlpm.lin_end=0), ROWS(_xlpm.matrix), IF(ISTEXT(_xlpm.lin_end),MATCH(_xlpm.lin_end,INDEX(_xlpm.matrix,0,1),0),_xlpm.lin_end)),
_xlpm.col_start, IF(OR(_xlfn.ISOMITTED(_xlpm.col_start), _xlpm.col_start=0),1, IF(ISTEXT(_xlpm.col_start), MATCH(_xlpm.col_start,INDEX(_xlpm.matrix,1,0),0),_xlpm.col_start)),
_xlpm.col_end, IF( OR(_xlfn.ISOMITTED(_xlpm.col_end), _xlpm.col_end=0), COLUMNS(_xlpm.matrix), IF(ISTEXT(_xlpm.col_end), MATCH(_xlpm.col_end,INDEX(_xlpm.matrix,1,0),0),_xlpm.col_end)),
_xlpm.remove, IF( OR(_xlfn.ISOMITTED(_xlpm.remove), _xlpm.remove=0), FALSE, _xlpm.remove),
_xlpm.idxLins, _xlfn.SEQUENCE(
IF( _xlpm.lin_end &gt; 0, _xlpm.lin_end, ROWS(_xlpm.matrix) + _xlpm.lin_end + 1) - IF( _xlpm.lin_start &gt; 0, _xlpm.lin_start, ROWS(_xlpm.matrix) + _xlpm.lin_start + 1) + 1,
1,
IF( _xlpm.lin_start &gt; 0, _xlpm.lin_start, ROWS(_xlpm.matrix) + _xlpm.lin_start + 1) ),
_xlpm.idxCols, _xlfn.SEQUENCE(
1,
IF( _xlpm.col_end &gt; 0, _xlpm.col_end, COLUMNS(_xlpm.matrix) + _xlpm.col_end + 1) - IF( _xlpm.col_start &gt; 0, _xlpm.col_start, COLUMNS(_xlpm.matrix) + _xlpm.col_start + 1) + 1,
IF( _xlpm.col_start &gt; 0, _xlpm.col_start, COLUMNS(_xlpm.matrix) + _xlpm.col_start + 1) ),
IF(_xlfn.ISOMITTED(_xlpm.patch), IF(_xlpm.remove=FALSE, INDEX(_xlpm.matrix, _xlpm.idxLins,_xlpm.idxCols), INDEX(_xlpm.matrix, IFERROR(COMPLEMENT(_xlpm.idxLins,1,ROWS(_xlpm.matrix)), _xlpm.idxLins), IFERROR(TRANSPOSE(COMPLEMENT(_xlpm.idxCols,1,COLUMNS(_xlpm.matrix))),_xlpm.idxCols)) ),
_xlfn.LET(
_xlpm.patchLeft, IF(_xlpm.col_start-1 &gt;=1,HORZCAT(  M(_xlpm.matrix, "[" &amp; (_xlpm.lin_start) &amp; ":" &amp; (_xlpm.lin_end) &amp; ",1:" &amp; (_xlpm.col_start-1) &amp; "]"), _xlpm.patch), _xlpm.patch ),
_xlpm.patchRight, IF(_xlpm.col_end+1 &lt;= COLUMNS(_xlpm.matrix), HORZCAT(_xlpm.patchLeft, M(_xlpm.matrix, "[" &amp; (_xlpm.lin_start) &amp; ":" &amp; (_xlpm.lin_end) &amp; "," &amp; (_xlpm.col_end+1) &amp; ":]") ), _xlpm.patchLeft),
_xlpm.patchUpper, IF(_xlpm.lin_start-1 &gt;= 1, VERTCAT( M(_xlpm.matrix, "[1:" &amp; (_xlpm.lin_start-1) &amp; ",:]"), _xlpm.patchRight), _xlpm.patchRight),
_xlpm.patchLower, IF(_xlpm.lin_end+1 &lt;= ROWS(_xlpm.matrix), VERTCAT( _xlpm.patchUpper, M(_xlpm.matrix, "[" &amp; (_xlpm.lin_end+1) &amp; ":,:]") ), _xlpm.patchUpper),
IF( AND( ROWS(_xlpm.patch) = (_xlpm.lin_end - _xlpm.lin_start + 1), COLUMNS(_xlpm.patch) = (_xlpm.col_end - _xlpm.col_start + 1) ), _xlpm.patchLower,
"# Patch range size is different" ))))
)($A$6:$C$17,2,4,,,,TRUE)</f>
        <v>1</v>
      </c>
      <c r="P6">
        <v>100</v>
      </c>
      <c r="Q6">
        <v>1000</v>
      </c>
      <c r="S6" t="str" cm="1">
        <f t="array" ref="S6:T18">_xlfn.LAMBDA(_xlpm.matrix,_xlop.lin_start,_xlop.lin_end,_xlop.col_start,_xlop.col_end,_xlop.patch,_xlop.remove,
_xlfn.LET(
_xlpm.lin_start, IF( OR( _xlfn.ISOMITTED(_xlpm.lin_start), _xlpm.lin_start=0), 1, IF(ISTEXT(_xlpm.lin_start), MATCH(_xlpm.lin_start,INDEX(_xlpm.matrix,0,1),0),_xlpm.lin_start)),
_xlpm.lin_end, IF( OR(_xlfn.ISOMITTED(_xlpm.lin_end), _xlpm.lin_end=0), ROWS(_xlpm.matrix), IF(ISTEXT(_xlpm.lin_end),MATCH(_xlpm.lin_end,INDEX(_xlpm.matrix,0,1),0),_xlpm.lin_end)),
_xlpm.col_start, IF(OR(_xlfn.ISOMITTED(_xlpm.col_start), _xlpm.col_start=0),1, IF(ISTEXT(_xlpm.col_start), MATCH(_xlpm.col_start,INDEX(_xlpm.matrix,1,0),0),_xlpm.col_start)),
_xlpm.col_end, IF( OR(_xlfn.ISOMITTED(_xlpm.col_end), _xlpm.col_end=0), COLUMNS(_xlpm.matrix), IF(ISTEXT(_xlpm.col_end), MATCH(_xlpm.col_end,INDEX(_xlpm.matrix,1,0),0),_xlpm.col_end)),
_xlpm.remove, IF( OR(_xlfn.ISOMITTED(_xlpm.remove), _xlpm.remove=0), FALSE, _xlpm.remove),
_xlpm.idxLins, _xlfn.SEQUENCE(
IF( _xlpm.lin_end &gt; 0, _xlpm.lin_end, ROWS(_xlpm.matrix) + _xlpm.lin_end + 1) - IF( _xlpm.lin_start &gt; 0, _xlpm.lin_start, ROWS(_xlpm.matrix) + _xlpm.lin_start + 1) + 1,
1,
IF( _xlpm.lin_start &gt; 0, _xlpm.lin_start, ROWS(_xlpm.matrix) + _xlpm.lin_start + 1) ),
_xlpm.idxCols, _xlfn.SEQUENCE(
1,
IF( _xlpm.col_end &gt; 0, _xlpm.col_end, COLUMNS(_xlpm.matrix) + _xlpm.col_end + 1) - IF( _xlpm.col_start &gt; 0, _xlpm.col_start, COLUMNS(_xlpm.matrix) + _xlpm.col_start + 1) + 1,
IF( _xlpm.col_start &gt; 0, _xlpm.col_start, COLUMNS(_xlpm.matrix) + _xlpm.col_start + 1) ),
IF(_xlfn.ISOMITTED(_xlpm.patch), IF(_xlpm.remove=FALSE, INDEX(_xlpm.matrix, _xlpm.idxLins,_xlpm.idxCols), INDEX(_xlpm.matrix, IFERROR(COMPLEMENT(_xlpm.idxLins,1,ROWS(_xlpm.matrix)), _xlpm.idxLins), IFERROR(TRANSPOSE(COMPLEMENT(_xlpm.idxCols,1,COLUMNS(_xlpm.matrix))),_xlpm.idxCols)) ),
_xlfn.LET(
_xlpm.patchLeft, IF(_xlpm.col_start-1 &gt;=1,HORZCAT(  M(_xlpm.matrix, "[" &amp; (_xlpm.lin_start) &amp; ":" &amp; (_xlpm.lin_end) &amp; ",1:" &amp; (_xlpm.col_start-1) &amp; "]"), _xlpm.patch), _xlpm.patch ),
_xlpm.patchRight, IF(_xlpm.col_end+1 &lt;= COLUMNS(_xlpm.matrix), HORZCAT(_xlpm.patchLeft, M(_xlpm.matrix, "[" &amp; (_xlpm.lin_start) &amp; ":" &amp; (_xlpm.lin_end) &amp; "," &amp; (_xlpm.col_end+1) &amp; ":]") ), _xlpm.patchLeft),
_xlpm.patchUpper, IF(_xlpm.lin_start-1 &gt;= 1, VERTCAT( M(_xlpm.matrix, "[1:" &amp; (_xlpm.lin_start-1) &amp; ",:]"), _xlpm.patchRight), _xlpm.patchRight),
_xlpm.patchLower, IF(_xlpm.lin_end+1 &lt;= ROWS(_xlpm.matrix), VERTCAT( _xlpm.patchUpper, M(_xlpm.matrix, "[" &amp; (_xlpm.lin_end+1) &amp; ":,:]") ), _xlpm.patchUpper),
IF( AND( ROWS(_xlpm.patch) = (_xlpm.lin_end - _xlpm.lin_start + 1), COLUMNS(_xlpm.patch) = (_xlpm.col_end - _xlpm.col_start + 1) ), _xlpm.patchLower,
"# Patch range size is different" ))))
)($A$5:$C$17,,,"y","z")</f>
        <v>y</v>
      </c>
      <c r="T6" t="str">
        <v>z</v>
      </c>
      <c r="W6" cm="1">
        <f t="array" ref="W6:X8">_xlfn.LAMBDA(_xlpm.matrix,_xlpm.ref,_xlop.patch,
_xlfn.LET(_xlpm.ref, MID(_xlpm.ref,2,LEN(_xlpm.ref)-2),
_xlpm.idxs, _xludf.SPLIT(_xlpm.ref,","),
_xlpm.idxRows, IF( LEN(_xludf.SPLIT( INDEX(_xlpm.idxs,1), ":")) = 0, _xludf.SPLIT( INDEX(_xlpm.idxs,1), ":") * #VALUE!, IFERROR(VALUE(_xludf.SPLIT( INDEX(_xlpm.idxs,1), ":")), _xludf.SPLIT( INDEX(_xlpm.idxs,1), ":")) ),
_xlpm.idxRowLB, IF( ISERR( INDEX(_xlpm.idxRows,1,1) ), 1, IF(INDEX(_xlpm.idxRows,1,1) = 0, 1, INDEX(_xlpm.idxRows,1,1) ) ),
_xlpm.idxRowUB, IF( COLUMNS(_xlpm.idxRows) = 2, IF( ISERR( INDEX(_xlpm.idxRows,1,2) ), ROWS(_xlpm.matrix), IF( INDEX(_xlpm.idxRows,1,2) = 0, ROWS(_xlpm.matrix), INDEX(_xlpm.idxRows,1,2) ) ), IF(INDEX(_xlpm.idxRows,1,1)=0,ROWS(_xlpm.matrix),_xlpm.idxRowLB) ),
_xlpm.idxCols, IF( LEN(_xludf.SPLIT( INDEX(_xlpm.idxs,2), ":")) = 0, _xludf.SPLIT( INDEX(_xlpm.idxs,2), ":") * #VALUE!, IFERROR(VALUE( _xludf.SPLIT( INDEX(_xlpm.idxs,2), ":") ), _xludf.SPLIT( INDEX(_xlpm.idxs,2), ":")) ),
_xlpm.idxColLB, IF( ISERR( INDEX(_xlpm.idxCols,1,1) ), 1, IF( INDEX(_xlpm.idxCols,1,1) = 0, 1, INDEX(_xlpm.idxCols,1,1) ) ),
_xlpm.idxColUB, IF( COLUMNS(_xlpm.idxCols) = 2, IF( ISERR( INDEX(_xlpm.idxCols,1,2) ), COLUMNS(_xlpm.matrix), IF( INDEX(_xlpm.idxCols,1,2) = 0, COLUMNS(_xlpm.matrix), INDEX(_xlpm.idxCols,1,2) ) ), IF(INDEX(_xlpm.idxCols,1,1)=0,COLUMNS(_xlpm.matrix),_xlpm.idxColLB) ),
SLICE(_xlpm.matrix,_xlpm.idxRowLB,_xlpm.idxRowUB,_xlpm.idxColLB,_xlpm.idxColUB,_xlpm.patch,FALSE))
)($A$6:$C$17,"[2:4,1:2]")</f>
        <v>2</v>
      </c>
      <c r="X6">
        <v>200</v>
      </c>
      <c r="Z6" cm="1">
        <f t="array" ref="Z6:AA16">_xlfn.LAMBDA(_xlpm.matrix,_xlpm.ref,_xlop.patch,
_xlfn.LET(_xlpm.ref, MID(_xlpm.ref,2,LEN(_xlpm.ref)-2),
_xlpm.idxs, _xludf.SPLIT(_xlpm.ref,","),
_xlpm.idxRows, IF( LEN(_xludf.SPLIT( INDEX(_xlpm.idxs,1), ":")) = 0, _xludf.SPLIT( INDEX(_xlpm.idxs,1), ":") * #VALUE!, IFERROR(VALUE(_xludf.SPLIT( INDEX(_xlpm.idxs,1), ":")), _xludf.SPLIT( INDEX(_xlpm.idxs,1), ":")) ),
_xlpm.idxRowLB, IF( ISERR( INDEX(_xlpm.idxRows,1,1) ), 1, IF(INDEX(_xlpm.idxRows,1,1) = 0, 1, INDEX(_xlpm.idxRows,1,1) ) ),
_xlpm.idxRowUB, IF( COLUMNS(_xlpm.idxRows) = 2, IF( ISERR( INDEX(_xlpm.idxRows,1,2) ), ROWS(_xlpm.matrix), IF( INDEX(_xlpm.idxRows,1,2) = 0, ROWS(_xlpm.matrix), INDEX(_xlpm.idxRows,1,2) ) ), IF(INDEX(_xlpm.idxRows,1,1)=0,ROWS(_xlpm.matrix),_xlpm.idxRowLB) ),
_xlpm.idxCols, IF( LEN(_xludf.SPLIT( INDEX(_xlpm.idxs,2), ":")) = 0, _xludf.SPLIT( INDEX(_xlpm.idxs,2), ":") * #VALUE!, IFERROR(VALUE( _xludf.SPLIT( INDEX(_xlpm.idxs,2), ":") ), _xludf.SPLIT( INDEX(_xlpm.idxs,2), ":")) ),
_xlpm.idxColLB, IF( ISERR( INDEX(_xlpm.idxCols,1,1) ), 1, IF( INDEX(_xlpm.idxCols,1,1) = 0, 1, INDEX(_xlpm.idxCols,1,1) ) ),
_xlpm.idxColUB, IF( COLUMNS(_xlpm.idxCols) = 2, IF( ISERR( INDEX(_xlpm.idxCols,1,2) ), COLUMNS(_xlpm.matrix), IF( INDEX(_xlpm.idxCols,1,2) = 0, COLUMNS(_xlpm.matrix), INDEX(_xlpm.idxCols,1,2) ) ), IF(INDEX(_xlpm.idxCols,1,1)=0,COLUMNS(_xlpm.matrix),_xlpm.idxColLB) ),
SLICE(_xlpm.matrix,_xlpm.idxRowLB,_xlpm.idxRowUB,_xlpm.idxColLB,_xlpm.idxColUB,_xlpm.patch,FALSE))
)($A$6:$C$17,"[2:,1:2]")</f>
        <v>2</v>
      </c>
      <c r="AA6">
        <v>200</v>
      </c>
      <c r="AC6" cm="1">
        <f t="array" ref="AC6:AE17">_xlfn.LAMBDA(_xlpm.matrix,_xlpm.ref,_xlop.patch,
_xlfn.LET(_xlpm.ref, MID(_xlpm.ref,2,LEN(_xlpm.ref)-2),
_xlpm.idxs, _xludf.SPLIT(_xlpm.ref,","),
_xlpm.idxRows, IF( LEN(_xludf.SPLIT( INDEX(_xlpm.idxs,1), ":")) = 0, _xludf.SPLIT( INDEX(_xlpm.idxs,1), ":") * #VALUE!, IFERROR(VALUE(_xludf.SPLIT( INDEX(_xlpm.idxs,1), ":")), _xludf.SPLIT( INDEX(_xlpm.idxs,1), ":")) ),
_xlpm.idxRowLB, IF( ISERR( INDEX(_xlpm.idxRows,1,1) ), 1, IF(INDEX(_xlpm.idxRows,1,1) = 0, 1, INDEX(_xlpm.idxRows,1,1) ) ),
_xlpm.idxRowUB, IF( COLUMNS(_xlpm.idxRows) = 2, IF( ISERR( INDEX(_xlpm.idxRows,1,2) ), ROWS(_xlpm.matrix), IF( INDEX(_xlpm.idxRows,1,2) = 0, ROWS(_xlpm.matrix), INDEX(_xlpm.idxRows,1,2) ) ), IF(INDEX(_xlpm.idxRows,1,1)=0,ROWS(_xlpm.matrix),_xlpm.idxRowLB) ),
_xlpm.idxCols, IF( LEN(_xludf.SPLIT( INDEX(_xlpm.idxs,2), ":")) = 0, _xludf.SPLIT( INDEX(_xlpm.idxs,2), ":") * #VALUE!, IFERROR(VALUE( _xludf.SPLIT( INDEX(_xlpm.idxs,2), ":") ), _xludf.SPLIT( INDEX(_xlpm.idxs,2), ":")) ),
_xlpm.idxColLB, IF( ISERR( INDEX(_xlpm.idxCols,1,1) ), 1, IF( INDEX(_xlpm.idxCols,1,1) = 0, 1, INDEX(_xlpm.idxCols,1,1) ) ),
_xlpm.idxColUB, IF( COLUMNS(_xlpm.idxCols) = 2, IF( ISERR( INDEX(_xlpm.idxCols,1,2) ), COLUMNS(_xlpm.matrix), IF( INDEX(_xlpm.idxCols,1,2) = 0, COLUMNS(_xlpm.matrix), INDEX(_xlpm.idxCols,1,2) ) ), IF(INDEX(_xlpm.idxCols,1,1)=0,COLUMNS(_xlpm.matrix),_xlpm.idxColLB) ),
SLICE(_xlpm.matrix,_xlpm.idxRowLB,_xlpm.idxRowUB,_xlpm.idxColLB,_xlpm.idxColUB,_xlpm.patch,FALSE))
)($A$6:$C$17,"[2:,1]",$C$7:$C$17)</f>
        <v>1</v>
      </c>
      <c r="AD6">
        <v>100</v>
      </c>
      <c r="AE6">
        <v>1000</v>
      </c>
      <c r="AG6" t="str" cm="1">
        <f t="array" ref="AG6:AH18">_xlfn.LAMBDA(_xlpm.matrix,_xlpm.ref,_xlop.patch,
_xlfn.LET(_xlpm.ref, MID(_xlpm.ref,2,LEN(_xlpm.ref)-2),
_xlpm.idxs, _xludf.SPLIT(_xlpm.ref,","),
_xlpm.idxRows, IF( LEN(_xludf.SPLIT( INDEX(_xlpm.idxs,1), ":")) = 0, _xludf.SPLIT( INDEX(_xlpm.idxs,1), ":") * #VALUE!, IFERROR(VALUE(_xludf.SPLIT( INDEX(_xlpm.idxs,1), ":")), _xludf.SPLIT( INDEX(_xlpm.idxs,1), ":")) ),
_xlpm.idxRowLB, IF( ISERR( INDEX(_xlpm.idxRows,1,1) ), 1, IF(INDEX(_xlpm.idxRows,1,1) = 0, 1, INDEX(_xlpm.idxRows,1,1) ) ),
_xlpm.idxRowUB, IF( COLUMNS(_xlpm.idxRows) = 2, IF( ISERR( INDEX(_xlpm.idxRows,1,2) ), ROWS(_xlpm.matrix), IF( INDEX(_xlpm.idxRows,1,2) = 0, ROWS(_xlpm.matrix), INDEX(_xlpm.idxRows,1,2) ) ), IF(INDEX(_xlpm.idxRows,1,1)=0,ROWS(_xlpm.matrix),_xlpm.idxRowLB) ),
_xlpm.idxCols, IF( LEN(_xludf.SPLIT( INDEX(_xlpm.idxs,2), ":")) = 0, _xludf.SPLIT( INDEX(_xlpm.idxs,2), ":") * #VALUE!, IFERROR(VALUE( _xludf.SPLIT( INDEX(_xlpm.idxs,2), ":") ), _xludf.SPLIT( INDEX(_xlpm.idxs,2), ":")) ),
_xlpm.idxColLB, IF( ISERR( INDEX(_xlpm.idxCols,1,1) ), 1, IF( INDEX(_xlpm.idxCols,1,1) = 0, 1, INDEX(_xlpm.idxCols,1,1) ) ),
_xlpm.idxColUB, IF( COLUMNS(_xlpm.idxCols) = 2, IF( ISERR( INDEX(_xlpm.idxCols,1,2) ), COLUMNS(_xlpm.matrix), IF( INDEX(_xlpm.idxCols,1,2) = 0, COLUMNS(_xlpm.matrix), INDEX(_xlpm.idxCols,1,2) ) ), IF(INDEX(_xlpm.idxCols,1,1)=0,COLUMNS(_xlpm.matrix),_xlpm.idxColLB) ),
SLICE(_xlpm.matrix,_xlpm.idxRowLB,_xlpm.idxRowUB,_xlpm.idxColLB,_xlpm.idxColUB,_xlpm.patch,FALSE))
)($A$5:$C$17,"[1:,y:z]")</f>
        <v>y</v>
      </c>
      <c r="AH6" t="str">
        <v>z</v>
      </c>
      <c r="AK6" cm="1">
        <f t="array" ref="AK6">_xlfn.LAMBDA(_xlpm.matrix,_xlpm.position,_xlop.patch,_xlop.remove,_xlop.rowsToCols,
_xlfn.LET(
_xlpm.nRows, ROWS(_xlpm.matrix), _xlpm.nCols, COLUMNS(_xlpm.matrix),
_xlpm.remove, IF(_xlfn.ISOMITTED(_xlpm.remove), FALSE,_xlpm.remove),
_xlpm.rowsToCols, IF(_xlfn.ISOMITTED(_xlpm.rowsToCols), TRUE, _xlpm.rowsToCols),
IF(_xlfn.ISOMITTED(_xlpm.patch),
IF(_xlpm.remove=FALSE,
IF(AND(_xlpm.nRows&gt;1,_xlpm.nCols&gt;1),INDEX(VEC(_xlpm.matrix,_xlpm.rowsToCols),_xlpm.position,1), IF(_xlpm.nRows&gt;1, INDEX(_xlpm.matrix,_xlpm.position,1), INDEX(_xlpm.matrix,1,_xlpm.position) )),
IF(AND(_xlpm.nRows&gt;1,_xlpm.nCols&gt;1),SLICE(VEC(_xlpm.matrix,_xlpm.rowsToCols),_xlpm.position,_xlpm.position,1,1,,TRUE), IF(_xlpm.nRows&gt;1, SLICE(_xlpm.matrix,_xlpm.position,_xlpm.position,1,1,,TRUE), SLICE(_xlpm.matrix,1,1,_xlpm.position,_xlpm.position,,TRUE) ))
),
IF(AND(_xlpm.nRows&gt;1,_xlpm.nCols&gt;1),SLICE(VEC(_xlpm.matrix,_xlpm.rowsToCols),_xlpm.position,_xlpm.position,1,1,_xlpm.patch), IF(_xlpm.nRows&gt;1, SLICE(_xlpm.matrix,_xlpm.position,_xlpm.position,1,1,_xlpm.patch), SLICE(_xlpm.matrix,1,1,_xlpm.position,_xlpm.position,_xlpm.patch) ))
)))($A$6:$C$17,2,,FALSE,FALSE)</f>
        <v>2</v>
      </c>
      <c r="AN6" cm="1">
        <f t="array" ref="AN6:AN17">_xlfn.LAMBDA(_xlpm.matrix,_xlpm.position,_xlop.patch,_xlop.remove,_xlop.rowsToCols,
_xlfn.LET(
_xlpm.nRows, ROWS(_xlpm.matrix), _xlpm.nCols, COLUMNS(_xlpm.matrix),
_xlpm.remove, IF(_xlfn.ISOMITTED(_xlpm.remove), FALSE,_xlpm.remove),
_xlpm.rowsToCols, IF(_xlfn.ISOMITTED(_xlpm.rowsToCols), TRUE, _xlpm.rowsToCols),
IF(_xlfn.ISOMITTED(_xlpm.patch),
IF(_xlpm.remove=FALSE,
IF(AND(_xlpm.nRows&gt;1,_xlpm.nCols&gt;1),INDEX(VEC(_xlpm.matrix,_xlpm.rowsToCols),_xlpm.position,1), IF(_xlpm.nRows&gt;1, INDEX(_xlpm.matrix,_xlpm.position,1), INDEX(_xlpm.matrix,1,_xlpm.position) )),
IF(AND(_xlpm.nRows&gt;1,_xlpm.nCols&gt;1),SLICE(VEC(_xlpm.matrix,_xlpm.rowsToCols),_xlpm.position,_xlpm.position,1,1,,TRUE), IF(_xlpm.nRows&gt;1, SLICE(_xlpm.matrix,_xlpm.position,_xlpm.position,1,1,,TRUE), SLICE(_xlpm.matrix,1,1,_xlpm.position,_xlpm.position,,TRUE) ))
),
IF(AND(_xlpm.nRows&gt;1,_xlpm.nCols&gt;1),SLICE(VEC(_xlpm.matrix,_xlpm.rowsToCols),_xlpm.position,_xlpm.position,1,1,_xlpm.patch), IF(_xlpm.nRows&gt;1, SLICE(_xlpm.matrix,_xlpm.position,_xlpm.position,1,1,_xlpm.patch), SLICE(_xlpm.matrix,1,1,_xlpm.position,_xlpm.position,_xlpm.patch) ))
)))($A$6:$A$17,2,"XXX",FALSE,FALSE)</f>
        <v>1</v>
      </c>
      <c r="AQ6" cm="1">
        <f t="array" ref="AQ6:AQ16">_xlfn.LAMBDA(_xlpm.matrix,_xlpm.position,_xlop.patch,_xlop.remove,_xlop.rowsToCols,
_xlfn.LET(
_xlpm.nRows, ROWS(_xlpm.matrix), _xlpm.nCols, COLUMNS(_xlpm.matrix),
_xlpm.remove, IF(_xlfn.ISOMITTED(_xlpm.remove), FALSE,_xlpm.remove),
_xlpm.rowsToCols, IF(_xlfn.ISOMITTED(_xlpm.rowsToCols), TRUE, _xlpm.rowsToCols),
IF(_xlfn.ISOMITTED(_xlpm.patch),
IF(_xlpm.remove=FALSE,
IF(AND(_xlpm.nRows&gt;1,_xlpm.nCols&gt;1),INDEX(VEC(_xlpm.matrix,_xlpm.rowsToCols),_xlpm.position,1), IF(_xlpm.nRows&gt;1, INDEX(_xlpm.matrix,_xlpm.position,1), INDEX(_xlpm.matrix,1,_xlpm.position) )),
IF(AND(_xlpm.nRows&gt;1,_xlpm.nCols&gt;1),SLICE(VEC(_xlpm.matrix,_xlpm.rowsToCols),_xlpm.position,_xlpm.position,1,1,,TRUE), IF(_xlpm.nRows&gt;1, SLICE(_xlpm.matrix,_xlpm.position,_xlpm.position,1,1,,TRUE), SLICE(_xlpm.matrix,1,1,_xlpm.position,_xlpm.position,,TRUE) ))
),
IF(AND(_xlpm.nRows&gt;1,_xlpm.nCols&gt;1),SLICE(VEC(_xlpm.matrix,_xlpm.rowsToCols),_xlpm.position,_xlpm.position,1,1,_xlpm.patch), IF(_xlpm.nRows&gt;1, SLICE(_xlpm.matrix,_xlpm.position,_xlpm.position,1,1,_xlpm.patch), SLICE(_xlpm.matrix,1,1,_xlpm.position,_xlpm.position,_xlpm.patch) ))
)))($A$6:$A$17,2,,TRUE,FALSE)</f>
        <v>1</v>
      </c>
      <c r="AT6" cm="1">
        <f t="array" ref="AT6:AU11">_xlfn.LAMBDA(_xlpm.matrixA,_xlpm.matrixB,
_xlfn.LET(
_xlpm.LinsA, IFERROR(ROWS(_xlpm.matrixA), 1),
_xlpm.LinsB, IFERROR(ROWS(_xlpm.matrixB), 1),
_xlpm.ColsA, IFERROR(COLUMNS(_xlpm.matrixA), 1),
_xlpm.ColsB, IFERROR(COLUMNS(_xlpm.matrixB), 1),
_xlpm.DataA, INDEX(_xlpm.matrixA, _xlfn.SEQUENCE(_xlpm.LinsA), _xlfn.SEQUENCE(1,MAX(_xlpm.ColsA,_xlpm.ColsB)) ),
_xlpm.DataB, INDEX(_xlpm.matrixB, _xlfn.SEQUENCE(_xlpm.LinsB), _xlfn.SEQUENCE(1,MAX(_xlpm.ColsA,_xlpm.ColsB)) ),
_xlpm.NumCols, COLUMNS(_xlpm.DataA),
_xlpm.SeqCol, _xlfn.SEQUENCE( _xlpm.LinsA + _xlpm.LinsB ),
_xlpm.SeqRow, _xlfn.SEQUENCE( 1, _xlpm.NumCols),
_xlfn.IFS(_xlfn.ISOMITTED(_xlpm.matrixA), _xlpm.matrixB, _xlfn.ISOMITTED(_xlpm.matrixB), _xlpm.matrixA, TRUE,
IF( _xlpm.SeqCol &lt;= _xlpm.LinsA, INDEX( _xlpm.DataA, _xlpm.SeqCol, _xlpm.SeqRow ), INDEX( _xlpm.DataB, _xlpm.SeqCol - _xlpm.LinsA, _xlpm.SeqRow ) ) ) )
)(A6:B8,A15:B17)</f>
        <v>1</v>
      </c>
      <c r="AU6">
        <v>100</v>
      </c>
      <c r="AW6" cm="1">
        <f t="array" ref="AW6:AY11">_xlfn.LAMBDA(_xlpm.matrixA,_xlpm.matrixB,
_xlfn.LET(
_xlpm.LinsA, IFERROR(ROWS(_xlpm.matrixA), 1),
_xlpm.LinsB, IFERROR(ROWS(_xlpm.matrixB), 1),
_xlpm.ColsA, IFERROR(COLUMNS(_xlpm.matrixA), 1),
_xlpm.ColsB, IFERROR(COLUMNS(_xlpm.matrixB), 1),
_xlpm.DataC, INDEX(_xlpm.matrixA, _xlfn.SEQUENCE(MAX(_xlpm.LinsA,_xlpm.LinsB)), _xlfn.SEQUENCE(1,_xlpm.ColsA) ),
_xlpm.DataD, INDEX(_xlpm.matrixB, _xlfn.SEQUENCE(MAX(_xlpm.LinsA,_xlpm.LinsB)), _xlfn.SEQUENCE(1,_xlpm.ColsB) ),
_xlpm.NumRows, ROWS(_xlpm.DataC),
_xlpm.SeqCol, _xlfn.SEQUENCE( _xlpm.NumRows ),
_xlpm.SeqRow, _xlfn.SEQUENCE(1, _xlpm.ColsA + _xlpm.ColsB),
_xlfn.IFS(_xlfn.ISOMITTED(_xlpm.matrixA), _xlpm.matrixB, _xlfn.ISOMITTED(_xlpm.matrixB), _xlpm.matrixA, TRUE,
IF( _xlpm.SeqRow &lt;= _xlpm.ColsA, INDEX( _xlpm.DataC, _xlpm.SeqCol,_xlpm.SeqRow), INDEX( _xlpm.DataD, _xlpm.SeqCol, _xlpm.SeqRow-_xlpm.ColsA ) ) ) )
)(A6:B11,C12:C17)</f>
        <v>1</v>
      </c>
      <c r="AX6">
        <v>100</v>
      </c>
      <c r="AY6">
        <v>7000</v>
      </c>
      <c r="BA6" cm="1">
        <f t="array" aca="1" ref="BA6:BC10" ca="1">_xlfn.LAMBDA(_xlpm.matrix,_xlpm.n,_xlop.dim,_xlop.replacement,
_xlfn.LET(
_xlpm.dim,IF(_xlfn.ISOMITTED(_xlpm.dim),1,_xlpm.dim),
_xlpm.replacement,IF(_xlfn.ISOMITTED(_xlpm.replacement),TRUE,_xlpm.replacement),
_xlpm.matrixClass, IF(_xlpm.dim=1,_xlpm.matrix,IF(_xlpm.dim=2,TRANSPOSE(_xlpm.matrix),#VALUE!)),
_xlpm.matrixSample, IF(_xlpm.replacement = TRUE,
SLICE(_xlfn.SORTBY(_xlpm.matrixClass, _xlfn.RANDARRAY(ROWS(_xlpm.matrixClass))), _xlfn.SEQUENCE(_xlpm.n), 0),
IF(_xlpm.replacement = FALSE,
SLICE(_xlpm.matrixClass, _xlfn.RANDARRAY(_xlpm.n,1,1,ROWS(_xlpm.matrixClass),TRUE), 0 ),
#VALUE!)),
IF(_xlpm.dim=1,_xlpm.matrixSample,TRANSPOSE(_xlpm.matrixSample))
))(A6:C17,5,1,FALSE)</f>
        <v>10</v>
      </c>
      <c r="BB6">
        <f ca="1"/>
        <v>1000</v>
      </c>
      <c r="BC6">
        <f ca="1"/>
        <v>10000</v>
      </c>
      <c r="BE6" cm="1">
        <f t="array" aca="1" ref="BE6:BF17" ca="1">_xlfn.LAMBDA(_xlpm.matrix,_xlpm.n,_xlop.dim,_xlop.replacement,
_xlfn.LET(
_xlpm.dim,IF(_xlfn.ISOMITTED(_xlpm.dim),1,_xlpm.dim),
_xlpm.replacement,IF(_xlfn.ISOMITTED(_xlpm.replacement),TRUE,_xlpm.replacement),
_xlpm.matrixClass, IF(_xlpm.dim=1,_xlpm.matrix,IF(_xlpm.dim=2,TRANSPOSE(_xlpm.matrix),#VALUE!)),
_xlpm.matrixSample, IF(_xlpm.replacement = TRUE,
SLICE(_xlfn.SORTBY(_xlpm.matrixClass, _xlfn.RANDARRAY(ROWS(_xlpm.matrixClass))), _xlfn.SEQUENCE(_xlpm.n), 0),
IF(_xlpm.replacement = FALSE,
SLICE(_xlpm.matrixClass, _xlfn.RANDARRAY(_xlpm.n,1,1,ROWS(_xlpm.matrixClass),TRUE), 0 ),
#VALUE!)),
IF(_xlpm.dim=1,_xlpm.matrixSample,TRANSPOSE(_xlpm.matrixSample))
))($A$6:$C$17,2,2,TRUE)</f>
        <v>1</v>
      </c>
      <c r="BF6">
        <f ca="1"/>
        <v>1000</v>
      </c>
      <c r="BI6" s="92" t="str" cm="1">
        <f t="array" ref="BI6:BK6">_xlfn.LAMBDA(_xlpm.txt,_xlpm.delim,_xlop.n,_xlop.list,
_xlfn.LET(
_xlpm.p,IFERROR(FIND(_xlpm.delim,_xlpm.txt),0),
_xlpm.delimLength, LEN(_xlpm.delim),
_xlpm.list,IF(_xlfn.ISOMITTED(_xlpm.list), {""}, _xlpm.list),
IF(_xlpm.p,
_xludf.SPLIT(MID(_xlpm.txt,_xlpm.p+_xlpm.delimLength,9999999),_xlpm.delim,_xlpm.n+1, IF(_xlfn.SEQUENCE(1,_xlpm.n+1)&lt;_xlpm.n+1,_xlpm.list,LEFT(_xlpm.txt,_xlpm.p-1))),
IF(_xlpm.n=0,_xlpm.txt,IF(_xlfn.SEQUENCE(1,_xlpm.n+1)&lt;_xlpm.n+1,_xlpm.list,_xlpm.txt)) )
)
)("A--B--C","--")</f>
        <v>A</v>
      </c>
      <c r="BJ6" t="str">
        <v>B</v>
      </c>
      <c r="BK6" t="str">
        <v>C</v>
      </c>
      <c r="BM6" s="92" t="str" cm="1">
        <f t="array" ref="BM6:BM11">_xlfn.LAMBDA(_xlpm.txt,_xlpm.delim1,_xlpm.delim2,_xlop.returnedObject, _xlfn.LET(
_xlpm.returnedObject, IF(_xlfn.ISOMITTED(_xlpm.returnedObject), "ELEMENTS", UPPER(_xlpm.returnedObject)),
_xlpm.txtVec, TEXTTOCHAR(_xlpm.txt),
_xlpm.posPlus, NOZERO( _xlpm.txtVec = _xlpm.delim1 ),
_xlpm.posMin, NOZERO( _xlpm.txtVec = _xlpm.delim2 ),
_xlpm.posAll, RMMISSING( _xlfn._xlws.SORT( VEC( HORZCAT(_xlpm.posPlus,_xlpm.posMin) ) ) ),
_xlpm.posStart,  IF(SUM(ISERR(_xlpm.posAll)*1), 1, VERTCAT(1, _xlpm.posAll + 1 )),
_xlpm.posEnd, IF( SUM(ISERR(_xlpm.posAll)*1), LEN(_xlpm.txt), VERTCAT(_xlpm.posAll - 1, LEN(_xlpm.txt)) ),
_xlpm.items, MID(_xlpm.txt,_xlpm.posStart,_xlpm.posEnd-_xlpm.posStart+1),
_xlpm.itemsPlus, VERTCAT(1, _xlfn.MAP(_xlpm.posAll, _xlfn.LAMBDA(_xlpm.val, SUM(1*(_xlpm.val=_xlpm.posPlus))))),
_xlpm.itemsMin, 1*NOT(_xlpm.itemsPlus),
_xlfn.SWITCH(_xlpm.returnedObject, "ELEMENTS", _xlpm.items, "DELIM1POS", _xlpm.itemsPlus, "DELIM2POS", _xlpm.itemsMin )
) )("aa+b+c-dd+e-f", "+", "-", "ELEMENTS")</f>
        <v>aa</v>
      </c>
      <c r="BQ6" t="str" cm="1">
        <f t="array" ref="BQ6:BS6">_xlfn.LAMBDA(_xlpm.text,_xlpm.delim,
_xlfn.LET(
_xlpm.delim, VEC(_xlpm.delim),
_xlpm.text, SUBSTITUTE(_xlpm.text, INDEX(_xlpm.delim,1,1),"&lt;/y&gt;&lt;y&gt;"),
IF( LENGTH(_xlpm.delim) = 1,
TRANSPOSE( _xlfn.FILTERXML("&lt;x&gt;&lt;y&gt;"&amp; _xlpm.text &amp; "&lt;/y&gt;&lt;/x&gt;", "//y") ),
SPLITALL(_xlpm.text, SLICE(_xlpm.delim,2,-1))
)
))("A--B;;C", {"--";";;"})</f>
        <v>A</v>
      </c>
      <c r="BR6" t="str">
        <v>B</v>
      </c>
      <c r="BS6" t="str">
        <v>C</v>
      </c>
      <c r="BU6" t="str" cm="1">
        <f t="array" ref="BU6:BU11">_xlfn.LAMBDA(_xlpm.txt,MID(_xlpm.txt,_xlfn.SEQUENCE(LEN(_xlpm.txt)),1))("ABCDEF")</f>
        <v>A</v>
      </c>
      <c r="BX6" t="str" cm="1">
        <f t="array" ref="BX6">_xlfn.LAMBDA(_xlpm.text,_xlpm.oldChars,_xlpm.newText,_xlop.treatCharsAsText,
_xlfn.LET(_xlpm.treatCharsAsText, IF(_xlfn.ISOMITTED(_xlpm.treatCharsAsText), TRUE, _xlpm.treatCharsAsText),
_xlpm.oldChars, IF(_xlpm.treatCharsAsText, VEC(_xlpm.oldChars), _xlfn.TEXTJOIN("",TRUE,_xlpm.oldChars) ),
IF(_xlpm.treatCharsAsText,
IF(AND(LENGTH(_xlpm.oldChars)=1,_xlpm.oldChars=""), _xlpm.text,
REPLACEALL(
SUBSTITUTE( _xlpm.text, SLICE(_xlpm.oldChars,1,1), _xlpm.newText),
IFERROR(SLICE(_xlpm.oldChars,2,-1), ""),
_xlpm.newText,_xlpm.treatCharsAsText)),
IF(_xlpm.oldChars ="", _xlpm.text,
REPLACEALL(
SUBSTITUTE( _xlpm.text, LEFT(_xlpm.oldChars,1), _xlpm.newText),
MID(_xlpm.oldChars, 2, LEN(_xlpm.oldChars)-1),
_xlpm.newText,_xlpm.treatCharsAsText)
))))("Hello World",{"e";"o"},"",FALSE)</f>
        <v>Hll Wrld</v>
      </c>
      <c r="CA6" t="b" cm="1">
        <f t="array" ref="CA6:CC8">_xlfn.LAMBDA(_xlpm.values,
LEN(_xlpm.values)=0
)($A$4:$C$6)</f>
        <v>0</v>
      </c>
      <c r="CB6" t="b">
        <v>1</v>
      </c>
      <c r="CC6" t="b">
        <v>1</v>
      </c>
    </row>
    <row r="7" spans="1:82" x14ac:dyDescent="0.25">
      <c r="A7" s="10">
        <v>2</v>
      </c>
      <c r="B7" s="10">
        <v>200</v>
      </c>
      <c r="C7" s="10">
        <v>2000</v>
      </c>
      <c r="E7">
        <v>3</v>
      </c>
      <c r="F7">
        <v>300</v>
      </c>
      <c r="H7">
        <v>3</v>
      </c>
      <c r="I7">
        <v>300</v>
      </c>
      <c r="K7">
        <v>10</v>
      </c>
      <c r="L7">
        <v>1000</v>
      </c>
      <c r="M7">
        <v>2000</v>
      </c>
      <c r="O7">
        <v>5</v>
      </c>
      <c r="P7">
        <v>500</v>
      </c>
      <c r="Q7">
        <v>5000</v>
      </c>
      <c r="S7">
        <v>100</v>
      </c>
      <c r="T7">
        <v>1000</v>
      </c>
      <c r="W7">
        <v>3</v>
      </c>
      <c r="X7">
        <v>300</v>
      </c>
      <c r="Z7">
        <v>3</v>
      </c>
      <c r="AA7">
        <v>300</v>
      </c>
      <c r="AC7">
        <v>2000</v>
      </c>
      <c r="AD7">
        <v>200</v>
      </c>
      <c r="AE7">
        <v>2000</v>
      </c>
      <c r="AG7">
        <v>100</v>
      </c>
      <c r="AH7">
        <v>1000</v>
      </c>
      <c r="AN7" t="str">
        <v>XXX</v>
      </c>
      <c r="AQ7">
        <v>3</v>
      </c>
      <c r="AT7">
        <v>2</v>
      </c>
      <c r="AU7">
        <v>200</v>
      </c>
      <c r="AW7">
        <v>2</v>
      </c>
      <c r="AX7">
        <v>200</v>
      </c>
      <c r="AY7">
        <v>8000</v>
      </c>
      <c r="BA7">
        <f ca="1"/>
        <v>12</v>
      </c>
      <c r="BB7">
        <f ca="1"/>
        <v>1200</v>
      </c>
      <c r="BC7">
        <f ca="1"/>
        <v>12000</v>
      </c>
      <c r="BE7">
        <f ca="1"/>
        <v>2</v>
      </c>
      <c r="BF7">
        <f ca="1"/>
        <v>2000</v>
      </c>
      <c r="BM7" t="str">
        <v>b</v>
      </c>
      <c r="BU7" t="str">
        <v>B</v>
      </c>
      <c r="CA7" t="b">
        <v>0</v>
      </c>
      <c r="CB7" t="b">
        <v>0</v>
      </c>
      <c r="CC7" t="b">
        <v>0</v>
      </c>
    </row>
    <row r="8" spans="1:82" x14ac:dyDescent="0.25">
      <c r="A8" s="10">
        <v>3</v>
      </c>
      <c r="B8" s="10">
        <v>300</v>
      </c>
      <c r="C8" s="10">
        <v>3000</v>
      </c>
      <c r="E8">
        <v>4</v>
      </c>
      <c r="F8">
        <v>400</v>
      </c>
      <c r="H8">
        <v>4</v>
      </c>
      <c r="I8">
        <v>400</v>
      </c>
      <c r="K8">
        <v>11</v>
      </c>
      <c r="L8">
        <v>1100</v>
      </c>
      <c r="M8">
        <v>3000</v>
      </c>
      <c r="O8">
        <v>6</v>
      </c>
      <c r="P8">
        <v>600</v>
      </c>
      <c r="Q8">
        <v>6000</v>
      </c>
      <c r="S8">
        <v>200</v>
      </c>
      <c r="T8">
        <v>2000</v>
      </c>
      <c r="W8">
        <v>4</v>
      </c>
      <c r="X8">
        <v>400</v>
      </c>
      <c r="Z8">
        <v>4</v>
      </c>
      <c r="AA8">
        <v>400</v>
      </c>
      <c r="AC8">
        <v>3000</v>
      </c>
      <c r="AD8">
        <v>300</v>
      </c>
      <c r="AE8">
        <v>3000</v>
      </c>
      <c r="AG8">
        <v>200</v>
      </c>
      <c r="AH8">
        <v>2000</v>
      </c>
      <c r="AN8">
        <v>3</v>
      </c>
      <c r="AQ8">
        <v>4</v>
      </c>
      <c r="AT8">
        <v>3</v>
      </c>
      <c r="AU8">
        <v>300</v>
      </c>
      <c r="AW8">
        <v>3</v>
      </c>
      <c r="AX8">
        <v>300</v>
      </c>
      <c r="AY8">
        <v>9000</v>
      </c>
      <c r="BA8">
        <f ca="1"/>
        <v>10</v>
      </c>
      <c r="BB8">
        <f ca="1"/>
        <v>1000</v>
      </c>
      <c r="BC8">
        <f ca="1"/>
        <v>10000</v>
      </c>
      <c r="BE8">
        <f ca="1"/>
        <v>3</v>
      </c>
      <c r="BF8">
        <f ca="1"/>
        <v>3000</v>
      </c>
      <c r="BM8" t="str">
        <v>c</v>
      </c>
      <c r="BU8" t="str">
        <v>C</v>
      </c>
      <c r="CA8" t="b">
        <v>0</v>
      </c>
      <c r="CB8" t="b">
        <v>0</v>
      </c>
      <c r="CC8" t="b">
        <v>0</v>
      </c>
    </row>
    <row r="9" spans="1:82" x14ac:dyDescent="0.25">
      <c r="A9" s="10">
        <v>4</v>
      </c>
      <c r="B9" s="10">
        <v>400</v>
      </c>
      <c r="C9" s="10">
        <v>4000</v>
      </c>
      <c r="H9">
        <v>5</v>
      </c>
      <c r="I9">
        <v>500</v>
      </c>
      <c r="K9">
        <v>12</v>
      </c>
      <c r="L9">
        <v>1200</v>
      </c>
      <c r="M9">
        <v>4000</v>
      </c>
      <c r="O9">
        <v>7</v>
      </c>
      <c r="P9">
        <v>700</v>
      </c>
      <c r="Q9">
        <v>7000</v>
      </c>
      <c r="S9">
        <v>300</v>
      </c>
      <c r="T9">
        <v>3000</v>
      </c>
      <c r="Z9">
        <v>5</v>
      </c>
      <c r="AA9">
        <v>500</v>
      </c>
      <c r="AC9">
        <v>4000</v>
      </c>
      <c r="AD9">
        <v>400</v>
      </c>
      <c r="AE9">
        <v>4000</v>
      </c>
      <c r="AG9">
        <v>300</v>
      </c>
      <c r="AH9">
        <v>3000</v>
      </c>
      <c r="AN9">
        <v>4</v>
      </c>
      <c r="AQ9">
        <v>5</v>
      </c>
      <c r="AT9">
        <v>10</v>
      </c>
      <c r="AU9">
        <v>1000</v>
      </c>
      <c r="AW9">
        <v>4</v>
      </c>
      <c r="AX9">
        <v>400</v>
      </c>
      <c r="AY9">
        <v>10000</v>
      </c>
      <c r="BA9">
        <f ca="1"/>
        <v>4</v>
      </c>
      <c r="BB9">
        <f ca="1"/>
        <v>400</v>
      </c>
      <c r="BC9">
        <f ca="1"/>
        <v>4000</v>
      </c>
      <c r="BE9">
        <f ca="1"/>
        <v>4</v>
      </c>
      <c r="BF9">
        <f ca="1"/>
        <v>4000</v>
      </c>
      <c r="BM9" t="str">
        <v>dd</v>
      </c>
      <c r="BU9" t="str">
        <v>D</v>
      </c>
    </row>
    <row r="10" spans="1:82" x14ac:dyDescent="0.25">
      <c r="A10" s="10">
        <v>5</v>
      </c>
      <c r="B10" s="10">
        <v>500</v>
      </c>
      <c r="C10" s="10">
        <v>5000</v>
      </c>
      <c r="H10">
        <v>6</v>
      </c>
      <c r="I10">
        <v>600</v>
      </c>
      <c r="K10">
        <v>5</v>
      </c>
      <c r="L10">
        <v>500</v>
      </c>
      <c r="M10">
        <v>5000</v>
      </c>
      <c r="O10">
        <v>8</v>
      </c>
      <c r="P10">
        <v>800</v>
      </c>
      <c r="Q10">
        <v>8000</v>
      </c>
      <c r="S10">
        <v>400</v>
      </c>
      <c r="T10">
        <v>4000</v>
      </c>
      <c r="Z10">
        <v>6</v>
      </c>
      <c r="AA10">
        <v>600</v>
      </c>
      <c r="AC10">
        <v>5000</v>
      </c>
      <c r="AD10">
        <v>500</v>
      </c>
      <c r="AE10">
        <v>5000</v>
      </c>
      <c r="AG10">
        <v>400</v>
      </c>
      <c r="AH10">
        <v>4000</v>
      </c>
      <c r="AN10">
        <v>5</v>
      </c>
      <c r="AQ10">
        <v>6</v>
      </c>
      <c r="AT10">
        <v>11</v>
      </c>
      <c r="AU10">
        <v>1100</v>
      </c>
      <c r="AW10">
        <v>5</v>
      </c>
      <c r="AX10">
        <v>500</v>
      </c>
      <c r="AY10">
        <v>11000</v>
      </c>
      <c r="BA10">
        <f ca="1"/>
        <v>8</v>
      </c>
      <c r="BB10">
        <f ca="1"/>
        <v>800</v>
      </c>
      <c r="BC10">
        <f ca="1"/>
        <v>8000</v>
      </c>
      <c r="BE10">
        <f ca="1"/>
        <v>5</v>
      </c>
      <c r="BF10">
        <f ca="1"/>
        <v>5000</v>
      </c>
      <c r="BM10" t="str">
        <v>e</v>
      </c>
      <c r="BU10" t="str">
        <v>E</v>
      </c>
    </row>
    <row r="11" spans="1:82" x14ac:dyDescent="0.25">
      <c r="A11" s="10">
        <v>6</v>
      </c>
      <c r="B11" s="10">
        <v>600</v>
      </c>
      <c r="C11" s="10">
        <v>6000</v>
      </c>
      <c r="H11">
        <v>7</v>
      </c>
      <c r="I11">
        <v>700</v>
      </c>
      <c r="K11">
        <v>6</v>
      </c>
      <c r="L11">
        <v>600</v>
      </c>
      <c r="M11">
        <v>6000</v>
      </c>
      <c r="O11">
        <v>9</v>
      </c>
      <c r="P11">
        <v>900</v>
      </c>
      <c r="Q11">
        <v>9000</v>
      </c>
      <c r="S11">
        <v>500</v>
      </c>
      <c r="T11">
        <v>5000</v>
      </c>
      <c r="Z11">
        <v>7</v>
      </c>
      <c r="AA11">
        <v>700</v>
      </c>
      <c r="AC11">
        <v>6000</v>
      </c>
      <c r="AD11">
        <v>600</v>
      </c>
      <c r="AE11">
        <v>6000</v>
      </c>
      <c r="AG11">
        <v>500</v>
      </c>
      <c r="AH11">
        <v>5000</v>
      </c>
      <c r="AN11">
        <v>6</v>
      </c>
      <c r="AQ11">
        <v>7</v>
      </c>
      <c r="AT11">
        <v>12</v>
      </c>
      <c r="AU11">
        <v>1200</v>
      </c>
      <c r="AW11">
        <v>6</v>
      </c>
      <c r="AX11">
        <v>600</v>
      </c>
      <c r="AY11">
        <v>12000</v>
      </c>
      <c r="BE11">
        <f ca="1"/>
        <v>6</v>
      </c>
      <c r="BF11">
        <f ca="1"/>
        <v>6000</v>
      </c>
      <c r="BM11" t="str">
        <v>f</v>
      </c>
      <c r="BU11" t="str">
        <v>F</v>
      </c>
    </row>
    <row r="12" spans="1:82" x14ac:dyDescent="0.25">
      <c r="A12" s="10">
        <v>7</v>
      </c>
      <c r="B12" s="10">
        <v>700</v>
      </c>
      <c r="C12" s="10">
        <v>7000</v>
      </c>
      <c r="H12">
        <v>8</v>
      </c>
      <c r="I12">
        <v>800</v>
      </c>
      <c r="K12">
        <v>7</v>
      </c>
      <c r="L12">
        <v>700</v>
      </c>
      <c r="M12">
        <v>7000</v>
      </c>
      <c r="O12">
        <v>10</v>
      </c>
      <c r="P12">
        <v>1000</v>
      </c>
      <c r="Q12">
        <v>10000</v>
      </c>
      <c r="S12">
        <v>600</v>
      </c>
      <c r="T12">
        <v>6000</v>
      </c>
      <c r="Z12">
        <v>8</v>
      </c>
      <c r="AA12">
        <v>800</v>
      </c>
      <c r="AC12">
        <v>7000</v>
      </c>
      <c r="AD12">
        <v>700</v>
      </c>
      <c r="AE12">
        <v>7000</v>
      </c>
      <c r="AG12">
        <v>600</v>
      </c>
      <c r="AH12">
        <v>6000</v>
      </c>
      <c r="AN12">
        <v>7</v>
      </c>
      <c r="AQ12">
        <v>8</v>
      </c>
      <c r="BE12">
        <f ca="1"/>
        <v>7</v>
      </c>
      <c r="BF12">
        <f ca="1"/>
        <v>7000</v>
      </c>
      <c r="BI12" s="92"/>
      <c r="BM12" s="92"/>
      <c r="BQ12" s="92"/>
    </row>
    <row r="13" spans="1:82" x14ac:dyDescent="0.25">
      <c r="A13" s="10">
        <v>8</v>
      </c>
      <c r="B13" s="10">
        <v>800</v>
      </c>
      <c r="C13" s="10">
        <v>8000</v>
      </c>
      <c r="H13">
        <v>9</v>
      </c>
      <c r="I13">
        <v>900</v>
      </c>
      <c r="K13">
        <v>8</v>
      </c>
      <c r="L13">
        <v>800</v>
      </c>
      <c r="M13">
        <v>8000</v>
      </c>
      <c r="O13">
        <v>11</v>
      </c>
      <c r="P13">
        <v>1100</v>
      </c>
      <c r="Q13">
        <v>11000</v>
      </c>
      <c r="S13">
        <v>700</v>
      </c>
      <c r="T13">
        <v>7000</v>
      </c>
      <c r="Z13">
        <v>9</v>
      </c>
      <c r="AA13">
        <v>900</v>
      </c>
      <c r="AC13">
        <v>8000</v>
      </c>
      <c r="AD13">
        <v>800</v>
      </c>
      <c r="AE13">
        <v>8000</v>
      </c>
      <c r="AG13">
        <v>700</v>
      </c>
      <c r="AH13">
        <v>7000</v>
      </c>
      <c r="AN13">
        <v>8</v>
      </c>
      <c r="AQ13">
        <v>9</v>
      </c>
      <c r="BE13">
        <f ca="1"/>
        <v>8</v>
      </c>
      <c r="BF13">
        <f ca="1"/>
        <v>8000</v>
      </c>
    </row>
    <row r="14" spans="1:82" x14ac:dyDescent="0.25">
      <c r="A14" s="10">
        <v>9</v>
      </c>
      <c r="B14" s="10">
        <v>900</v>
      </c>
      <c r="C14" s="10">
        <v>9000</v>
      </c>
      <c r="H14">
        <v>10</v>
      </c>
      <c r="I14">
        <v>1000</v>
      </c>
      <c r="K14">
        <v>9</v>
      </c>
      <c r="L14">
        <v>900</v>
      </c>
      <c r="M14">
        <v>9000</v>
      </c>
      <c r="O14">
        <v>12</v>
      </c>
      <c r="P14">
        <v>1200</v>
      </c>
      <c r="Q14">
        <v>12000</v>
      </c>
      <c r="S14">
        <v>800</v>
      </c>
      <c r="T14">
        <v>8000</v>
      </c>
      <c r="Z14">
        <v>10</v>
      </c>
      <c r="AA14">
        <v>1000</v>
      </c>
      <c r="AC14">
        <v>9000</v>
      </c>
      <c r="AD14">
        <v>900</v>
      </c>
      <c r="AE14">
        <v>9000</v>
      </c>
      <c r="AG14">
        <v>800</v>
      </c>
      <c r="AH14">
        <v>8000</v>
      </c>
      <c r="AN14">
        <v>9</v>
      </c>
      <c r="AQ14">
        <v>10</v>
      </c>
      <c r="BE14">
        <f ca="1"/>
        <v>9</v>
      </c>
      <c r="BF14">
        <f ca="1"/>
        <v>9000</v>
      </c>
    </row>
    <row r="15" spans="1:82" x14ac:dyDescent="0.25">
      <c r="A15" s="10">
        <v>10</v>
      </c>
      <c r="B15" s="10">
        <v>1000</v>
      </c>
      <c r="C15" s="10">
        <v>10000</v>
      </c>
      <c r="H15">
        <v>11</v>
      </c>
      <c r="I15">
        <v>1100</v>
      </c>
      <c r="K15">
        <v>10</v>
      </c>
      <c r="L15">
        <v>1000</v>
      </c>
      <c r="M15">
        <v>10000</v>
      </c>
      <c r="S15">
        <v>900</v>
      </c>
      <c r="T15">
        <v>9000</v>
      </c>
      <c r="Z15">
        <v>11</v>
      </c>
      <c r="AA15">
        <v>1100</v>
      </c>
      <c r="AC15">
        <v>10000</v>
      </c>
      <c r="AD15">
        <v>1000</v>
      </c>
      <c r="AE15">
        <v>10000</v>
      </c>
      <c r="AG15">
        <v>900</v>
      </c>
      <c r="AH15">
        <v>9000</v>
      </c>
      <c r="AN15">
        <v>10</v>
      </c>
      <c r="AQ15">
        <v>11</v>
      </c>
      <c r="BE15">
        <f ca="1"/>
        <v>10</v>
      </c>
      <c r="BF15">
        <f ca="1"/>
        <v>10000</v>
      </c>
    </row>
    <row r="16" spans="1:82" x14ac:dyDescent="0.25">
      <c r="A16" s="10">
        <v>11</v>
      </c>
      <c r="B16" s="10">
        <v>1100</v>
      </c>
      <c r="C16" s="10">
        <v>11000</v>
      </c>
      <c r="H16">
        <v>12</v>
      </c>
      <c r="I16">
        <v>1200</v>
      </c>
      <c r="K16">
        <v>11</v>
      </c>
      <c r="L16">
        <v>1100</v>
      </c>
      <c r="M16">
        <v>11000</v>
      </c>
      <c r="S16">
        <v>1000</v>
      </c>
      <c r="T16">
        <v>10000</v>
      </c>
      <c r="Z16">
        <v>12</v>
      </c>
      <c r="AA16">
        <v>1200</v>
      </c>
      <c r="AC16">
        <v>11000</v>
      </c>
      <c r="AD16">
        <v>1100</v>
      </c>
      <c r="AE16">
        <v>11000</v>
      </c>
      <c r="AG16">
        <v>1000</v>
      </c>
      <c r="AH16">
        <v>10000</v>
      </c>
      <c r="AN16">
        <v>11</v>
      </c>
      <c r="AQ16">
        <v>12</v>
      </c>
      <c r="BE16">
        <f ca="1"/>
        <v>11</v>
      </c>
      <c r="BF16">
        <f ca="1"/>
        <v>11000</v>
      </c>
    </row>
    <row r="17" spans="1:82" x14ac:dyDescent="0.25">
      <c r="A17" s="10">
        <v>12</v>
      </c>
      <c r="B17" s="10">
        <v>1200</v>
      </c>
      <c r="C17" s="10">
        <v>12000</v>
      </c>
      <c r="K17">
        <v>12</v>
      </c>
      <c r="L17">
        <v>1200</v>
      </c>
      <c r="M17">
        <v>12000</v>
      </c>
      <c r="S17">
        <v>1100</v>
      </c>
      <c r="T17">
        <v>11000</v>
      </c>
      <c r="AC17">
        <v>12000</v>
      </c>
      <c r="AD17">
        <v>1200</v>
      </c>
      <c r="AE17">
        <v>12000</v>
      </c>
      <c r="AG17">
        <v>1100</v>
      </c>
      <c r="AH17">
        <v>11000</v>
      </c>
      <c r="AN17">
        <v>12</v>
      </c>
      <c r="BE17">
        <f ca="1"/>
        <v>12</v>
      </c>
      <c r="BF17">
        <f ca="1"/>
        <v>12000</v>
      </c>
    </row>
    <row r="18" spans="1:82" x14ac:dyDescent="0.25">
      <c r="S18">
        <v>1200</v>
      </c>
      <c r="T18">
        <v>12000</v>
      </c>
      <c r="AG18">
        <v>1200</v>
      </c>
      <c r="AH18">
        <v>12000</v>
      </c>
    </row>
    <row r="20" spans="1:82" x14ac:dyDescent="0.25">
      <c r="E20" s="7" t="s">
        <v>8</v>
      </c>
      <c r="F20" s="6"/>
      <c r="G20" s="6"/>
      <c r="H20" s="6"/>
      <c r="I20" s="6"/>
      <c r="J20" s="6"/>
      <c r="K20" s="6"/>
      <c r="L20" s="6"/>
      <c r="M20" s="6"/>
      <c r="N20" s="6"/>
      <c r="O20" s="6"/>
      <c r="P20" s="6"/>
      <c r="Q20" s="6"/>
      <c r="R20" s="6"/>
      <c r="S20" s="6"/>
      <c r="T20" s="6"/>
      <c r="U20" s="6"/>
      <c r="V20" s="6"/>
      <c r="W20" s="7"/>
      <c r="X20" s="6"/>
      <c r="Y20" s="6"/>
      <c r="Z20" s="6"/>
      <c r="AA20" s="6"/>
      <c r="AB20" s="6"/>
      <c r="AC20" s="6"/>
      <c r="AD20" s="6"/>
      <c r="AE20" s="6"/>
      <c r="AF20" s="6"/>
      <c r="AG20" s="6"/>
      <c r="AH20" s="6"/>
      <c r="AI20" s="6"/>
      <c r="AJ20" s="6"/>
      <c r="AK20" s="7"/>
      <c r="AL20" s="6"/>
      <c r="AM20" s="6"/>
      <c r="AN20" s="7"/>
      <c r="AO20" s="6"/>
      <c r="AP20" s="6"/>
      <c r="AQ20" s="7"/>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c r="CA20" s="6"/>
      <c r="CB20" s="6"/>
      <c r="CC20" s="6"/>
      <c r="CD20" s="6"/>
    </row>
    <row r="21" spans="1:82" x14ac:dyDescent="0.25">
      <c r="E21" cm="1">
        <f t="array" ref="E21:F23">SLICE($A$6:$C$17,2,4,1,2)</f>
        <v>2</v>
      </c>
      <c r="F21">
        <v>200</v>
      </c>
      <c r="H21" cm="1">
        <f t="array" ref="H21:I31">SLICE($A$6:$C$17,2,,1,2)</f>
        <v>2</v>
      </c>
      <c r="I21">
        <v>200</v>
      </c>
      <c r="K21" cm="1">
        <f t="array" ref="K21:M32">SLICE($A$6:$C$17,2,4,1,2,A15:B17)</f>
        <v>1</v>
      </c>
      <c r="L21">
        <v>100</v>
      </c>
      <c r="M21">
        <v>1000</v>
      </c>
      <c r="O21" cm="1">
        <f t="array" ref="O21:P29">SLICE($A$6:$C$17,2,4,1,2,,TRUE)</f>
        <v>1000</v>
      </c>
      <c r="P21">
        <v>1000</v>
      </c>
      <c r="S21" t="str" cm="1">
        <f t="array" ref="S21:T33">SLICE($A$5:$C$17,,,"y","z")</f>
        <v>y</v>
      </c>
      <c r="T21" t="str">
        <v>z</v>
      </c>
      <c r="W21" cm="1">
        <f t="array" ref="W21:X23">M($A$6:$C$17,"[2:4,1:2]")</f>
        <v>2</v>
      </c>
      <c r="X21">
        <v>200</v>
      </c>
      <c r="Z21" cm="1">
        <f t="array" ref="Z21:AA31">M($A$6:$C$17,"[2:,1:2]")</f>
        <v>2</v>
      </c>
      <c r="AA21">
        <v>200</v>
      </c>
      <c r="AC21" cm="1">
        <f t="array" ref="AC21:AE32">M($A$6:$C$17,"[2:,1]",$C$7:$C$17)</f>
        <v>1</v>
      </c>
      <c r="AD21">
        <v>100</v>
      </c>
      <c r="AE21">
        <v>1000</v>
      </c>
      <c r="AG21" t="str" cm="1">
        <f t="array" ref="AG21:AH33">M($A$5:$C$17,"[1:,y:z]")</f>
        <v>y</v>
      </c>
      <c r="AH21" t="str">
        <v>z</v>
      </c>
      <c r="AK21" cm="1">
        <f t="array" ref="AK21">GET($A$6:$C$17,2,,FALSE,FALSE)</f>
        <v>2</v>
      </c>
      <c r="AN21" cm="1">
        <f t="array" ref="AN21:AN32">GET($A$6:$A$17,2,"XXX",FALSE,FALSE)</f>
        <v>1</v>
      </c>
      <c r="AQ21" cm="1">
        <f t="array" ref="AQ21:AQ31">GET($A$6:$A$17,2,,TRUE,FALSE)</f>
        <v>1</v>
      </c>
      <c r="AT21" cm="1">
        <f t="array" ref="AT21:AU26">VERTCAT($A$6:$B$8,$A$15:$B$17)</f>
        <v>1</v>
      </c>
      <c r="AU21">
        <v>100</v>
      </c>
      <c r="AW21" cm="1">
        <f t="array" ref="AW21:AY26">HORZCAT($A$6:$B$11,$C$12:$C$17)</f>
        <v>1</v>
      </c>
      <c r="AX21">
        <v>100</v>
      </c>
      <c r="AY21">
        <v>7000</v>
      </c>
      <c r="BA21" cm="1">
        <f t="array" aca="1" ref="BA21:BC25" ca="1">SAMPLE(A6:C17,5,1,FALSE)</f>
        <v>10</v>
      </c>
      <c r="BB21">
        <f ca="1"/>
        <v>1000</v>
      </c>
      <c r="BC21">
        <f ca="1"/>
        <v>10000</v>
      </c>
      <c r="BE21" cm="1">
        <f t="array" aca="1" ref="BE21:BF32" ca="1">SAMPLE($A$6:$C$17,2,2,TRUE)</f>
        <v>100</v>
      </c>
      <c r="BF21">
        <f ca="1"/>
        <v>1</v>
      </c>
      <c r="BI21" t="str" cm="1">
        <f t="array" ref="BI21:BK21">_xludf.SPLIT("A--B--C","--")</f>
        <v>A</v>
      </c>
      <c r="BJ21" t="str">
        <v>B</v>
      </c>
      <c r="BK21" t="str">
        <v>C</v>
      </c>
      <c r="BM21" t="str" cm="1">
        <f t="array" ref="BM21:BM26">SPLITTWO("aa+b+c-dd+e-f", "+", "-", "ELEMENTS")</f>
        <v>aa</v>
      </c>
      <c r="BQ21" t="str" cm="1">
        <f t="array" ref="BQ21:BS21">SPLITALL("A--B--C","--")</f>
        <v>A</v>
      </c>
      <c r="BR21" t="str">
        <v>B</v>
      </c>
      <c r="BS21" t="str">
        <v>C</v>
      </c>
      <c r="BU21" t="str" cm="1">
        <f t="array" ref="BU21:BU26">TEXTTOCHAR("ABCDEF")</f>
        <v>A</v>
      </c>
      <c r="BX21" t="str" cm="1">
        <f t="array" ref="BX21">REPLACEALL("Hello World",{"e";"o"},"",FALSE)</f>
        <v>Hll Wrld</v>
      </c>
      <c r="CA21" t="b" cm="1">
        <f t="array" ref="CA21:CC23">ISEMPTY($A$4:$C$6)</f>
        <v>0</v>
      </c>
      <c r="CB21" t="b">
        <v>1</v>
      </c>
      <c r="CC21" t="b">
        <v>1</v>
      </c>
    </row>
    <row r="22" spans="1:82" x14ac:dyDescent="0.25">
      <c r="E22">
        <v>3</v>
      </c>
      <c r="F22">
        <v>300</v>
      </c>
      <c r="H22">
        <v>3</v>
      </c>
      <c r="I22">
        <v>300</v>
      </c>
      <c r="K22">
        <v>10</v>
      </c>
      <c r="L22">
        <v>1000</v>
      </c>
      <c r="M22">
        <v>2000</v>
      </c>
      <c r="O22">
        <v>5000</v>
      </c>
      <c r="P22">
        <v>5000</v>
      </c>
      <c r="S22">
        <v>100</v>
      </c>
      <c r="T22">
        <v>1000</v>
      </c>
      <c r="W22">
        <v>3</v>
      </c>
      <c r="X22">
        <v>300</v>
      </c>
      <c r="Z22">
        <v>3</v>
      </c>
      <c r="AA22">
        <v>300</v>
      </c>
      <c r="AC22">
        <v>2000</v>
      </c>
      <c r="AD22">
        <v>200</v>
      </c>
      <c r="AE22">
        <v>2000</v>
      </c>
      <c r="AG22">
        <v>100</v>
      </c>
      <c r="AH22">
        <v>1000</v>
      </c>
      <c r="AN22" t="str">
        <v>XXX</v>
      </c>
      <c r="AQ22">
        <v>3</v>
      </c>
      <c r="AT22">
        <v>2</v>
      </c>
      <c r="AU22">
        <v>200</v>
      </c>
      <c r="AW22">
        <v>2</v>
      </c>
      <c r="AX22">
        <v>200</v>
      </c>
      <c r="AY22">
        <v>8000</v>
      </c>
      <c r="BA22">
        <f ca="1"/>
        <v>11</v>
      </c>
      <c r="BB22">
        <f ca="1"/>
        <v>1100</v>
      </c>
      <c r="BC22">
        <f ca="1"/>
        <v>11000</v>
      </c>
      <c r="BE22">
        <f ca="1"/>
        <v>200</v>
      </c>
      <c r="BF22">
        <f ca="1"/>
        <v>2</v>
      </c>
      <c r="BM22" t="str">
        <v>b</v>
      </c>
      <c r="BU22" t="str">
        <v>B</v>
      </c>
      <c r="CA22" t="b">
        <v>0</v>
      </c>
      <c r="CB22" t="b">
        <v>0</v>
      </c>
      <c r="CC22" t="b">
        <v>0</v>
      </c>
    </row>
    <row r="23" spans="1:82" x14ac:dyDescent="0.25">
      <c r="E23">
        <v>4</v>
      </c>
      <c r="F23">
        <v>400</v>
      </c>
      <c r="H23">
        <v>4</v>
      </c>
      <c r="I23">
        <v>400</v>
      </c>
      <c r="K23">
        <v>11</v>
      </c>
      <c r="L23">
        <v>1100</v>
      </c>
      <c r="M23">
        <v>3000</v>
      </c>
      <c r="O23">
        <v>6000</v>
      </c>
      <c r="P23">
        <v>6000</v>
      </c>
      <c r="S23">
        <v>200</v>
      </c>
      <c r="T23">
        <v>2000</v>
      </c>
      <c r="W23">
        <v>4</v>
      </c>
      <c r="X23">
        <v>400</v>
      </c>
      <c r="Z23">
        <v>4</v>
      </c>
      <c r="AA23">
        <v>400</v>
      </c>
      <c r="AC23">
        <v>3000</v>
      </c>
      <c r="AD23">
        <v>300</v>
      </c>
      <c r="AE23">
        <v>3000</v>
      </c>
      <c r="AG23">
        <v>200</v>
      </c>
      <c r="AH23">
        <v>2000</v>
      </c>
      <c r="AN23">
        <v>3</v>
      </c>
      <c r="AQ23">
        <v>4</v>
      </c>
      <c r="AT23">
        <v>3</v>
      </c>
      <c r="AU23">
        <v>300</v>
      </c>
      <c r="AW23">
        <v>3</v>
      </c>
      <c r="AX23">
        <v>300</v>
      </c>
      <c r="AY23">
        <v>9000</v>
      </c>
      <c r="BA23">
        <f ca="1"/>
        <v>8</v>
      </c>
      <c r="BB23">
        <f ca="1"/>
        <v>800</v>
      </c>
      <c r="BC23">
        <f ca="1"/>
        <v>8000</v>
      </c>
      <c r="BE23">
        <f ca="1"/>
        <v>300</v>
      </c>
      <c r="BF23">
        <f ca="1"/>
        <v>3</v>
      </c>
      <c r="BM23" t="str">
        <v>c</v>
      </c>
      <c r="BU23" t="str">
        <v>C</v>
      </c>
      <c r="CA23" t="b">
        <v>0</v>
      </c>
      <c r="CB23" t="b">
        <v>0</v>
      </c>
      <c r="CC23" t="b">
        <v>0</v>
      </c>
    </row>
    <row r="24" spans="1:82" x14ac:dyDescent="0.25">
      <c r="H24">
        <v>5</v>
      </c>
      <c r="I24">
        <v>500</v>
      </c>
      <c r="K24">
        <v>12</v>
      </c>
      <c r="L24">
        <v>1200</v>
      </c>
      <c r="M24">
        <v>4000</v>
      </c>
      <c r="O24">
        <v>7000</v>
      </c>
      <c r="P24">
        <v>7000</v>
      </c>
      <c r="S24">
        <v>300</v>
      </c>
      <c r="T24">
        <v>3000</v>
      </c>
      <c r="Z24">
        <v>5</v>
      </c>
      <c r="AA24">
        <v>500</v>
      </c>
      <c r="AC24">
        <v>4000</v>
      </c>
      <c r="AD24">
        <v>400</v>
      </c>
      <c r="AE24">
        <v>4000</v>
      </c>
      <c r="AG24">
        <v>300</v>
      </c>
      <c r="AH24">
        <v>3000</v>
      </c>
      <c r="AN24">
        <v>4</v>
      </c>
      <c r="AQ24">
        <v>5</v>
      </c>
      <c r="AT24">
        <v>10</v>
      </c>
      <c r="AU24">
        <v>1000</v>
      </c>
      <c r="AW24">
        <v>4</v>
      </c>
      <c r="AX24">
        <v>400</v>
      </c>
      <c r="AY24">
        <v>10000</v>
      </c>
      <c r="BA24">
        <f ca="1"/>
        <v>2</v>
      </c>
      <c r="BB24">
        <f ca="1"/>
        <v>200</v>
      </c>
      <c r="BC24">
        <f ca="1"/>
        <v>2000</v>
      </c>
      <c r="BE24">
        <f ca="1"/>
        <v>400</v>
      </c>
      <c r="BF24">
        <f ca="1"/>
        <v>4</v>
      </c>
      <c r="BM24" t="str">
        <v>dd</v>
      </c>
      <c r="BU24" t="str">
        <v>D</v>
      </c>
    </row>
    <row r="25" spans="1:82" x14ac:dyDescent="0.25">
      <c r="H25">
        <v>6</v>
      </c>
      <c r="I25">
        <v>600</v>
      </c>
      <c r="K25">
        <v>5</v>
      </c>
      <c r="L25">
        <v>500</v>
      </c>
      <c r="M25">
        <v>5000</v>
      </c>
      <c r="O25">
        <v>8000</v>
      </c>
      <c r="P25">
        <v>8000</v>
      </c>
      <c r="S25">
        <v>400</v>
      </c>
      <c r="T25">
        <v>4000</v>
      </c>
      <c r="Z25">
        <v>6</v>
      </c>
      <c r="AA25">
        <v>600</v>
      </c>
      <c r="AC25">
        <v>5000</v>
      </c>
      <c r="AD25">
        <v>500</v>
      </c>
      <c r="AE25">
        <v>5000</v>
      </c>
      <c r="AG25">
        <v>400</v>
      </c>
      <c r="AH25">
        <v>4000</v>
      </c>
      <c r="AN25">
        <v>5</v>
      </c>
      <c r="AQ25">
        <v>6</v>
      </c>
      <c r="AT25">
        <v>11</v>
      </c>
      <c r="AU25">
        <v>1100</v>
      </c>
      <c r="AW25">
        <v>5</v>
      </c>
      <c r="AX25">
        <v>500</v>
      </c>
      <c r="AY25">
        <v>11000</v>
      </c>
      <c r="BA25">
        <f ca="1"/>
        <v>12</v>
      </c>
      <c r="BB25">
        <f ca="1"/>
        <v>1200</v>
      </c>
      <c r="BC25">
        <f ca="1"/>
        <v>12000</v>
      </c>
      <c r="BE25">
        <f ca="1"/>
        <v>500</v>
      </c>
      <c r="BF25">
        <f ca="1"/>
        <v>5</v>
      </c>
      <c r="BM25" t="str">
        <v>e</v>
      </c>
      <c r="BU25" t="str">
        <v>E</v>
      </c>
    </row>
    <row r="26" spans="1:82" x14ac:dyDescent="0.25">
      <c r="H26">
        <v>7</v>
      </c>
      <c r="I26">
        <v>700</v>
      </c>
      <c r="K26">
        <v>6</v>
      </c>
      <c r="L26">
        <v>600</v>
      </c>
      <c r="M26">
        <v>6000</v>
      </c>
      <c r="O26">
        <v>9000</v>
      </c>
      <c r="P26">
        <v>9000</v>
      </c>
      <c r="S26">
        <v>500</v>
      </c>
      <c r="T26">
        <v>5000</v>
      </c>
      <c r="Z26">
        <v>7</v>
      </c>
      <c r="AA26">
        <v>700</v>
      </c>
      <c r="AC26">
        <v>6000</v>
      </c>
      <c r="AD26">
        <v>600</v>
      </c>
      <c r="AE26">
        <v>6000</v>
      </c>
      <c r="AG26">
        <v>500</v>
      </c>
      <c r="AH26">
        <v>5000</v>
      </c>
      <c r="AN26">
        <v>6</v>
      </c>
      <c r="AQ26">
        <v>7</v>
      </c>
      <c r="AT26">
        <v>12</v>
      </c>
      <c r="AU26">
        <v>1200</v>
      </c>
      <c r="AW26">
        <v>6</v>
      </c>
      <c r="AX26">
        <v>600</v>
      </c>
      <c r="AY26">
        <v>12000</v>
      </c>
      <c r="BE26">
        <f ca="1"/>
        <v>600</v>
      </c>
      <c r="BF26">
        <f ca="1"/>
        <v>6</v>
      </c>
      <c r="BM26" t="str">
        <v>f</v>
      </c>
      <c r="BU26" t="str">
        <v>F</v>
      </c>
    </row>
    <row r="27" spans="1:82" x14ac:dyDescent="0.25">
      <c r="H27">
        <v>8</v>
      </c>
      <c r="I27">
        <v>800</v>
      </c>
      <c r="K27">
        <v>7</v>
      </c>
      <c r="L27">
        <v>700</v>
      </c>
      <c r="M27">
        <v>7000</v>
      </c>
      <c r="O27">
        <v>10000</v>
      </c>
      <c r="P27">
        <v>10000</v>
      </c>
      <c r="S27">
        <v>600</v>
      </c>
      <c r="T27">
        <v>6000</v>
      </c>
      <c r="Z27">
        <v>8</v>
      </c>
      <c r="AA27">
        <v>800</v>
      </c>
      <c r="AC27">
        <v>7000</v>
      </c>
      <c r="AD27">
        <v>700</v>
      </c>
      <c r="AE27">
        <v>7000</v>
      </c>
      <c r="AG27">
        <v>600</v>
      </c>
      <c r="AH27">
        <v>6000</v>
      </c>
      <c r="AN27">
        <v>7</v>
      </c>
      <c r="AQ27">
        <v>8</v>
      </c>
      <c r="BE27">
        <f ca="1"/>
        <v>700</v>
      </c>
      <c r="BF27">
        <f ca="1"/>
        <v>7</v>
      </c>
    </row>
    <row r="28" spans="1:82" x14ac:dyDescent="0.25">
      <c r="H28">
        <v>9</v>
      </c>
      <c r="I28">
        <v>900</v>
      </c>
      <c r="K28">
        <v>8</v>
      </c>
      <c r="L28">
        <v>800</v>
      </c>
      <c r="M28">
        <v>8000</v>
      </c>
      <c r="O28">
        <v>11000</v>
      </c>
      <c r="P28">
        <v>11000</v>
      </c>
      <c r="S28">
        <v>700</v>
      </c>
      <c r="T28">
        <v>7000</v>
      </c>
      <c r="Z28">
        <v>9</v>
      </c>
      <c r="AA28">
        <v>900</v>
      </c>
      <c r="AC28">
        <v>8000</v>
      </c>
      <c r="AD28">
        <v>800</v>
      </c>
      <c r="AE28">
        <v>8000</v>
      </c>
      <c r="AG28">
        <v>700</v>
      </c>
      <c r="AH28">
        <v>7000</v>
      </c>
      <c r="AN28">
        <v>8</v>
      </c>
      <c r="AQ28">
        <v>9</v>
      </c>
      <c r="BE28">
        <f ca="1"/>
        <v>800</v>
      </c>
      <c r="BF28">
        <f ca="1"/>
        <v>8</v>
      </c>
    </row>
    <row r="29" spans="1:82" x14ac:dyDescent="0.25">
      <c r="H29">
        <v>10</v>
      </c>
      <c r="I29">
        <v>1000</v>
      </c>
      <c r="K29">
        <v>9</v>
      </c>
      <c r="L29">
        <v>900</v>
      </c>
      <c r="M29">
        <v>9000</v>
      </c>
      <c r="O29">
        <v>12000</v>
      </c>
      <c r="P29">
        <v>12000</v>
      </c>
      <c r="S29">
        <v>800</v>
      </c>
      <c r="T29">
        <v>8000</v>
      </c>
      <c r="Z29">
        <v>10</v>
      </c>
      <c r="AA29">
        <v>1000</v>
      </c>
      <c r="AC29">
        <v>9000</v>
      </c>
      <c r="AD29">
        <v>900</v>
      </c>
      <c r="AE29">
        <v>9000</v>
      </c>
      <c r="AG29">
        <v>800</v>
      </c>
      <c r="AH29">
        <v>8000</v>
      </c>
      <c r="AN29">
        <v>9</v>
      </c>
      <c r="AQ29">
        <v>10</v>
      </c>
      <c r="BE29">
        <f ca="1"/>
        <v>900</v>
      </c>
      <c r="BF29">
        <f ca="1"/>
        <v>9</v>
      </c>
    </row>
    <row r="30" spans="1:82" x14ac:dyDescent="0.25">
      <c r="H30">
        <v>11</v>
      </c>
      <c r="I30">
        <v>1100</v>
      </c>
      <c r="K30">
        <v>10</v>
      </c>
      <c r="L30">
        <v>1000</v>
      </c>
      <c r="M30">
        <v>10000</v>
      </c>
      <c r="S30">
        <v>900</v>
      </c>
      <c r="T30">
        <v>9000</v>
      </c>
      <c r="Z30">
        <v>11</v>
      </c>
      <c r="AA30">
        <v>1100</v>
      </c>
      <c r="AC30">
        <v>10000</v>
      </c>
      <c r="AD30">
        <v>1000</v>
      </c>
      <c r="AE30">
        <v>10000</v>
      </c>
      <c r="AG30">
        <v>900</v>
      </c>
      <c r="AH30">
        <v>9000</v>
      </c>
      <c r="AN30">
        <v>10</v>
      </c>
      <c r="AQ30">
        <v>11</v>
      </c>
      <c r="BE30">
        <f ca="1"/>
        <v>1000</v>
      </c>
      <c r="BF30">
        <f ca="1"/>
        <v>10</v>
      </c>
    </row>
    <row r="31" spans="1:82" x14ac:dyDescent="0.25">
      <c r="H31">
        <v>12</v>
      </c>
      <c r="I31">
        <v>1200</v>
      </c>
      <c r="K31">
        <v>11</v>
      </c>
      <c r="L31">
        <v>1100</v>
      </c>
      <c r="M31">
        <v>11000</v>
      </c>
      <c r="S31">
        <v>1000</v>
      </c>
      <c r="T31">
        <v>10000</v>
      </c>
      <c r="Z31">
        <v>12</v>
      </c>
      <c r="AA31">
        <v>1200</v>
      </c>
      <c r="AC31">
        <v>11000</v>
      </c>
      <c r="AD31">
        <v>1100</v>
      </c>
      <c r="AE31">
        <v>11000</v>
      </c>
      <c r="AG31">
        <v>1000</v>
      </c>
      <c r="AH31">
        <v>10000</v>
      </c>
      <c r="AN31">
        <v>11</v>
      </c>
      <c r="AQ31">
        <v>12</v>
      </c>
      <c r="BE31">
        <f ca="1"/>
        <v>1100</v>
      </c>
      <c r="BF31">
        <f ca="1"/>
        <v>11</v>
      </c>
    </row>
    <row r="32" spans="1:82" x14ac:dyDescent="0.25">
      <c r="K32">
        <v>12</v>
      </c>
      <c r="L32">
        <v>1200</v>
      </c>
      <c r="M32">
        <v>12000</v>
      </c>
      <c r="S32">
        <v>1100</v>
      </c>
      <c r="T32">
        <v>11000</v>
      </c>
      <c r="AC32">
        <v>12000</v>
      </c>
      <c r="AD32">
        <v>1200</v>
      </c>
      <c r="AE32">
        <v>12000</v>
      </c>
      <c r="AG32">
        <v>1100</v>
      </c>
      <c r="AH32">
        <v>11000</v>
      </c>
      <c r="AN32">
        <v>12</v>
      </c>
      <c r="BE32">
        <f ca="1"/>
        <v>1200</v>
      </c>
      <c r="BF32">
        <f ca="1"/>
        <v>12</v>
      </c>
    </row>
    <row r="33" spans="19:34" x14ac:dyDescent="0.25">
      <c r="S33">
        <v>1200</v>
      </c>
      <c r="T33">
        <v>12000</v>
      </c>
      <c r="AG33">
        <v>1200</v>
      </c>
      <c r="AH33">
        <v>12000</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E8FA3B-3932-0343-A170-6ECBA7142B27}">
  <sheetPr codeName="Planilha2">
    <tabColor theme="9" tint="0.59999389629810485"/>
  </sheetPr>
  <dimension ref="A1:AL63"/>
  <sheetViews>
    <sheetView workbookViewId="0"/>
  </sheetViews>
  <sheetFormatPr defaultColWidth="11.42578125" defaultRowHeight="15" x14ac:dyDescent="0.25"/>
  <cols>
    <col min="1" max="1" width="15" customWidth="1"/>
    <col min="7" max="8" width="12.42578125" bestFit="1" customWidth="1"/>
    <col min="10" max="11" width="12" bestFit="1" customWidth="1"/>
    <col min="13" max="13" width="12" bestFit="1" customWidth="1"/>
    <col min="18" max="18" width="18.85546875" bestFit="1" customWidth="1"/>
    <col min="19" max="19" width="11.42578125" customWidth="1"/>
    <col min="25" max="25" width="12" bestFit="1" customWidth="1"/>
    <col min="35" max="35" width="12.42578125" customWidth="1"/>
    <col min="38" max="38" width="11.42578125" style="119"/>
  </cols>
  <sheetData>
    <row r="1" spans="1:11" ht="21" x14ac:dyDescent="0.35">
      <c r="A1" s="3" t="s">
        <v>150</v>
      </c>
    </row>
    <row r="3" spans="1:11" x14ac:dyDescent="0.25">
      <c r="A3" s="5" t="s">
        <v>148</v>
      </c>
      <c r="B3" s="5" t="s">
        <v>1</v>
      </c>
      <c r="C3" s="5" t="s">
        <v>2</v>
      </c>
      <c r="D3" s="5" t="s">
        <v>3</v>
      </c>
      <c r="E3" s="5" t="s">
        <v>13</v>
      </c>
      <c r="H3" s="41" t="s">
        <v>149</v>
      </c>
    </row>
    <row r="4" spans="1:11" x14ac:dyDescent="0.25">
      <c r="A4" s="10">
        <v>1</v>
      </c>
      <c r="B4" s="10">
        <v>1</v>
      </c>
      <c r="C4" s="10">
        <v>100</v>
      </c>
      <c r="D4" s="10">
        <v>10</v>
      </c>
      <c r="E4" s="11">
        <v>265.26878292038924</v>
      </c>
      <c r="H4" s="1" t="s">
        <v>3</v>
      </c>
      <c r="I4" s="1" t="s">
        <v>2</v>
      </c>
      <c r="J4" s="1" t="s">
        <v>1</v>
      </c>
      <c r="K4" s="1" t="s">
        <v>148</v>
      </c>
    </row>
    <row r="5" spans="1:11" x14ac:dyDescent="0.25">
      <c r="A5" s="10">
        <v>1</v>
      </c>
      <c r="B5" s="10">
        <v>20</v>
      </c>
      <c r="C5" s="10">
        <v>200</v>
      </c>
      <c r="D5" s="10">
        <v>15</v>
      </c>
      <c r="E5" s="11">
        <v>475.30682087953335</v>
      </c>
      <c r="H5" s="39" cm="1">
        <f t="array" ref="H5:K9">LINEST($E$4:$E$15,$B$4:$D$15,TRUE,TRUE)</f>
        <v>2.5249179117002831</v>
      </c>
      <c r="I5" s="39">
        <v>2.0429043412912971</v>
      </c>
      <c r="J5" s="39">
        <v>0.53044397924494457</v>
      </c>
      <c r="K5" s="39">
        <v>29.084699652339822</v>
      </c>
    </row>
    <row r="6" spans="1:11" x14ac:dyDescent="0.25">
      <c r="A6" s="10">
        <v>1</v>
      </c>
      <c r="B6" s="10">
        <v>3</v>
      </c>
      <c r="C6" s="10">
        <v>300</v>
      </c>
      <c r="D6" s="10">
        <v>24</v>
      </c>
      <c r="E6" s="11">
        <v>754.39776402666132</v>
      </c>
      <c r="H6" s="42">
        <v>1.1167848387837445</v>
      </c>
      <c r="I6" s="42">
        <v>0.12537205671625631</v>
      </c>
      <c r="J6" s="42">
        <v>1.1476798814890712</v>
      </c>
      <c r="K6" s="42">
        <v>96.441056336020281</v>
      </c>
    </row>
    <row r="7" spans="1:11" x14ac:dyDescent="0.25">
      <c r="A7" s="10">
        <v>1</v>
      </c>
      <c r="B7" s="10">
        <v>40</v>
      </c>
      <c r="C7" s="10">
        <v>400</v>
      </c>
      <c r="D7" s="10">
        <v>80</v>
      </c>
      <c r="E7" s="11">
        <v>1090.4670462806082</v>
      </c>
      <c r="H7" s="99">
        <v>0.97967505736265481</v>
      </c>
      <c r="I7" s="40">
        <v>125.34354124328823</v>
      </c>
      <c r="J7" s="40" t="e">
        <v>#N/A</v>
      </c>
      <c r="K7" s="40" t="e">
        <v>#N/A</v>
      </c>
    </row>
    <row r="8" spans="1:11" x14ac:dyDescent="0.25">
      <c r="A8" s="10">
        <v>1</v>
      </c>
      <c r="B8" s="10">
        <v>5</v>
      </c>
      <c r="C8" s="10">
        <v>500</v>
      </c>
      <c r="D8" s="10">
        <v>99</v>
      </c>
      <c r="E8" s="11">
        <v>1181.4105442863906</v>
      </c>
      <c r="H8" s="99">
        <v>128.53501563313571</v>
      </c>
      <c r="I8" s="40">
        <v>8</v>
      </c>
      <c r="J8" s="40" t="e">
        <v>#N/A</v>
      </c>
      <c r="K8" s="40" t="e">
        <v>#N/A</v>
      </c>
    </row>
    <row r="9" spans="1:11" x14ac:dyDescent="0.25">
      <c r="A9" s="10">
        <v>1</v>
      </c>
      <c r="B9" s="10">
        <v>6</v>
      </c>
      <c r="C9" s="10">
        <v>600</v>
      </c>
      <c r="D9" s="10">
        <v>101</v>
      </c>
      <c r="E9" s="11">
        <v>1671.8009340194944</v>
      </c>
      <c r="H9" s="99">
        <v>6058242.1764442837</v>
      </c>
      <c r="I9" s="40">
        <v>125688.02665126316</v>
      </c>
      <c r="J9" s="40" t="e">
        <v>#N/A</v>
      </c>
      <c r="K9" s="40" t="e">
        <v>#N/A</v>
      </c>
    </row>
    <row r="10" spans="1:11" x14ac:dyDescent="0.25">
      <c r="A10" s="10">
        <v>1</v>
      </c>
      <c r="B10" s="10">
        <v>2</v>
      </c>
      <c r="C10" s="10">
        <v>700</v>
      </c>
      <c r="D10" s="10">
        <v>78</v>
      </c>
      <c r="E10" s="11">
        <v>1646.2712500421101</v>
      </c>
    </row>
    <row r="11" spans="1:11" x14ac:dyDescent="0.25">
      <c r="A11" s="10">
        <v>1</v>
      </c>
      <c r="B11" s="10">
        <v>8</v>
      </c>
      <c r="C11" s="10">
        <v>800</v>
      </c>
      <c r="D11" s="10">
        <v>50</v>
      </c>
      <c r="E11" s="11">
        <v>1768.1117547067029</v>
      </c>
    </row>
    <row r="12" spans="1:11" x14ac:dyDescent="0.25">
      <c r="A12" s="10">
        <v>1</v>
      </c>
      <c r="B12" s="10">
        <v>9</v>
      </c>
      <c r="C12" s="10">
        <v>900</v>
      </c>
      <c r="D12" s="10">
        <v>27</v>
      </c>
      <c r="E12" s="11">
        <v>1710.2295405946118</v>
      </c>
      <c r="H12" s="7" t="s">
        <v>103</v>
      </c>
      <c r="I12" s="6"/>
    </row>
    <row r="13" spans="1:11" x14ac:dyDescent="0.25">
      <c r="A13" s="10">
        <v>1</v>
      </c>
      <c r="B13" s="10">
        <v>100</v>
      </c>
      <c r="C13" s="10">
        <v>1000</v>
      </c>
      <c r="D13" s="10">
        <v>30</v>
      </c>
      <c r="E13" s="11">
        <v>2200.6953308296324</v>
      </c>
      <c r="G13" s="7" t="s">
        <v>148</v>
      </c>
      <c r="H13" s="37" cm="1">
        <f t="array" ref="H13:H16">_xlfn.LAMBDA(_xlpm.y,_xlpm.X,MMULT(MINVERSE(MMULT(TRANSPOSE(_xlpm.X),_xlpm.X)),MMULT(TRANSPOSE(_xlpm.X),_xlpm.y)))($E$4:$E$15,$A$4:$D$15)</f>
        <v>29.084699652333711</v>
      </c>
      <c r="I13" s="38" cm="1">
        <f t="array" ref="I13:I16">OLS_COEFF($E$4:$E$15,$A$4:$D$15)</f>
        <v>29.084699652333711</v>
      </c>
    </row>
    <row r="14" spans="1:11" x14ac:dyDescent="0.25">
      <c r="A14" s="10">
        <v>1</v>
      </c>
      <c r="B14" s="10">
        <v>11</v>
      </c>
      <c r="C14" s="10">
        <v>1100</v>
      </c>
      <c r="D14" s="10">
        <v>10</v>
      </c>
      <c r="E14" s="11">
        <v>2476.5658104386744</v>
      </c>
      <c r="G14" s="7" t="s">
        <v>1</v>
      </c>
      <c r="H14" s="37">
        <v>0.53044397924494646</v>
      </c>
      <c r="I14" s="38">
        <v>0.53044397924494646</v>
      </c>
    </row>
    <row r="15" spans="1:11" x14ac:dyDescent="0.25">
      <c r="A15" s="10">
        <v>1</v>
      </c>
      <c r="B15" s="10">
        <v>120</v>
      </c>
      <c r="C15" s="10">
        <v>1200</v>
      </c>
      <c r="D15" s="10">
        <v>18</v>
      </c>
      <c r="E15" s="11">
        <v>2584.0444802715469</v>
      </c>
      <c r="G15" s="7" t="s">
        <v>2</v>
      </c>
      <c r="H15" s="37">
        <v>2.0429043412913019</v>
      </c>
      <c r="I15" s="38">
        <v>2.0429043412913019</v>
      </c>
    </row>
    <row r="16" spans="1:11" x14ac:dyDescent="0.25">
      <c r="G16" s="7" t="s">
        <v>3</v>
      </c>
      <c r="H16" s="37">
        <v>2.5249179117003209</v>
      </c>
      <c r="I16" s="38">
        <v>2.5249179117003209</v>
      </c>
    </row>
    <row r="18" spans="1:35" x14ac:dyDescent="0.25">
      <c r="A18" s="7" t="s">
        <v>104</v>
      </c>
      <c r="B18" s="6"/>
      <c r="D18" s="7" t="s">
        <v>105</v>
      </c>
      <c r="E18" s="6"/>
      <c r="H18" s="7" t="s">
        <v>145</v>
      </c>
      <c r="I18" s="6"/>
      <c r="J18" s="6"/>
      <c r="K18" s="6"/>
      <c r="L18" s="6"/>
      <c r="M18" s="6"/>
      <c r="N18" s="6"/>
      <c r="O18" s="6"/>
      <c r="R18" s="7" t="s">
        <v>144</v>
      </c>
      <c r="S18" s="6"/>
      <c r="V18" s="7" t="s">
        <v>275</v>
      </c>
      <c r="W18" s="6"/>
      <c r="Y18" s="7" t="s">
        <v>417</v>
      </c>
      <c r="Z18" s="6"/>
      <c r="AF18" s="7" t="s">
        <v>428</v>
      </c>
      <c r="AG18" s="6"/>
      <c r="AH18" s="6"/>
      <c r="AI18" s="6"/>
    </row>
    <row r="19" spans="1:35" x14ac:dyDescent="0.25">
      <c r="A19" s="35" cm="1">
        <f t="array" ref="A19:A30">_xlfn.LAMBDA(_xlpm.y,_xlpm.X,_xlop.coeff,_xlfn.LET(_xlpm.bbeta, IF(_xlfn.ISOMITTED(_xlpm.coeff), OLS_COEFF(_xlpm.y,_xlpm.X), VEC(_xlpm.coeff)), MMULT(_xlpm.X,_xlpm.bbeta)))($E$4:$E$15,$A$4:$D$15)</f>
        <v>259.15475687771209</v>
      </c>
      <c r="B19" cm="1">
        <f t="array" ref="B19:B30">OLS_FITTED($E$4:$E$15,$A$4:$D$15)</f>
        <v>259.15475687771209</v>
      </c>
      <c r="D19" s="35" cm="1">
        <f t="array" ref="D19:D30">_xlfn.LAMBDA(_xlpm.y,_xlpm.X,_xlop.coeff,_xlfn.LET(_xlpm.bbeta, IF(_xlfn.ISOMITTED(_xlpm.coeff), OLS_COEFF(_xlpm.y,_xlpm.X), VEC(_xlpm.coeff)), _xlpm.y - MMULT(_xlpm.X,_xlpm.bbeta)))($E$4:$E$15,$A$4:$D$15)</f>
        <v>6.1140260426771533</v>
      </c>
      <c r="E19" cm="1">
        <f t="array" ref="E19:E30">OLS_RESIDUALS($E$4:$E$15,$A$4:$D$15)</f>
        <v>6.1140260426771533</v>
      </c>
      <c r="G19" s="118" t="s">
        <v>148</v>
      </c>
      <c r="H19" s="35" cm="1">
        <f t="array" ref="H19:K22">_xlfn.LAMBDA(_xlpm.y,_xlpm.X,_xlop.coeff,_xlfn.LET(_xlpm.bbeta, IF(_xlfn.ISOMITTED(_xlpm.coeff), OLS_COEFF(_xlpm.y,_xlpm.X), VEC(_xlpm.coeff)),_xlpm.XX,MINVERSE(MMULT(TRANSPOSE(_xlpm.X),_xlpm.X)), ( SUM(OLS_RESIDUALS(_xlpm.y,_xlpm.X,_xlpm.bbeta)^2) / (ROWS(_xlpm.X) - COLUMNS(_xlpm.X) ) ) *_xlpm.XX))($E$4:$E$15,$A$4:$D$15)</f>
        <v>9300.8773472074445</v>
      </c>
      <c r="I19" s="35">
        <v>1.8574680583466574</v>
      </c>
      <c r="J19" s="35">
        <v>-8.0216719603849871</v>
      </c>
      <c r="K19" s="35">
        <v>-62.609152514836239</v>
      </c>
      <c r="L19" cm="1">
        <f t="array" ref="L19:O22">OLS_VARCOV($E$4:$E$15,$A$4:$D$15)</f>
        <v>9300.8773472074445</v>
      </c>
      <c r="M19">
        <v>1.8574680583466574</v>
      </c>
      <c r="N19">
        <v>-8.0216719603849871</v>
      </c>
      <c r="O19">
        <v>-62.609152514836239</v>
      </c>
      <c r="Q19" s="7" t="s">
        <v>148</v>
      </c>
      <c r="R19" s="36" cm="1">
        <f t="array" ref="R19:R22">_xlfn.LAMBDA(_xlpm.y,_xlpm.X,_xlop.coeff,_xlfn.LET(_xlpm.bbeta, IF(_xlfn.ISOMITTED(_xlpm.coeff), OLS_COEFF(_xlpm.y,_xlpm.X), VEC(_xlpm.coeff)), DIAG(SQRT(OLS_VARCOV(_xlpm.y,_xlpm.X,_xlpm.coeff))) ))($E$4:$E$15,$A$4:$D$15)</f>
        <v>96.44105633602031</v>
      </c>
      <c r="S19" s="43" cm="1">
        <f t="array" ref="S19:S22">OLS_COEFF_STDEV($E$4:$E$15,$A$4:$D$15)</f>
        <v>96.44105633602031</v>
      </c>
      <c r="U19" s="7" t="s">
        <v>148</v>
      </c>
      <c r="V19" s="36" cm="1">
        <f t="array" ref="V19:V22">_xlfn.LAMBDA(_xlpm.y,_xlpm.X,_xlop.coeff,_xlfn.LET(_xlpm.bbeta, IF(_xlfn.ISOMITTED(_xlpm.coeff), OLS_COEFF(_xlpm.y,_xlpm.X), VEC(_xlpm.coeff)), _xlpm.bbeta / DIAG(SQRT(OLS_VARCOV(_xlpm.y,_xlpm.X,_xlpm.coeff))) ))($E$4:$E$15,$A$4:$D$15)</f>
        <v>0.30158006099597962</v>
      </c>
      <c r="W19" s="43" cm="1">
        <f t="array" ref="W19:W22">OLS_COEFF_TSTAT($E$4:$E$15,$A$4:$D$15)</f>
        <v>0.30158006099597962</v>
      </c>
      <c r="Y19" s="36" cm="1">
        <f t="array" ref="Y19">_xlfn.LAMBDA(_xlpm.y,_xlpm.X,_xlop.coeff,_xlfn.LET(_xlpm.bbeta, IF(_xlfn.ISOMITTED(_xlpm.coeff), OLS_COEFF(_xlpm.y,_xlpm.X), VEC(_xlpm.coeff)), SQRT(SUMSQ(OLS_RESIDUALS(_xlpm.y,_xlpm.X,_xlpm.bbeta))/(LENGTH(_xlpm.y)-DIM(_xlpm.X,2)))  ))($E$4:$E$15,$A$4:$D$15)</f>
        <v>125.34354124328827</v>
      </c>
      <c r="Z19" s="43" cm="1">
        <f t="array" ref="Z19">OLS_STDEV($E$4:$E$15,$A$4:$D$15)</f>
        <v>125.34354124328827</v>
      </c>
      <c r="AF19" cm="1">
        <f t="array" ref="AF19:AI22">_xlfn.LAMBDA(_xlpm.y,_xlpm.X,_xlop.coeff,_xlfn.LET(_xlpm.bbeta, IF(_xlfn.ISOMITTED(_xlpm.coeff), OLS_COEFF(_xlpm.y,_xlpm.X), VEC(_xlpm.coeff)),_xlpm.XX,MINVERSE(MMULT(TRANSPOSE(_xlpm.X),_xlpm.X)),
_xlpm.n, LENGTH(_xlpm.y),
_xlpm.resMatrix, _xlpm.n/(_xlpm.n - DIM(_xlpm.X,2)) * MMULT(OLS_RESIDUALS(_xlpm.y,_xlpm.X,_xlpm.bbeta),TRANSPOSE(OLS_RESIDUALS(_xlpm.y,_xlpm.X,_xlpm.bbeta))),
_xlpm.lags, ROUNDDOWN(4*(_xlpm.n/100)^(2/9),0),
_xlpm.weightMatrix, _xlfn.MAKEARRAY(_xlpm.n,_xlpm.n, _xlfn.LAMBDA(_xlpm.lin,_xlpm.col, IF(ABS(_xlpm.col-_xlpm.lin)&gt;_xlpm.lags,0,INDEX(_xlpm.resMatrix,_xlpm.lin,_xlpm.col)*(1-ABS(_xlpm.col-_xlpm.lin)/(_xlpm.lags+1))) ) ),
_xlpm.covMatrix, MMULT( MMULT(_xlpm.XX, MMULT(MMULT(TRANSPOSE(_xlpm.X),_xlpm.weightMatrix),_xlpm.X)),_xlpm.XX),
_xlpm.covMatrix
))($E$4:$E$15,$A$4:$D$15)</f>
        <v>869.83275480621694</v>
      </c>
      <c r="AG19">
        <v>-2.6896840946094951</v>
      </c>
      <c r="AH19">
        <v>-0.1046647772260057</v>
      </c>
      <c r="AI19">
        <v>-15.973536531422482</v>
      </c>
    </row>
    <row r="20" spans="1:35" x14ac:dyDescent="0.25">
      <c r="A20" s="35">
        <v>486.1482161709979</v>
      </c>
      <c r="B20">
        <v>486.1482161709979</v>
      </c>
      <c r="D20" s="35">
        <v>-10.841395291464551</v>
      </c>
      <c r="E20">
        <v>-10.841395291464551</v>
      </c>
      <c r="G20" s="118" t="s">
        <v>1</v>
      </c>
      <c r="H20" s="35">
        <v>1.8574680583466578</v>
      </c>
      <c r="I20" s="35">
        <v>1.31716911037477</v>
      </c>
      <c r="J20" s="35">
        <v>-7.7447540093105074E-2</v>
      </c>
      <c r="K20" s="35">
        <v>0.28361851504475921</v>
      </c>
      <c r="L20">
        <v>1.8574680583466578</v>
      </c>
      <c r="M20">
        <v>1.31716911037477</v>
      </c>
      <c r="N20">
        <v>-7.7447540093105074E-2</v>
      </c>
      <c r="O20">
        <v>0.28361851504475921</v>
      </c>
      <c r="Q20" s="7" t="s">
        <v>1</v>
      </c>
      <c r="R20" s="36">
        <v>1.1476798814890719</v>
      </c>
      <c r="S20" s="43">
        <v>1.1476798814890719</v>
      </c>
      <c r="U20" s="7" t="s">
        <v>1</v>
      </c>
      <c r="V20" s="36">
        <v>0.46218809600174848</v>
      </c>
      <c r="W20" s="43">
        <v>0.46218809600174848</v>
      </c>
      <c r="AF20">
        <v>-2.6896840946095928</v>
      </c>
      <c r="AG20">
        <v>1.1493849747463476</v>
      </c>
      <c r="AH20">
        <v>-0.13339580450587871</v>
      </c>
      <c r="AI20">
        <v>0.68831415436974197</v>
      </c>
    </row>
    <row r="21" spans="1:35" x14ac:dyDescent="0.25">
      <c r="A21" s="35">
        <v>704.14536385826682</v>
      </c>
      <c r="B21">
        <v>704.14536385826682</v>
      </c>
      <c r="D21" s="35">
        <v>50.252400168394502</v>
      </c>
      <c r="E21">
        <v>50.252400168394502</v>
      </c>
      <c r="G21" s="118" t="s">
        <v>2</v>
      </c>
      <c r="H21" s="35">
        <v>-8.0216719603849835</v>
      </c>
      <c r="I21" s="35">
        <v>-7.7447540093105074E-2</v>
      </c>
      <c r="J21" s="35">
        <v>1.5718152605264206E-2</v>
      </c>
      <c r="K21" s="35">
        <v>-2.1606573176786523E-3</v>
      </c>
      <c r="L21">
        <v>-8.0216719603849835</v>
      </c>
      <c r="M21">
        <v>-7.7447540093105074E-2</v>
      </c>
      <c r="N21">
        <v>1.5718152605264206E-2</v>
      </c>
      <c r="O21">
        <v>-2.1606573176786523E-3</v>
      </c>
      <c r="Q21" s="7" t="s">
        <v>2</v>
      </c>
      <c r="R21" s="36">
        <v>0.12537205671625637</v>
      </c>
      <c r="S21" s="43">
        <v>0.12537205671625637</v>
      </c>
      <c r="U21" s="7" t="s">
        <v>2</v>
      </c>
      <c r="V21" s="36">
        <v>16.29473420791707</v>
      </c>
      <c r="W21" s="43">
        <v>16.29473420791707</v>
      </c>
      <c r="Y21" s="7" t="s">
        <v>419</v>
      </c>
      <c r="Z21" s="6"/>
      <c r="AF21">
        <v>-0.1046647772259961</v>
      </c>
      <c r="AG21">
        <v>-0.13339580450587879</v>
      </c>
      <c r="AH21">
        <v>1.5838640488222429E-2</v>
      </c>
      <c r="AI21">
        <v>-7.7750171325460346E-2</v>
      </c>
    </row>
    <row r="22" spans="1:35" x14ac:dyDescent="0.25">
      <c r="A22" s="35">
        <v>1069.457628274678</v>
      </c>
      <c r="B22">
        <v>1069.457628274678</v>
      </c>
      <c r="D22" s="35">
        <v>21.009418005930229</v>
      </c>
      <c r="E22">
        <v>21.009418005930229</v>
      </c>
      <c r="G22" s="118" t="s">
        <v>3</v>
      </c>
      <c r="H22" s="35">
        <v>-62.609152514836225</v>
      </c>
      <c r="I22" s="35">
        <v>0.2836185150447591</v>
      </c>
      <c r="J22" s="35">
        <v>-2.160657317678625E-3</v>
      </c>
      <c r="K22" s="35">
        <v>1.2472083761372352</v>
      </c>
      <c r="L22">
        <v>-62.609152514836225</v>
      </c>
      <c r="M22">
        <v>0.2836185150447591</v>
      </c>
      <c r="N22">
        <v>-2.160657317678625E-3</v>
      </c>
      <c r="O22">
        <v>1.2472083761372352</v>
      </c>
      <c r="Q22" s="7" t="s">
        <v>3</v>
      </c>
      <c r="R22" s="36">
        <v>1.1167848387837449</v>
      </c>
      <c r="S22" s="43">
        <v>1.1167848387837449</v>
      </c>
      <c r="U22" s="7" t="s">
        <v>3</v>
      </c>
      <c r="V22" s="36">
        <v>2.260881258425866</v>
      </c>
      <c r="W22" s="43">
        <v>2.260881258425866</v>
      </c>
      <c r="Y22" s="36" cm="1">
        <f t="array" ref="Y22">_xlfn.LAMBDA(_xlpm.y,_xlpm.X,_xlop.coeff,_xlfn.LET(_xlpm.bbeta, IF(_xlfn.ISOMITTED(_xlpm.coeff), OLS_COEFF(_xlpm.y,_xlpm.X), VEC(_xlpm.coeff)), _xlfn.VAR.P(OLS_FITTED(_xlpm.y,_xlpm.X,_xlpm.bbeta))*LENGTH(_xlpm.y)  ))($E$4:$E$15,$A$4:$D$15)</f>
        <v>6058242.1764443014</v>
      </c>
      <c r="Z22" s="43" cm="1">
        <f t="array" ref="Z22">OLS_ESS($E$4:$E$15,$A$4:$D$15)</f>
        <v>6058242.1764443014</v>
      </c>
      <c r="AF22">
        <v>-15.97353653142248</v>
      </c>
      <c r="AG22">
        <v>0.68831415436974108</v>
      </c>
      <c r="AH22">
        <v>-7.7750171325460235E-2</v>
      </c>
      <c r="AI22">
        <v>0.81725405415870112</v>
      </c>
    </row>
    <row r="23" spans="1:35" x14ac:dyDescent="0.25">
      <c r="A23" s="35">
        <v>1303.1559634525413</v>
      </c>
      <c r="B23">
        <v>1303.1559634525413</v>
      </c>
      <c r="D23" s="35">
        <v>-121.74541916615067</v>
      </c>
      <c r="E23">
        <v>-121.74541916615067</v>
      </c>
    </row>
    <row r="24" spans="1:35" x14ac:dyDescent="0.25">
      <c r="A24" s="35">
        <v>1513.0266773843168</v>
      </c>
      <c r="B24">
        <v>1513.0266773843168</v>
      </c>
      <c r="D24" s="35">
        <v>158.77425663517761</v>
      </c>
      <c r="E24">
        <v>158.77425663517761</v>
      </c>
      <c r="Y24" s="7" t="s">
        <v>420</v>
      </c>
      <c r="Z24" s="6"/>
    </row>
    <row r="25" spans="1:35" x14ac:dyDescent="0.25">
      <c r="A25" s="35">
        <v>1657.12222362736</v>
      </c>
      <c r="B25">
        <v>1657.12222362736</v>
      </c>
      <c r="D25" s="35">
        <v>-10.850973585249903</v>
      </c>
      <c r="E25">
        <v>-10.850973585249903</v>
      </c>
      <c r="H25" s="7" t="s">
        <v>496</v>
      </c>
      <c r="I25" s="6"/>
      <c r="R25" s="7" t="s">
        <v>310</v>
      </c>
      <c r="S25" s="6"/>
      <c r="V25" s="7" t="s">
        <v>312</v>
      </c>
      <c r="W25" s="6"/>
      <c r="Y25" s="36" cm="1">
        <f t="array" ref="Y25">_xlfn.LAMBDA(_xlpm.y,_xlpm.X,_xlop.coeff,_xlfn.LET(_xlpm.bbeta, IF(_xlfn.ISOMITTED(_xlpm.coeff), OLS_COEFF(_xlpm.y,_xlpm.X), VEC(_xlpm.coeff)), _xlfn.VAR.P(OLS_RESIDUALS(_xlpm.y,_xlpm.X,_xlpm.bbeta))*LENGTH(_xlpm.y)  ))($E$4:$E$15,$A$4:$D$15)</f>
        <v>125688.02665126327</v>
      </c>
      <c r="Z25" s="43" cm="1">
        <f t="array" ref="Z25">OLS_RSS($E$4:$E$15,$A$4:$D$15)</f>
        <v>125688.02665126327</v>
      </c>
      <c r="AG25" s="7" t="s">
        <v>429</v>
      </c>
      <c r="AH25" s="6"/>
    </row>
    <row r="26" spans="1:35" x14ac:dyDescent="0.25">
      <c r="A26" s="35">
        <v>1793.8976201043511</v>
      </c>
      <c r="B26">
        <v>1793.8976201043511</v>
      </c>
      <c r="D26" s="35">
        <v>-25.785865397648195</v>
      </c>
      <c r="E26">
        <v>-25.785865397648195</v>
      </c>
      <c r="H26" s="35" cm="1">
        <f t="array" ref="H26:H37">_xlfn.LAMBDA(_xlpm.y,_xlpm.X,_xlop.coeff,_xlop.standardized,
_xlfn.LET(
_xlpm.bbeta, IF(_xlfn.ISOMITTED(_xlpm.coeff), OLS_COEFF(_xlpm.y,_xlpm.X), VEC(_xlpm.coeff)),
_xlpm.standardized, IF(_xlfn.ISOMITTED(_xlpm.standardized), TRUE, _xlpm.standardized),
_xlpm.res, _xlpm.y - MMULT(_xlpm.X,_xlpm.bbeta),
_xlpm.n, LENGTH(_xlpm.y),
_xlpm.df, _xlpm.n - DIM(_xlpm.X,2),
_xlpm.MSres, SUM(_xlpm.res^2)/_xlpm.df,
_xlfn.SWITCH(_xlpm.standardized,
FALSE, _xlpm.res,
TRUE, _xlpm.res / SQRT(_xlpm.MSres),
"N", _xlpm.res / SQRT(_xlpm.MSres),
"T", _xlpm.res / SQRT(_xlpm.MSres*(1-OLS_LEVERAGE(_xlpm.y,_xlpm.X,_xlpm.bbeta))),
"TOUT", _xlfn.LET(_xlpm.lev, OLS_LEVERAGE(_xlpm.y,_xlpm.X,_xlpm.bbeta), _xlpm.MSresi, ( (_xlpm.n-_xlpm.df+1)*_xlpm.MSres - _xlpm.res^2 / (1-_xlpm.lev) ) / (_xlpm.n - _xlpm.df), _xlpm.res / SQRT(_xlpm.MSresi * (1 - _xlpm.lev)) ),
"# param standardized must be FALSE (default), TRUE (or ""N""), ""T"" or ""TOUT"""
)
))($E$4:$E$15,$A$4:$D$15)</f>
        <v>4.8778149891345428E-2</v>
      </c>
      <c r="I26" cm="1">
        <f t="array" ref="I26:I37">OLS_RESIDUALS_STD($E$4:$E$15,$A$4:$D$15)</f>
        <v>4.8778149891345428E-2</v>
      </c>
      <c r="Q26" s="7" t="s">
        <v>148</v>
      </c>
      <c r="R26" s="36" cm="1">
        <f t="array" ref="R26:R29">_xlfn.LAMBDA(_xlpm.y,_xlpm.X,_xlop.coeff,_xlfn.LET(_xlpm.bbeta, IF(_xlfn.ISOMITTED(_xlpm.coeff), OLS_COEFF(_xlpm.y,_xlpm.X), VEC(_xlpm.coeff)), _xlpm.tstat, _xlpm.bbeta / DIAG(SQRT(OLS_VARCOV(_xlpm.y,_xlpm.X,_xlpm.coeff))), _xlfn.T.DIST.2T(ABS(_xlpm.tstat), LENGTH(_xlpm.y) - DIM(_xlpm.X,2) )))($E$4:$E$15,$A$4:$D$15)</f>
        <v>0.77066276877823414</v>
      </c>
      <c r="S26" s="43" cm="1">
        <f t="array" ref="S26:S29">OLS_COEFF_PVALUE($E$4:$E$15,$A$4:$D$15)</f>
        <v>0.77066276877823414</v>
      </c>
      <c r="V26" s="36" cm="1">
        <f t="array" ref="V26">_xlfn.LAMBDA(_xlpm.y,_xlpm.X,_xlop.coeff,_xlfn.LET(_xlpm.bbeta, IF(_xlfn.ISOMITTED(_xlpm.coeff), OLS_COEFF(_xlpm.y,_xlpm.X), VEC(_xlpm.coeff)), _xlpm.resid, OLS_RESIDUALS(_xlpm.y,_xlpm.X,_xlpm.bbeta), SUM( LN(_xlfn.NORM.DIST(_xlpm.resid,0, SQRT(SUMSQ(_xlpm.resid)/(LENGTH(_xlpm.y) - DIM(_xlpm.X,2)) ),FALSE )) )  ))($E$4:$E$15,$A$4:$D$15)</f>
        <v>-72.999961968399646</v>
      </c>
      <c r="W26" s="43" cm="1">
        <f t="array" ref="W26">OLS_LOGLIKELIHOOD($E$4:$E$15,$A$4:$D$15)</f>
        <v>-72.999961968399646</v>
      </c>
      <c r="AF26" s="7" t="s">
        <v>148</v>
      </c>
      <c r="AG26" s="36" cm="1">
        <f t="array" ref="AG26:AG29">_xlfn.LAMBDA(_xlpm.y,_xlpm.X,_xlop.coeff,_xlfn.LET(_xlpm.bbeta, IF(_xlfn.ISOMITTED(_xlpm.coeff), OLS_COEFF(_xlpm.y,_xlpm.X), VEC(_xlpm.coeff)), DIAG(SQRT(OLS_VARCOV_HAC(_xlpm.y,_xlpm.X,_xlpm.coeff))) ))($E$4:$E$15,$A$4:$D$15)</f>
        <v>29.492927199690048</v>
      </c>
      <c r="AH26" s="43" cm="1">
        <f t="array" ref="AH26:AH29">OLS_COEFF_STDEV_HAC($E$4:$E$15,$A$4:$D$15)</f>
        <v>29.492927199690048</v>
      </c>
    </row>
    <row r="27" spans="1:35" x14ac:dyDescent="0.25">
      <c r="A27" s="35">
        <v>1940.6453862436185</v>
      </c>
      <c r="B27">
        <v>1940.6453862436185</v>
      </c>
      <c r="D27" s="35">
        <v>-230.41584564900677</v>
      </c>
      <c r="E27">
        <v>-230.41584564900677</v>
      </c>
      <c r="H27" s="35">
        <v>-8.6493449793489621E-2</v>
      </c>
      <c r="I27">
        <v>-8.6493449793489621E-2</v>
      </c>
      <c r="Q27" s="7" t="s">
        <v>1</v>
      </c>
      <c r="R27" s="36">
        <v>0.65625620297275611</v>
      </c>
      <c r="S27" s="43">
        <v>0.65625620297275611</v>
      </c>
      <c r="W27" s="43"/>
      <c r="Y27" s="7" t="s">
        <v>424</v>
      </c>
      <c r="Z27" s="6"/>
      <c r="AF27" s="7" t="s">
        <v>1</v>
      </c>
      <c r="AG27" s="36">
        <v>1.0720937341232564</v>
      </c>
      <c r="AH27" s="43">
        <v>1.0720937341232564</v>
      </c>
    </row>
    <row r="28" spans="1:35" x14ac:dyDescent="0.25">
      <c r="A28" s="35">
        <v>2200.78097621914</v>
      </c>
      <c r="B28">
        <v>2200.78097621914</v>
      </c>
      <c r="D28" s="35">
        <v>-8.5645389507590153E-2</v>
      </c>
      <c r="E28">
        <v>-8.5645389507590153E-2</v>
      </c>
      <c r="H28" s="35">
        <v>0.40091734819312319</v>
      </c>
      <c r="I28">
        <v>0.40091734819312319</v>
      </c>
      <c r="Q28" s="7" t="s">
        <v>2</v>
      </c>
      <c r="R28" s="36">
        <v>2.0249640623272898E-7</v>
      </c>
      <c r="S28" s="43">
        <v>2.0249640623272898E-7</v>
      </c>
      <c r="V28" s="7" t="s">
        <v>313</v>
      </c>
      <c r="W28" s="6"/>
      <c r="Y28" s="36" cm="1">
        <f t="array" ref="Y28">_xlfn.LAMBDA(_xlpm.y,_xlpm.X,_xlop.coeff,_xlfn.LET(_xlpm.bbeta, IF(_xlfn.ISOMITTED(_xlpm.coeff), OLS_COEFF(_xlpm.y,_xlpm.X), VEC(_xlpm.coeff)), OLS_ESS(_xlpm.y,_xlpm.X,_xlpm.bbeta) + OLS_RSS(_xlpm.y,_xlpm.X,_xlpm.bbeta)  ))($E$4:$E$15,$A$4:$D$15)</f>
        <v>6183930.2030955646</v>
      </c>
      <c r="Z28" s="43" cm="1">
        <f t="array" ref="Z28">OLS_TSS($E$4:$E$15,$A$4:$D$15)</f>
        <v>6183930.2030955646</v>
      </c>
      <c r="AF28" s="7" t="s">
        <v>2</v>
      </c>
      <c r="AG28" s="36">
        <v>0.12585166064944248</v>
      </c>
      <c r="AH28" s="43">
        <v>0.12585166064944248</v>
      </c>
    </row>
    <row r="29" spans="1:35" x14ac:dyDescent="0.25">
      <c r="A29" s="35">
        <v>2307.3635379614634</v>
      </c>
      <c r="B29">
        <v>2307.3635379614634</v>
      </c>
      <c r="D29" s="35">
        <v>169.20227247721095</v>
      </c>
      <c r="E29">
        <v>169.20227247721095</v>
      </c>
      <c r="H29" s="35">
        <v>0.16761468359308232</v>
      </c>
      <c r="I29">
        <v>0.16761468359308232</v>
      </c>
      <c r="Q29" s="7" t="s">
        <v>3</v>
      </c>
      <c r="R29" s="36">
        <v>5.3648529796647498E-2</v>
      </c>
      <c r="S29" s="43">
        <v>5.3648529796647498E-2</v>
      </c>
      <c r="V29" s="36" cm="1">
        <f t="array" ref="V29">_xlfn.LAMBDA(_xlpm.y,_xlpm.X,_xlop.coeff,_xlfn.LET(_xlpm.bbeta, IF(_xlfn.ISOMITTED(_xlpm.coeff), OLS_COEFF(_xlpm.y,_xlpm.X), VEC(_xlpm.coeff)), 2*DIM(_xlpm.X,2) - 2*OLS_LOGLIKELIHOOD(_xlpm.y,_xlpm.X,_xlpm.coeff)  ))($E$4:$E$15,$A$4:$D$15)</f>
        <v>153.99992393679929</v>
      </c>
      <c r="W29" s="43" cm="1">
        <f t="array" ref="W29">OLS_AIC($E$4:$E$15,$A$4:$D$15)</f>
        <v>153.99992393679929</v>
      </c>
      <c r="AF29" s="7" t="s">
        <v>3</v>
      </c>
      <c r="AG29" s="36">
        <v>0.90402104740913036</v>
      </c>
      <c r="AH29" s="43">
        <v>0.90402104740913036</v>
      </c>
    </row>
    <row r="30" spans="1:35" x14ac:dyDescent="0.25">
      <c r="A30" s="35">
        <v>2589.6717091218952</v>
      </c>
      <c r="B30">
        <v>2589.6717091218952</v>
      </c>
      <c r="D30" s="35">
        <v>-5.6272288503482741</v>
      </c>
      <c r="E30">
        <v>-5.6272288503482741</v>
      </c>
      <c r="H30" s="35">
        <v>-0.97129391716998204</v>
      </c>
      <c r="I30">
        <v>-0.97129391716998204</v>
      </c>
      <c r="Y30" s="7" t="s">
        <v>416</v>
      </c>
      <c r="Z30" s="6"/>
    </row>
    <row r="31" spans="1:35" x14ac:dyDescent="0.25">
      <c r="H31" s="35">
        <v>1.2667127086109786</v>
      </c>
      <c r="I31">
        <v>1.2667127086109786</v>
      </c>
      <c r="R31" s="7" t="s">
        <v>318</v>
      </c>
      <c r="S31" s="6"/>
      <c r="V31" s="7" t="s">
        <v>314</v>
      </c>
      <c r="W31" s="6"/>
      <c r="Y31" s="36" cm="1">
        <f t="array" ref="Y31">_xlfn.LAMBDA(_xlpm.y,_xlpm.X,_xlop.coeff,_xlfn.LET(_xlpm.bbeta, IF(_xlfn.ISOMITTED(_xlpm.coeff), OLS_COEFF(_xlpm.y,_xlpm.X), VEC(_xlpm.coeff)), OLS_ESS(_xlpm.y,_xlpm.X,_xlpm.bbeta)/(OLS_ESS(_xlpm.y,_xlpm.X,_xlpm.bbeta) + OLS_RSS(_xlpm.y,_xlpm.X,_xlpm.bbeta))  ))($E$4:$E$15,$A$4:$D$15)</f>
        <v>0.97967505736265492</v>
      </c>
      <c r="Z31" s="43" cm="1">
        <f t="array" ref="Z31">OLS_R2($E$4:$E$15,$A$4:$D$15)</f>
        <v>0.97967505736265492</v>
      </c>
    </row>
    <row r="32" spans="1:35" x14ac:dyDescent="0.25">
      <c r="H32" s="35">
        <v>-8.6569866126476117E-2</v>
      </c>
      <c r="I32">
        <v>-8.6569866126476117E-2</v>
      </c>
      <c r="Q32" s="6">
        <v>0</v>
      </c>
      <c r="R32" s="36" cm="1">
        <f t="array" ref="R32:R35">_xlfn.LAMBDA(_xlpm.y,_xlpm.X,_xlpm.nLags,_xlop.addConstant,_xlop.criterion,_xlop.returnCriterionValues,_xlop.includeZeroLag,
_xlfn.LET(
_xlpm.criterion, IF(_xlfn.ISOMITTED(_xlpm.criterion), "BIC", UPPER(_xlpm.criterion)),
_xlpm.returnCriterionValues, IF(_xlfn.ISOMITTED(_xlpm.returnCriterionValues), FALSE, _xlpm.returnCriterionValues),
_xlpm.includeZeroLag, IF(_xlfn.ISOMITTED(_xlpm.includeZeroLag), FALSE, _xlpm.includeZeroLag),
_xlpm.X_1, IF( OR( _xlfn.ISOMITTED(_xlpm.addConstant), _xlpm.addConstant), ADDCONST(_xlpm.X), _xlpm.X),
_xlpm.X_2, RMMISSING( HORZCAT(_xlpm.y, HORZCAT( _xlpm.X_1, LAG(_xlpm.y,_xlpm.nLags,TRUE,TRUE,FALSE) ) ) ),
_xlpm.y, SLICE(_xlpm.X_2,0,0,1,1),
IF( AND(_xlpm.criterion &lt;&gt; "AIC", _xlpm.criterion &lt;&gt; "BIC"), "# Criterion must be AIC or BIC",
IF( DIM(_xlpm.X_2,1) &lt;= DIM(_xlpm.X_2,2), "# Number of parameters must be smaller than the non-missing sample size (after adding lags)",
_xlfn.LET(
_xlpm.critFunc, _xlfn.SWITCH(_xlpm.criterion,"AIC",_xlfn.LAMBDA(_xlpm.funcY,_xlpm.funcX,OLS_AIC(_xlpm.funcY,_xlpm.funcX)), "BIC",_xlfn.LAMBDA(_xlpm.funcY,_xlpm.funcX,OLS_BIC(_xlpm.funcY,_xlpm.funcX))),
_xlpm.critValues, _xlfn.MAP(_xlfn.SEQUENCE(_xlpm.nLags + _xlpm.includeZeroLag), _xlfn.LAMBDA(_xlpm.row, _xlpm.critFunc(_xlpm.y, SLICE(_xlpm.X_2,0,0,2,DIM(_xlpm.X_2,2) - (_xlpm.nLags - _xlpm.row + _xlpm.includeZeroLag))) ) ),
IF(_xlpm.returnCriterionValues, _xlpm.critValues, MATCH( MIN(_xlpm.critValues), _xlpm.critValues, 0) - _xlpm.includeZeroLag )
)))))($E$4:$E$15,$A$4:$D$15,3,FALSE,"BIC",TRUE,TRUE)</f>
        <v>120.47053712869173</v>
      </c>
      <c r="S32" s="43" cm="1">
        <f t="array" ref="S32:S35">OLS_OPTIMAL_LAG($E$4:$E$15,$A$4:$D$15,3,FALSE,"BIC",TRUE,TRUE)</f>
        <v>120.47053712869173</v>
      </c>
      <c r="V32" s="36" cm="1">
        <f t="array" ref="V32">_xlfn.LAMBDA(_xlpm.y,_xlpm.X,_xlop.coeff,_xlfn.LET(_xlpm.bbeta, IF(_xlfn.ISOMITTED(_xlpm.coeff), OLS_COEFF(_xlpm.y,_xlpm.X), VEC(_xlpm.coeff)), DIM(_xlpm.X,2)*LN(LENGTH(_xlpm.y)) - 2*OLS_LOGLIKELIHOOD(_xlpm.y,_xlpm.X,_xlpm.coeff)  ))($E$4:$E$15,$A$4:$D$15)</f>
        <v>155.9395505359513</v>
      </c>
      <c r="W32" s="43" cm="1">
        <f t="array" ref="W32">OLS_BIC($E$4:$E$15,$A$4:$D$15)</f>
        <v>155.9395505359513</v>
      </c>
    </row>
    <row r="33" spans="8:34" x14ac:dyDescent="0.25">
      <c r="H33" s="35">
        <v>-0.20572153253272588</v>
      </c>
      <c r="I33">
        <v>-0.20572153253272588</v>
      </c>
      <c r="Q33" s="6">
        <v>1</v>
      </c>
      <c r="R33" s="36">
        <v>123.24045895174554</v>
      </c>
      <c r="S33" s="43">
        <v>123.24045895174554</v>
      </c>
      <c r="Y33" s="7" t="s">
        <v>426</v>
      </c>
      <c r="Z33" s="6"/>
      <c r="AG33" s="7" t="s">
        <v>432</v>
      </c>
      <c r="AH33" s="6"/>
    </row>
    <row r="34" spans="8:34" x14ac:dyDescent="0.25">
      <c r="H34" s="35">
        <v>-1.8382745801139935</v>
      </c>
      <c r="I34">
        <v>-1.8382745801139935</v>
      </c>
      <c r="Q34" s="6">
        <v>2</v>
      </c>
      <c r="R34" s="36">
        <v>124.85085052053006</v>
      </c>
      <c r="S34" s="43">
        <v>124.85085052053006</v>
      </c>
      <c r="V34" s="7" t="s">
        <v>450</v>
      </c>
      <c r="W34" s="6"/>
      <c r="Y34" s="36" cm="1">
        <f t="array" ref="Y34">_xlfn.LAMBDA(_xlpm.y,_xlpm.X,_xlop.coeff,_xlfn.LET(_xlpm.bbeta, IF(_xlfn.ISOMITTED(_xlpm.coeff), OLS_COEFF(_xlpm.y,_xlpm.X), VEC(_xlpm.coeff)), 1 - (1-OLS_R2(_xlpm.y,_xlpm.X,_xlpm.coeff))*(LENGTH(_xlpm.y)-1)/(LENGTH(_xlpm.y)-DIM(_xlpm.X,2)) ))($E$4:$E$15,$A$4:$D$15)</f>
        <v>0.97205320387365046</v>
      </c>
      <c r="Z34" s="43" cm="1">
        <f t="array" ref="Z34">OLS_R2_ADJUSTED($E$4:$E$15,$A$4:$D$15)</f>
        <v>0.97205320387365046</v>
      </c>
      <c r="AF34" s="7" t="s">
        <v>148</v>
      </c>
      <c r="AG34" s="36" cm="1">
        <f t="array" ref="AG34:AG37">_xlfn.LAMBDA(_xlpm.y,_xlpm.X,_xlop.coeff,_xlfn.LET(_xlpm.bbeta, IF(_xlfn.ISOMITTED(_xlpm.coeff), OLS_COEFF(_xlpm.y,_xlpm.X), VEC(_xlpm.coeff)), _xlpm.bbeta / DIAG(SQRT(OLS_VARCOV_HAC(_xlpm.y,_xlpm.X,_xlpm.coeff))) ))($E$4:$E$15,$A$4:$D$15)</f>
        <v>0.98615845946411762</v>
      </c>
      <c r="AH34" s="43" cm="1">
        <f t="array" ref="AH34:AH37">OLS_COEFF_TSTAT_HAC($E$4:$E$15,$A$4:$D$15)</f>
        <v>0.98615845946411762</v>
      </c>
    </row>
    <row r="35" spans="8:34" x14ac:dyDescent="0.25">
      <c r="H35" s="35">
        <v>-6.8328522282097386E-4</v>
      </c>
      <c r="I35">
        <v>-6.8328522282097386E-4</v>
      </c>
      <c r="Q35" s="6">
        <v>3</v>
      </c>
      <c r="R35" s="36">
        <v>126.5847702957562</v>
      </c>
      <c r="S35" s="43">
        <v>126.5847702957562</v>
      </c>
      <c r="V35" s="36" cm="1">
        <f t="array" ref="V35">_xlfn.LAMBDA(_xlpm.y,_xlpm.X,_xlop.coeff,_xlfn.LET(_xlpm.bbeta, IF(_xlfn.ISOMITTED(_xlpm.coeff), OLS_COEFF(_xlpm.y,_xlpm.X), VEC(_xlpm.coeff)), (OLS_R2(_xlpm.y,_xlpm.X,_xlpm.coeff)/(DIM(_xlpm.X,2)-1))/((1-OLS_R2(_xlpm.y,_xlpm.X,_xlpm.coeff))/(LENGTH(_xlpm.y)-DIM(_xlpm.X,2))) ))($E$4:$E$15,$A$4:$D$15)</f>
        <v>128.53501563313623</v>
      </c>
      <c r="W35" s="43" cm="1">
        <f t="array" ref="W35">OLS_FSTAT($E$4:$E$15,$A$4:$D$15)</f>
        <v>128.53501563313623</v>
      </c>
      <c r="AF35" s="7" t="s">
        <v>1</v>
      </c>
      <c r="AG35" s="36">
        <v>0.49477388250826437</v>
      </c>
      <c r="AH35" s="43">
        <v>0.49477388250826437</v>
      </c>
    </row>
    <row r="36" spans="8:34" x14ac:dyDescent="0.25">
      <c r="H36" s="35">
        <v>1.349908186723352</v>
      </c>
      <c r="I36">
        <v>1.349908186723352</v>
      </c>
      <c r="Y36" s="7" t="s">
        <v>495</v>
      </c>
      <c r="Z36" s="6"/>
      <c r="AA36" s="6"/>
      <c r="AB36" s="6"/>
      <c r="AC36" s="6"/>
      <c r="AD36" s="6"/>
      <c r="AF36" s="7" t="s">
        <v>2</v>
      </c>
      <c r="AG36" s="36">
        <v>16.23263714399268</v>
      </c>
      <c r="AH36" s="43">
        <v>16.23263714399268</v>
      </c>
    </row>
    <row r="37" spans="8:34" x14ac:dyDescent="0.25">
      <c r="H37" s="35">
        <v>-4.4894446052277888E-2</v>
      </c>
      <c r="I37">
        <v>-4.4894446052277888E-2</v>
      </c>
      <c r="V37" s="7" t="s">
        <v>452</v>
      </c>
      <c r="W37" s="6"/>
      <c r="Y37" s="36" cm="1">
        <f t="array" ref="Y37:AA48">_xlfn.LAMBDA(_xlpm.Xtarget,_xlpm.significance,_xlpm.y,_xlpm.X,_xlop.coeff,_xlfn.LET(_xlpm.Xtarget, TRANSPOSE(_xlpm.Xtarget), _xlpm.bbeta, IF(_xlfn.ISOMITTED(_xlpm.coeff), OLS_COEFF(_xlpm.y,_xlpm.X), VEC(_xlpm.coeff)),
_xlpm.df, LENGTH(_xlpm.y)-DIM(_xlpm.X,2),
_xlpm.MSres, SUM(OLS_RESIDUALS(_xlpm.y,_xlpm.X,_xlpm.bbeta)^2)/_xlpm.df,
_xlpm.seFIT, SQRT( _xlpm.MSres * MMULT(MMULT(TRANSPOSE(_xlpm.Xtarget), MINVERSE(MMULT(TRANSPOSE(_xlpm.X),_xlpm.X))),_xlpm.Xtarget) ),
_xlpm.fcst, TRANSPOSE(_xlfn.BYCOL(_xlpm.Xtarget, _xlfn.LAMBDA(_xlpm.col, SUM(_xlpm.col*_xlpm.bbeta)))),
_xlpm.tcrit, _xlfn.T.DIST.2T(_xlpm.significance, _xlpm.df),
HORZCAT(HORZCAT(_xlpm.fcst-_xlpm.tcrit*DIAG(_xlpm.seFIT), _xlpm.fcst),_xlpm.fcst+_xlpm.tcrit*DIAG(_xlpm.seFIT))
))($A$4:$D$15,5%,$E$4:$E$15,$A$4:$D$15)</f>
        <v>180.36433261861598</v>
      </c>
      <c r="Z37">
        <v>259.15475687771209</v>
      </c>
      <c r="AA37">
        <v>337.94518113680817</v>
      </c>
      <c r="AB37" s="43" cm="1">
        <f t="array" ref="AB37:AD48">OLS_CONF_INTERVAL($A$4:$D$15,5%,$E$4:$E$15,$A$4:$D$15)</f>
        <v>180.36433261861598</v>
      </c>
      <c r="AC37">
        <v>259.15475687771209</v>
      </c>
      <c r="AD37">
        <v>337.94518113680817</v>
      </c>
      <c r="AF37" s="7" t="s">
        <v>3</v>
      </c>
      <c r="AG37" s="36">
        <v>2.7929857594981695</v>
      </c>
      <c r="AH37" s="43">
        <v>2.7929857594981695</v>
      </c>
    </row>
    <row r="38" spans="8:34" x14ac:dyDescent="0.25">
      <c r="V38" s="100" cm="1">
        <f t="array" ref="V38">_xlfn.LAMBDA(_xlpm.y,_xlpm.X,_xlop.coeff,_xlfn.LET(_xlpm.bbeta, IF(_xlfn.ISOMITTED(_xlpm.coeff), OLS_COEFF(_xlpm.y,_xlpm.X), VEC(_xlpm.coeff)), _xlfn.F.DIST.RT(OLS_FSTAT(_xlpm.y,_xlpm.X,_xlpm.bbeta),DIM(_xlpm.X,2)-1,LENGTH(_xlpm.y)-DIM(_xlpm.X,2)) ))($E$4:$E$15,$A$4:$D$15)</f>
        <v>4.1654071387642334E-7</v>
      </c>
      <c r="W38" s="106" cm="1">
        <f t="array" ref="W38">OLS_FSTAT_PVALUE($E$4:$E$15,$A$4:$D$15)</f>
        <v>4.1654071387642334E-7</v>
      </c>
      <c r="Y38" s="36">
        <v>416.41186035203975</v>
      </c>
      <c r="Z38">
        <v>486.1482161709979</v>
      </c>
      <c r="AA38">
        <v>555.88457198995604</v>
      </c>
      <c r="AB38" s="43">
        <v>416.41186035203975</v>
      </c>
      <c r="AC38">
        <v>486.1482161709979</v>
      </c>
      <c r="AD38">
        <v>555.88457198995604</v>
      </c>
    </row>
    <row r="39" spans="8:34" x14ac:dyDescent="0.25">
      <c r="Y39" s="36">
        <v>647.19830584760859</v>
      </c>
      <c r="Z39">
        <v>704.14536385826682</v>
      </c>
      <c r="AA39">
        <v>761.09242186892504</v>
      </c>
      <c r="AB39" s="43">
        <v>647.19830584760859</v>
      </c>
      <c r="AC39">
        <v>704.14536385826682</v>
      </c>
      <c r="AD39">
        <v>761.09242186892504</v>
      </c>
    </row>
    <row r="40" spans="8:34" x14ac:dyDescent="0.25">
      <c r="H40" s="7" t="s">
        <v>498</v>
      </c>
      <c r="I40" s="6"/>
      <c r="J40" s="6"/>
      <c r="K40" s="6"/>
      <c r="L40" s="6"/>
      <c r="M40" s="6"/>
      <c r="N40" s="6"/>
      <c r="O40" s="6"/>
      <c r="R40" s="7" t="s">
        <v>491</v>
      </c>
      <c r="S40" s="6"/>
      <c r="V40" s="7" t="s">
        <v>492</v>
      </c>
      <c r="W40" s="6"/>
      <c r="Y40" s="36">
        <v>1002.7305285345567</v>
      </c>
      <c r="Z40">
        <v>1069.457628274678</v>
      </c>
      <c r="AA40">
        <v>1136.1847280147992</v>
      </c>
      <c r="AB40" s="43">
        <v>1002.7305285345567</v>
      </c>
      <c r="AC40">
        <v>1069.457628274678</v>
      </c>
      <c r="AD40">
        <v>1136.1847280147992</v>
      </c>
      <c r="AG40" s="7" t="s">
        <v>433</v>
      </c>
      <c r="AH40" s="6"/>
    </row>
    <row r="41" spans="8:34" x14ac:dyDescent="0.25">
      <c r="H41" s="35" cm="1">
        <f t="array" ref="H41:K52">_xlfn.LAMBDA(_xlpm.y,_xlpm.X,_xlop.coeff,_xlfn.LET(_xlpm.bbeta, IF(_xlfn.ISOMITTED(_xlpm.coeff), OLS_COEFF(_xlpm.y,_xlpm.X), VEC(_xlpm.coeff)), _xlpm.res, _xlpm.y - MMULT(_xlpm.X,_xlpm.bbeta), _xlpm.resMat, REPMAT(_xlpm.res, 1, DIM(_xlpm.X,2)), _xlfn.MAKEARRAY(LENGTH(_xlpm.y), DIM(_xlpm.X,2), _xlfn.LAMBDA(_xlpm.row,_xlpm.col, INDEX(_xlpm.resMat,_xlpm.row,_xlpm.col) + INDEX(_xlpm.bbeta,_xlpm.col,1)*INDEX(_xlpm.X,_xlpm.row,_xlpm.col) ))))($E$4:$E$15,$A$4:$D$15)</f>
        <v>35.198725695010864</v>
      </c>
      <c r="I41" s="35">
        <v>6.6444700219220998</v>
      </c>
      <c r="J41" s="35">
        <v>210.40446017180736</v>
      </c>
      <c r="K41" s="35">
        <v>31.363205159680362</v>
      </c>
      <c r="L41" cm="1">
        <f t="array" ref="L41:O52">OLS_RESIDUALS_PARTIAL($E$4:$E$15,$A$4:$D$15)</f>
        <v>35.198725695010864</v>
      </c>
      <c r="M41">
        <v>6.6444700219220998</v>
      </c>
      <c r="N41">
        <v>210.40446017180736</v>
      </c>
      <c r="O41">
        <v>31.363205159680362</v>
      </c>
      <c r="R41" s="36" cm="1">
        <f t="array" ref="R41:R52">_xlfn.LAMBDA(_xlpm.y,_xlpm.X,_xlop.coeff,_xlop.returnCriticalStatus,_xlop.criticalThreshold,
_xlfn.LET(
_xlpm.bbeta, IF(_xlfn.ISOMITTED(_xlpm.coeff), OLS_COEFF(_xlpm.y,_xlpm.X), VEC(_xlpm.coeff)),
_xlpm.returnCriticalStatus, IF(_xlfn.ISOMITTED(_xlpm.returnCriticalStatus),FALSE,_xlpm.returnCriticalStatus),
_xlpm.criticalThreshold, IF(_xlfn.ISOMITTED(_xlpm.criticalThreshold), 3*DIM(_xlpm.X,2)/LENGTH(_xlpm.y), _xlpm.criticalThreshold),
_xlpm.levValues, DIAG(MMULT(MMULT(_xlpm.X,MINVERSE(MMULT(TRANSPOSE(_xlpm.X),_xlpm.X))),TRANSPOSE(_xlpm.X))),
IF( _xlpm.returnCriticalStatus=FALSE, _xlpm.levValues, _xlpm.levValues&gt;=_xlpm.criticalThreshold )
))($E$4:$E$15,$A$4:$D$15)</f>
        <v>0.42754468188201517</v>
      </c>
      <c r="S41" s="43" cm="1">
        <f t="array" ref="S41:S52">OLS_LEVERAGE($E$4:$E$15,$A$4:$D$15)</f>
        <v>0.42754468188201517</v>
      </c>
      <c r="V41" s="36" cm="1">
        <f t="array" ref="V41:V52">_xlfn.LAMBDA(_xlpm.y,_xlpm.X,_xlop.coeff,_xlop.returnCriticalStatus,_xlop.criticalThreshold,
_xlfn.LET(
_xlpm.bbeta, IF(_xlfn.ISOMITTED(_xlpm.coeff), OLS_COEFF(_xlpm.y,_xlpm.X), VEC(_xlpm.coeff)),
_xlpm.returnCriticalStatus, IF(_xlfn.ISOMITTED(_xlpm.returnCriticalStatus),FALSE,_xlpm.returnCriticalStatus),
_xlpm.criticalThreshold, IF(_xlfn.ISOMITTED(_xlpm.criticalThreshold), 1, _xlpm.criticalThreshold),
_xlpm.levValues, OLS_LEVERAGE(_xlpm.y,_xlpm.X,_xlpm.bbeta),
_xlpm.mse, MMULT(TRANSPOSE(OLS_RESIDUALS(_xlpm.y,_xlpm.X,_xlpm.bbeta)),OLS_RESIDUALS(_xlpm.y,_xlpm.X,_xlpm.bbeta)) / (LENGTH(_xlpm.y)-DIM(_xlpm.X,2)),
_xlpm.cooksDist, OLS_RESIDUALS(_xlpm.y,_xlpm.X,_xlpm.bbeta)^2/(DIM(_xlpm.X,2)*_xlpm.mse) * (_xlpm.levValues/((1-_xlpm.levValues)^2)),
IF( _xlpm.returnCriticalStatus=FALSE, _xlpm.cooksDist, _xlpm.cooksDist&gt;=_xlpm.criticalThreshold )
))($E$4:$E$15,$A$4:$D$15)</f>
        <v>7.7604870149237059E-4</v>
      </c>
      <c r="W41" s="43" cm="1">
        <f t="array" ref="W41:W52">OLS_COOKS_DISTANCE($E$4:$E$15,$A$4:$D$15)</f>
        <v>7.7604870149237059E-4</v>
      </c>
      <c r="Y41" s="36">
        <v>1236.7800095988296</v>
      </c>
      <c r="Z41">
        <v>1303.1559634525413</v>
      </c>
      <c r="AA41">
        <v>1369.531917306253</v>
      </c>
      <c r="AB41" s="43">
        <v>1236.7800095988296</v>
      </c>
      <c r="AC41">
        <v>1303.1559634525413</v>
      </c>
      <c r="AD41">
        <v>1369.531917306253</v>
      </c>
      <c r="AF41" s="7" t="s">
        <v>148</v>
      </c>
      <c r="AG41" s="36" cm="1">
        <f t="array" ref="AG41:AG44">_xlfn.LAMBDA(_xlpm.y,_xlpm.X,_xlop.coeff,_xlfn.LET(_xlpm.bbeta, IF(_xlfn.ISOMITTED(_xlpm.coeff), OLS_COEFF(_xlpm.y,_xlpm.X), VEC(_xlpm.coeff)), _xlpm.tstat, _xlpm.bbeta / DIAG(SQRT(OLS_VARCOV_HAC(_xlpm.y,_xlpm.X,_xlpm.coeff))), _xlfn.T.DIST.2T(ABS(_xlpm.tstat), LENGTH(_xlpm.y) - DIM(_xlpm.X,2) )))($E$4:$E$15,$A$4:$D$15)</f>
        <v>0.35293803649656724</v>
      </c>
      <c r="AH41" s="43" cm="1">
        <f t="array" ref="AH41:AH44">OLS_COEFF_PVALUE_HAC($E$4:$E$15,$A$4:$D$15)</f>
        <v>0.35293803649656724</v>
      </c>
    </row>
    <row r="42" spans="8:34" x14ac:dyDescent="0.25">
      <c r="H42" s="35">
        <v>18.243304360869161</v>
      </c>
      <c r="I42" s="35">
        <v>-0.23251570656562137</v>
      </c>
      <c r="J42" s="35">
        <v>397.73947296679586</v>
      </c>
      <c r="K42" s="35">
        <v>27.032373384040262</v>
      </c>
      <c r="L42">
        <v>18.243304360869161</v>
      </c>
      <c r="M42">
        <v>-0.23251570656562137</v>
      </c>
      <c r="N42">
        <v>397.73947296679586</v>
      </c>
      <c r="O42">
        <v>27.032373384040262</v>
      </c>
      <c r="R42" s="36">
        <v>0.33492928976662484</v>
      </c>
      <c r="S42" s="43">
        <v>0.33492928976662484</v>
      </c>
      <c r="V42" s="36">
        <v>1.41619785415272E-3</v>
      </c>
      <c r="W42" s="43">
        <v>1.41619785415272E-3</v>
      </c>
      <c r="Y42" s="36">
        <v>1445.028097074181</v>
      </c>
      <c r="Z42">
        <v>1513.0266773843168</v>
      </c>
      <c r="AA42">
        <v>1581.0252576944526</v>
      </c>
      <c r="AB42" s="43">
        <v>1445.028097074181</v>
      </c>
      <c r="AC42">
        <v>1513.0266773843168</v>
      </c>
      <c r="AD42">
        <v>1581.0252576944526</v>
      </c>
      <c r="AF42" s="7" t="s">
        <v>1</v>
      </c>
      <c r="AG42" s="36">
        <v>0.6340602835432434</v>
      </c>
      <c r="AH42" s="43">
        <v>0.6340602835432434</v>
      </c>
    </row>
    <row r="43" spans="8:34" x14ac:dyDescent="0.25">
      <c r="H43" s="35">
        <v>79.337099820728213</v>
      </c>
      <c r="I43" s="35">
        <v>51.843732106129337</v>
      </c>
      <c r="J43" s="35">
        <v>663.12370255578503</v>
      </c>
      <c r="K43" s="35">
        <v>110.8504300492022</v>
      </c>
      <c r="L43">
        <v>79.337099820728213</v>
      </c>
      <c r="M43">
        <v>51.843732106129337</v>
      </c>
      <c r="N43">
        <v>663.12370255578503</v>
      </c>
      <c r="O43">
        <v>110.8504300492022</v>
      </c>
      <c r="R43" s="36">
        <v>0.2233455046977211</v>
      </c>
      <c r="S43" s="43">
        <v>0.2233455046977211</v>
      </c>
      <c r="V43" s="36">
        <v>1.4878912922477358E-2</v>
      </c>
      <c r="W43" s="43">
        <v>1.4878912922477358E-2</v>
      </c>
      <c r="Y43" s="36">
        <v>1602.3860415076176</v>
      </c>
      <c r="Z43">
        <v>1657.12222362736</v>
      </c>
      <c r="AA43">
        <v>1711.8584057471023</v>
      </c>
      <c r="AB43" s="43">
        <v>1602.3860415076176</v>
      </c>
      <c r="AC43">
        <v>1657.12222362736</v>
      </c>
      <c r="AD43">
        <v>1711.8584057471023</v>
      </c>
      <c r="AF43" s="7" t="s">
        <v>2</v>
      </c>
      <c r="AG43" s="36">
        <v>2.0860861967365934E-7</v>
      </c>
      <c r="AH43" s="43">
        <v>2.0860861967365934E-7</v>
      </c>
    </row>
    <row r="44" spans="8:34" x14ac:dyDescent="0.25">
      <c r="H44" s="35">
        <v>50.09411765826394</v>
      </c>
      <c r="I44" s="35">
        <v>42.227177175728087</v>
      </c>
      <c r="J44" s="35">
        <v>838.17115452245105</v>
      </c>
      <c r="K44" s="35">
        <v>223.0028509419559</v>
      </c>
      <c r="L44">
        <v>50.09411765826394</v>
      </c>
      <c r="M44">
        <v>42.227177175728087</v>
      </c>
      <c r="N44">
        <v>838.17115452245105</v>
      </c>
      <c r="O44">
        <v>223.0028509419559</v>
      </c>
      <c r="R44" s="36">
        <v>0.30664728822621518</v>
      </c>
      <c r="S44" s="43">
        <v>0.30664728822621518</v>
      </c>
      <c r="V44" s="36">
        <v>4.4801734014839152E-3</v>
      </c>
      <c r="W44" s="43">
        <v>4.4801734014839152E-3</v>
      </c>
      <c r="Y44" s="36">
        <v>1745.2600733932973</v>
      </c>
      <c r="Z44">
        <v>1793.8976201043511</v>
      </c>
      <c r="AA44">
        <v>1842.5351668154049</v>
      </c>
      <c r="AB44" s="43">
        <v>1745.2600733932973</v>
      </c>
      <c r="AC44">
        <v>1793.8976201043511</v>
      </c>
      <c r="AD44">
        <v>1842.5351668154049</v>
      </c>
      <c r="AF44" s="7" t="s">
        <v>3</v>
      </c>
      <c r="AG44" s="36">
        <v>2.3450082348062389E-2</v>
      </c>
      <c r="AH44" s="43">
        <v>2.3450082348062389E-2</v>
      </c>
    </row>
    <row r="45" spans="8:34" x14ac:dyDescent="0.25">
      <c r="H45" s="35">
        <v>-92.660719513816957</v>
      </c>
      <c r="I45" s="35">
        <v>-119.09319926992593</v>
      </c>
      <c r="J45" s="35">
        <v>899.70675147950033</v>
      </c>
      <c r="K45" s="35">
        <v>128.22145409218109</v>
      </c>
      <c r="L45">
        <v>-92.660719513816957</v>
      </c>
      <c r="M45">
        <v>-119.09319926992593</v>
      </c>
      <c r="N45">
        <v>899.70675147950033</v>
      </c>
      <c r="O45">
        <v>128.22145409218109</v>
      </c>
      <c r="R45" s="36">
        <v>0.30342836784416988</v>
      </c>
      <c r="S45" s="43">
        <v>0.30342836784416988</v>
      </c>
      <c r="V45" s="36">
        <v>0.14749114930407559</v>
      </c>
      <c r="W45" s="43">
        <v>0.14749114930407559</v>
      </c>
      <c r="Y45" s="36">
        <v>1879.5396425363401</v>
      </c>
      <c r="Z45">
        <v>1940.6453862436185</v>
      </c>
      <c r="AA45">
        <v>2001.7511299508969</v>
      </c>
      <c r="AB45" s="43">
        <v>1879.5396425363401</v>
      </c>
      <c r="AC45">
        <v>1940.6453862436185</v>
      </c>
      <c r="AD45">
        <v>2001.7511299508969</v>
      </c>
    </row>
    <row r="46" spans="8:34" x14ac:dyDescent="0.25">
      <c r="H46" s="35">
        <v>187.85895628751132</v>
      </c>
      <c r="I46" s="35">
        <v>161.95692051064728</v>
      </c>
      <c r="J46" s="35">
        <v>1384.5168614099587</v>
      </c>
      <c r="K46" s="35">
        <v>413.79096571691002</v>
      </c>
      <c r="L46">
        <v>187.85895628751132</v>
      </c>
      <c r="M46">
        <v>161.95692051064728</v>
      </c>
      <c r="N46">
        <v>1384.5168614099587</v>
      </c>
      <c r="O46">
        <v>413.79096571691002</v>
      </c>
      <c r="R46" s="36">
        <v>0.31844491745175807</v>
      </c>
      <c r="S46" s="43">
        <v>0.31844491745175807</v>
      </c>
      <c r="V46" s="36">
        <v>0.27499744844038454</v>
      </c>
      <c r="W46" s="43">
        <v>0.27499744844038454</v>
      </c>
      <c r="Y46" s="36">
        <v>2126.5180071907657</v>
      </c>
      <c r="Z46">
        <v>2200.78097621914</v>
      </c>
      <c r="AA46">
        <v>2275.0439452475143</v>
      </c>
      <c r="AB46" s="43">
        <v>2126.5180071907657</v>
      </c>
      <c r="AC46">
        <v>2200.78097621914</v>
      </c>
      <c r="AD46">
        <v>2275.0439452475143</v>
      </c>
    </row>
    <row r="47" spans="8:34" x14ac:dyDescent="0.25">
      <c r="H47" s="35">
        <v>18.233726067083808</v>
      </c>
      <c r="I47" s="35">
        <v>-9.7900856267600105</v>
      </c>
      <c r="J47" s="35">
        <v>1419.1820653186614</v>
      </c>
      <c r="K47" s="35">
        <v>186.09262352737511</v>
      </c>
      <c r="L47">
        <v>18.233726067083808</v>
      </c>
      <c r="M47">
        <v>-9.7900856267600105</v>
      </c>
      <c r="N47">
        <v>1419.1820653186614</v>
      </c>
      <c r="O47">
        <v>186.09262352737511</v>
      </c>
      <c r="R47" s="36">
        <v>0.20634009890949176</v>
      </c>
      <c r="S47" s="43">
        <v>0.20634009890949176</v>
      </c>
      <c r="V47" s="36">
        <v>6.1374541084759798E-4</v>
      </c>
      <c r="W47" s="43">
        <v>6.1374541084759798E-4</v>
      </c>
      <c r="Y47" s="36">
        <v>2221.9950890900777</v>
      </c>
      <c r="Z47">
        <v>2307.3635379614634</v>
      </c>
      <c r="AA47">
        <v>2392.7319868328491</v>
      </c>
      <c r="AB47" s="43">
        <v>2221.9950890900777</v>
      </c>
      <c r="AC47">
        <v>2307.3635379614634</v>
      </c>
      <c r="AD47">
        <v>2392.7319868328491</v>
      </c>
    </row>
    <row r="48" spans="8:34" x14ac:dyDescent="0.25">
      <c r="H48" s="35">
        <v>3.2988342546855165</v>
      </c>
      <c r="I48" s="35">
        <v>-21.542313563688623</v>
      </c>
      <c r="J48" s="35">
        <v>1608.5376076353934</v>
      </c>
      <c r="K48" s="35">
        <v>100.46003018736785</v>
      </c>
      <c r="L48">
        <v>3.2988342546855165</v>
      </c>
      <c r="M48">
        <v>-21.542313563688623</v>
      </c>
      <c r="N48">
        <v>1608.5376076353934</v>
      </c>
      <c r="O48">
        <v>100.46003018736785</v>
      </c>
      <c r="R48" s="36">
        <v>0.16292133215517246</v>
      </c>
      <c r="S48" s="43">
        <v>0.16292133215517246</v>
      </c>
      <c r="V48" s="36">
        <v>2.4600555511529241E-3</v>
      </c>
      <c r="W48" s="43">
        <v>2.4600555511529241E-3</v>
      </c>
      <c r="Y48" s="36">
        <v>2498.1000847620867</v>
      </c>
      <c r="Z48">
        <v>2589.6717091218952</v>
      </c>
      <c r="AA48">
        <v>2681.2433334817038</v>
      </c>
      <c r="AB48" s="43">
        <v>2498.1000847620867</v>
      </c>
      <c r="AC48">
        <v>2589.6717091218952</v>
      </c>
      <c r="AD48">
        <v>2681.2433334817038</v>
      </c>
    </row>
    <row r="49" spans="8:30" x14ac:dyDescent="0.25">
      <c r="H49" s="35">
        <v>-201.33114599667306</v>
      </c>
      <c r="I49" s="35">
        <v>-225.64184983580225</v>
      </c>
      <c r="J49" s="35">
        <v>1608.1980615131649</v>
      </c>
      <c r="K49" s="35">
        <v>-162.24306203309811</v>
      </c>
      <c r="L49">
        <v>-201.33114599667306</v>
      </c>
      <c r="M49">
        <v>-225.64184983580225</v>
      </c>
      <c r="N49">
        <v>1608.1980615131649</v>
      </c>
      <c r="O49">
        <v>-162.24306203309811</v>
      </c>
      <c r="R49" s="36">
        <v>0.25715720632936667</v>
      </c>
      <c r="S49" s="43">
        <v>0.25715720632936667</v>
      </c>
      <c r="V49" s="36">
        <v>0.39370020601866706</v>
      </c>
      <c r="W49" s="43">
        <v>0.39370020601866706</v>
      </c>
    </row>
    <row r="50" spans="8:30" x14ac:dyDescent="0.25">
      <c r="H50" s="35">
        <v>28.999054262826121</v>
      </c>
      <c r="I50" s="35">
        <v>52.958752534987056</v>
      </c>
      <c r="J50" s="35">
        <v>2042.8186959017944</v>
      </c>
      <c r="K50" s="35">
        <v>75.661891961502036</v>
      </c>
      <c r="L50">
        <v>28.999054262826121</v>
      </c>
      <c r="M50">
        <v>52.958752534987056</v>
      </c>
      <c r="N50">
        <v>2042.8186959017944</v>
      </c>
      <c r="O50">
        <v>75.661891961502036</v>
      </c>
      <c r="R50" s="36">
        <v>0.37982124002287471</v>
      </c>
      <c r="S50" s="43">
        <v>0.37982124002287471</v>
      </c>
      <c r="V50" s="36">
        <v>1.1526289843135405E-7</v>
      </c>
      <c r="W50" s="43">
        <v>1.1526289843135405E-7</v>
      </c>
    </row>
    <row r="51" spans="8:30" x14ac:dyDescent="0.25">
      <c r="H51" s="35">
        <v>198.28697212954467</v>
      </c>
      <c r="I51" s="35">
        <v>175.03715624890538</v>
      </c>
      <c r="J51" s="35">
        <v>2416.397047897643</v>
      </c>
      <c r="K51" s="35">
        <v>194.45145159421418</v>
      </c>
      <c r="L51">
        <v>198.28697212954467</v>
      </c>
      <c r="M51">
        <v>175.03715624890538</v>
      </c>
      <c r="N51">
        <v>2416.397047897643</v>
      </c>
      <c r="O51">
        <v>194.45145159421418</v>
      </c>
      <c r="R51" s="36">
        <v>0.50191411773109629</v>
      </c>
      <c r="S51" s="43">
        <v>0.50191411773109629</v>
      </c>
      <c r="V51" s="36">
        <v>0.92165719564866389</v>
      </c>
      <c r="W51" s="43">
        <v>0.92165719564866389</v>
      </c>
      <c r="Y51" s="7" t="s">
        <v>497</v>
      </c>
      <c r="Z51" s="6"/>
      <c r="AA51" s="6"/>
      <c r="AB51" s="6"/>
      <c r="AC51" s="6"/>
      <c r="AD51" s="6"/>
    </row>
    <row r="52" spans="8:30" x14ac:dyDescent="0.25">
      <c r="H52" s="35">
        <v>23.457470801985437</v>
      </c>
      <c r="I52" s="35">
        <v>58.026048659045301</v>
      </c>
      <c r="J52" s="35">
        <v>2445.8579806992138</v>
      </c>
      <c r="K52" s="35">
        <v>39.821293560257502</v>
      </c>
      <c r="L52">
        <v>23.457470801985437</v>
      </c>
      <c r="M52">
        <v>58.026048659045301</v>
      </c>
      <c r="N52">
        <v>2445.8579806992138</v>
      </c>
      <c r="O52">
        <v>39.821293560257502</v>
      </c>
      <c r="R52" s="36">
        <v>0.57750595498349289</v>
      </c>
      <c r="S52" s="43">
        <v>0.57750595498349289</v>
      </c>
      <c r="V52" s="36">
        <v>1.6301986377945743E-3</v>
      </c>
      <c r="W52" s="43">
        <v>1.6301986377945743E-3</v>
      </c>
      <c r="Y52" s="36" cm="1">
        <f t="array" ref="Y52:AA63">_xlfn.LAMBDA(_xlpm.Xtarget,_xlpm.significance,_xlpm.y,_xlpm.X,_xlop.coeff,_xlfn.LET(_xlpm.Xtarget, TRANSPOSE(_xlpm.Xtarget), _xlpm.bbeta, IF(_xlfn.ISOMITTED(_xlpm.coeff), OLS_COEFF(_xlpm.y,_xlpm.X), VEC(_xlpm.coeff)),
_xlpm.df, LENGTH(_xlpm.y)-DIM(_xlpm.X,2),
_xlpm.MSres, SUM(OLS_RESIDUALS(_xlpm.y,_xlpm.X,_xlpm.bbeta)^2)/_xlpm.df,
_xlpm.sePRED, SQRT( _xlpm.MSres * (1 + MMULT(MMULT(TRANSPOSE(_xlpm.Xtarget), MINVERSE(MMULT(TRANSPOSE(_xlpm.X),_xlpm.X))),_xlpm.Xtarget)) ),
_xlpm.fcst, TRANSPOSE(_xlfn.BYCOL(_xlpm.Xtarget, _xlfn.LAMBDA(_xlpm.col, SUM(_xlpm.col*_xlpm.bbeta)))),
_xlpm.tcrit, _xlfn.T.DIST.2T(_xlpm.significance, _xlpm.df),
HORZCAT(HORZCAT(_xlpm.fcst-_xlpm.tcrit*DIAG(_xlpm.sePRED), _xlpm.fcst),_xlpm.fcst+_xlpm.tcrit*DIAG(_xlpm.sePRED))
))($A$4:$D$15,5%,$E$4:$E$15,$A$4:$D$15)</f>
        <v>115.18292192016193</v>
      </c>
      <c r="Z52">
        <v>259.15475687771209</v>
      </c>
      <c r="AA52">
        <v>403.12659183526227</v>
      </c>
      <c r="AB52" s="43" cm="1">
        <f t="array" ref="AB52:AD63">OLS_PRED_INTERVAL($A$4:$D$15,5%,$E$4:$E$15,$A$4:$D$15)</f>
        <v>115.18292192016193</v>
      </c>
      <c r="AC52">
        <v>259.15475687771209</v>
      </c>
      <c r="AD52">
        <v>403.12659183526227</v>
      </c>
    </row>
    <row r="53" spans="8:30" x14ac:dyDescent="0.25">
      <c r="Y53" s="36">
        <v>346.9249507696145</v>
      </c>
      <c r="Z53">
        <v>486.1482161709979</v>
      </c>
      <c r="AA53">
        <v>625.3714815723813</v>
      </c>
      <c r="AB53" s="43">
        <v>346.9249507696145</v>
      </c>
      <c r="AC53">
        <v>486.1482161709979</v>
      </c>
      <c r="AD53">
        <v>625.3714815723813</v>
      </c>
    </row>
    <row r="54" spans="8:30" x14ac:dyDescent="0.25">
      <c r="Y54" s="36">
        <v>570.86773737060389</v>
      </c>
      <c r="Z54">
        <v>704.14536385826682</v>
      </c>
      <c r="AA54">
        <v>837.42299034592975</v>
      </c>
      <c r="AB54" s="43">
        <v>570.86773737060389</v>
      </c>
      <c r="AC54">
        <v>704.14536385826682</v>
      </c>
      <c r="AD54">
        <v>837.42299034592975</v>
      </c>
    </row>
    <row r="55" spans="8:30" x14ac:dyDescent="0.25">
      <c r="Y55" s="36">
        <v>931.71706001011842</v>
      </c>
      <c r="Z55">
        <v>1069.457628274678</v>
      </c>
      <c r="AA55">
        <v>1207.1981965392374</v>
      </c>
      <c r="AB55" s="43">
        <v>931.71706001011842</v>
      </c>
      <c r="AC55">
        <v>1069.457628274678</v>
      </c>
      <c r="AD55">
        <v>1207.1981965392374</v>
      </c>
    </row>
    <row r="56" spans="8:30" x14ac:dyDescent="0.25">
      <c r="Y56" s="36">
        <v>1165.5851614773192</v>
      </c>
      <c r="Z56">
        <v>1303.1559634525413</v>
      </c>
      <c r="AA56">
        <v>1440.7267654277634</v>
      </c>
      <c r="AB56" s="43">
        <v>1165.5851614773192</v>
      </c>
      <c r="AC56">
        <v>1303.1559634525413</v>
      </c>
      <c r="AD56">
        <v>1440.7267654277634</v>
      </c>
    </row>
    <row r="57" spans="8:30" x14ac:dyDescent="0.25">
      <c r="Y57" s="36">
        <v>1374.6656813257828</v>
      </c>
      <c r="Z57">
        <v>1513.0266773843168</v>
      </c>
      <c r="AA57">
        <v>1651.3876734428509</v>
      </c>
      <c r="AB57" s="43">
        <v>1374.6656813257828</v>
      </c>
      <c r="AC57">
        <v>1513.0266773843168</v>
      </c>
      <c r="AD57">
        <v>1651.3876734428509</v>
      </c>
    </row>
    <row r="58" spans="8:30" x14ac:dyDescent="0.25">
      <c r="Y58" s="36">
        <v>1524.7741675813368</v>
      </c>
      <c r="Z58">
        <v>1657.12222362736</v>
      </c>
      <c r="AA58">
        <v>1789.4702796733832</v>
      </c>
      <c r="AB58" s="43">
        <v>1524.7741675813368</v>
      </c>
      <c r="AC58">
        <v>1657.12222362736</v>
      </c>
      <c r="AD58">
        <v>1789.4702796733832</v>
      </c>
    </row>
    <row r="59" spans="8:30" x14ac:dyDescent="0.25">
      <c r="Y59" s="36">
        <v>1663.9531348185737</v>
      </c>
      <c r="Z59">
        <v>1793.8976201043511</v>
      </c>
      <c r="AA59">
        <v>1923.8421053901284</v>
      </c>
      <c r="AB59" s="43">
        <v>1663.9531348185737</v>
      </c>
      <c r="AC59">
        <v>1793.8976201043511</v>
      </c>
      <c r="AD59">
        <v>1923.8421053901284</v>
      </c>
    </row>
    <row r="60" spans="8:30" x14ac:dyDescent="0.25">
      <c r="Y60" s="36">
        <v>1805.5385018145291</v>
      </c>
      <c r="Z60">
        <v>1940.6453862436185</v>
      </c>
      <c r="AA60">
        <v>2075.7522706727077</v>
      </c>
      <c r="AB60" s="43">
        <v>1805.5385018145291</v>
      </c>
      <c r="AC60">
        <v>1940.6453862436185</v>
      </c>
      <c r="AD60">
        <v>2075.7522706727077</v>
      </c>
    </row>
    <row r="61" spans="8:30" x14ac:dyDescent="0.25">
      <c r="Y61" s="36">
        <v>2059.2361180468101</v>
      </c>
      <c r="Z61">
        <v>2200.78097621914</v>
      </c>
      <c r="AA61">
        <v>2342.3258343914699</v>
      </c>
      <c r="AB61" s="43">
        <v>2059.2361180468101</v>
      </c>
      <c r="AC61">
        <v>2200.78097621914</v>
      </c>
      <c r="AD61">
        <v>2342.3258343914699</v>
      </c>
    </row>
    <row r="62" spans="8:30" x14ac:dyDescent="0.25">
      <c r="Y62" s="36">
        <v>2159.6891313473784</v>
      </c>
      <c r="Z62">
        <v>2307.3635379614634</v>
      </c>
      <c r="AA62">
        <v>2455.0379445755484</v>
      </c>
      <c r="AB62" s="43">
        <v>2159.6891313473784</v>
      </c>
      <c r="AC62">
        <v>2307.3635379614634</v>
      </c>
      <c r="AD62">
        <v>2455.0379445755484</v>
      </c>
    </row>
    <row r="63" spans="8:30" x14ac:dyDescent="0.25">
      <c r="Y63" s="36">
        <v>2438.3266705708756</v>
      </c>
      <c r="Z63">
        <v>2589.6717091218952</v>
      </c>
      <c r="AA63">
        <v>2741.0167476729148</v>
      </c>
      <c r="AB63" s="43">
        <v>2438.3266705708756</v>
      </c>
      <c r="AC63">
        <v>2589.6717091218952</v>
      </c>
      <c r="AD63">
        <v>2741.0167476729148</v>
      </c>
    </row>
  </sheetData>
  <pageMargins left="0.511811024" right="0.511811024" top="0.78740157499999996" bottom="0.78740157499999996" header="0.31496062000000002" footer="0.31496062000000002"/>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5D0705-CE65-43A3-8178-8068EE60A725}">
  <sheetPr>
    <tabColor theme="9" tint="0.59999389629810485"/>
  </sheetPr>
  <dimension ref="A1:AD300"/>
  <sheetViews>
    <sheetView showGridLines="0" workbookViewId="0">
      <selection activeCell="J10" sqref="J10"/>
    </sheetView>
  </sheetViews>
  <sheetFormatPr defaultColWidth="8.85546875" defaultRowHeight="18.75" x14ac:dyDescent="0.3"/>
  <cols>
    <col min="1" max="1" width="12.7109375" style="17" customWidth="1"/>
    <col min="2" max="2" width="26.140625" customWidth="1"/>
    <col min="4" max="4" width="4.5703125" customWidth="1"/>
    <col min="5" max="5" width="4" bestFit="1" customWidth="1"/>
    <col min="6" max="8" width="7.140625" bestFit="1" customWidth="1"/>
    <col min="9" max="14" width="12.42578125" bestFit="1" customWidth="1"/>
    <col min="16" max="16" width="12.42578125" style="15" bestFit="1" customWidth="1"/>
    <col min="17" max="20" width="9" style="15" customWidth="1"/>
    <col min="21" max="21" width="15.42578125" style="15" bestFit="1" customWidth="1"/>
    <col min="22" max="23" width="12.42578125" style="15" bestFit="1" customWidth="1"/>
    <col min="24" max="30" width="8.85546875" style="15"/>
  </cols>
  <sheetData>
    <row r="1" spans="1:30" x14ac:dyDescent="0.3">
      <c r="A1" s="84" t="s">
        <v>342</v>
      </c>
      <c r="P1" s="14"/>
      <c r="Q1" s="14"/>
      <c r="R1" s="14"/>
      <c r="S1" s="14"/>
      <c r="T1" s="14"/>
      <c r="U1" s="14"/>
      <c r="V1" s="14"/>
      <c r="W1" s="14"/>
      <c r="X1" s="14"/>
      <c r="Y1" s="14"/>
      <c r="Z1" s="14"/>
      <c r="AA1" s="14"/>
      <c r="AB1" s="14"/>
      <c r="AC1" s="14"/>
      <c r="AD1" s="14"/>
    </row>
    <row r="2" spans="1:30" x14ac:dyDescent="0.3">
      <c r="A2" s="17" t="s">
        <v>343</v>
      </c>
      <c r="P2" s="14"/>
      <c r="Q2" s="14"/>
      <c r="R2" s="14"/>
      <c r="S2" s="14"/>
      <c r="T2" s="14"/>
      <c r="U2" s="14"/>
      <c r="V2" s="14"/>
      <c r="W2" s="14"/>
      <c r="X2" s="14"/>
      <c r="Y2" s="14"/>
      <c r="Z2" s="14"/>
      <c r="AA2" s="14"/>
      <c r="AB2" s="14"/>
      <c r="AC2" s="14"/>
      <c r="AD2" s="14"/>
    </row>
    <row r="4" spans="1:30" ht="15.75" x14ac:dyDescent="0.25">
      <c r="A4" s="2" t="s">
        <v>15</v>
      </c>
      <c r="B4" s="2" t="s">
        <v>16</v>
      </c>
    </row>
    <row r="5" spans="1:30" ht="15.75" x14ac:dyDescent="0.25">
      <c r="A5" s="23" t="s">
        <v>169</v>
      </c>
      <c r="B5" s="24" t="s">
        <v>171</v>
      </c>
    </row>
    <row r="6" spans="1:30" ht="126" x14ac:dyDescent="0.25">
      <c r="A6" s="23" t="s">
        <v>371</v>
      </c>
      <c r="B6" s="24" t="s">
        <v>372</v>
      </c>
    </row>
    <row r="7" spans="1:30" ht="47.25" x14ac:dyDescent="0.25">
      <c r="A7" s="23" t="s">
        <v>215</v>
      </c>
      <c r="B7" s="24" t="s">
        <v>375</v>
      </c>
    </row>
    <row r="8" spans="1:30" ht="15.75" x14ac:dyDescent="0.25">
      <c r="A8" s="23" t="s">
        <v>263</v>
      </c>
      <c r="B8" s="24" t="s">
        <v>351</v>
      </c>
    </row>
    <row r="9" spans="1:30" ht="31.5" x14ac:dyDescent="0.25">
      <c r="A9" s="23" t="s">
        <v>344</v>
      </c>
      <c r="B9" s="24" t="s">
        <v>352</v>
      </c>
    </row>
    <row r="10" spans="1:30" ht="63" x14ac:dyDescent="0.25">
      <c r="A10" s="23" t="s">
        <v>345</v>
      </c>
      <c r="B10" s="26" t="s">
        <v>353</v>
      </c>
      <c r="P10" s="61" t="s">
        <v>366</v>
      </c>
      <c r="U10" s="61" t="s">
        <v>366</v>
      </c>
    </row>
    <row r="11" spans="1:30" ht="15.75" x14ac:dyDescent="0.25">
      <c r="A11" s="23"/>
      <c r="B11" s="26"/>
      <c r="P11" s="54" t="b" cm="1">
        <f t="array" ref="P11">ISSTATIONARY(F14:F34,$I$14,$J$14,$K$14,$L$14,$M$14)</f>
        <v>0</v>
      </c>
      <c r="Q11" s="54" t="b" cm="1">
        <f t="array" ref="Q11">ISSTATIONARY(G14:G34,$I$14,$J$14,$K$14,$L$14,$M$14)</f>
        <v>0</v>
      </c>
      <c r="R11" s="54" t="b" cm="1">
        <f t="array" ref="R11">ISSTATIONARY(H14:H34,$I$14,$J$14,$K$14,$L$14,$M$14)</f>
        <v>0</v>
      </c>
      <c r="U11" s="54" t="b" cm="1">
        <f t="array" ref="U11">ISSTATIONARY(RMMISSING(_xlfn.ANCHORARRAY(U14)),$I$14,$J$14,$K$14,$L$14,$M$14)</f>
        <v>1</v>
      </c>
      <c r="V11" s="54" t="b" cm="1">
        <f t="array" ref="V11">ISSTATIONARY(RMMISSING(_xlfn.ANCHORARRAY(V14)),$I$14,$J$14,$K$14,$L$14,$M$14)</f>
        <v>1</v>
      </c>
      <c r="W11" s="54" t="b" cm="1">
        <f t="array" ref="W11">ISSTATIONARY(RMMISSING(_xlfn.ANCHORARRAY(W14)),$I$14,$J$14,$K$14,$L$14,$M$14)</f>
        <v>1</v>
      </c>
    </row>
    <row r="12" spans="1:30" ht="15.75" x14ac:dyDescent="0.25">
      <c r="A12" s="23"/>
      <c r="B12" s="26"/>
      <c r="F12" t="s">
        <v>359</v>
      </c>
      <c r="G12" t="s">
        <v>360</v>
      </c>
      <c r="H12" t="s">
        <v>361</v>
      </c>
    </row>
    <row r="13" spans="1:30" x14ac:dyDescent="0.3">
      <c r="E13" t="s">
        <v>208</v>
      </c>
      <c r="F13" s="13" t="s">
        <v>169</v>
      </c>
      <c r="G13" s="13" t="s">
        <v>169</v>
      </c>
      <c r="H13" s="13" t="s">
        <v>169</v>
      </c>
      <c r="I13" s="13" t="s">
        <v>373</v>
      </c>
      <c r="J13" s="13" t="s">
        <v>219</v>
      </c>
      <c r="K13" s="13" t="s">
        <v>267</v>
      </c>
      <c r="L13" s="13" t="s">
        <v>346</v>
      </c>
      <c r="M13" s="13" t="s">
        <v>209</v>
      </c>
      <c r="N13" s="13" t="s">
        <v>358</v>
      </c>
      <c r="P13" s="61" t="s">
        <v>259</v>
      </c>
      <c r="U13" s="90" t="s">
        <v>260</v>
      </c>
    </row>
    <row r="14" spans="1:30" ht="18.75" customHeight="1" x14ac:dyDescent="0.3">
      <c r="E14" s="95">
        <v>0</v>
      </c>
      <c r="F14" s="53">
        <v>72.400000000000006</v>
      </c>
      <c r="G14" s="53">
        <v>72.400000000000006</v>
      </c>
      <c r="H14" s="53">
        <v>72.400000000000006</v>
      </c>
      <c r="I14" s="93" t="b">
        <v>0</v>
      </c>
      <c r="J14" s="55">
        <v>3</v>
      </c>
      <c r="K14" s="93">
        <v>0.01</v>
      </c>
      <c r="L14" s="55" t="b">
        <v>1</v>
      </c>
      <c r="M14" s="55" t="b">
        <v>1</v>
      </c>
      <c r="N14" s="55">
        <v>2</v>
      </c>
      <c r="O14" s="96"/>
      <c r="P14" s="54" cm="1">
        <f t="array" ref="P14:P34">_xlfn.LAMBDA(_xlpm.values,_xlop.automatic,_xlop.nLags,_xlop.significance,_xlop.constant,_xlop.trend,_xlop.maxDiffs,
_xlfn.LET(
_xlpm.automatic, IF(_xlfn.ISOMITTED(_xlpm.automatic), FALSE, _xlpm.automatic),
_xlpm.nLags,IF(_xlfn.ISOMITTED(_xlpm.nLags), 0, _xlpm.nLags),
_xlpm.significance, IF(_xlfn.ISOMITTED(_xlpm.significance), FALSE, _xlpm.significance),
_xlpm.constant, IF(_xlfn.ISOMITTED(_xlpm.constant), FALSE, _xlpm.constant),
_xlpm.trend, IF(_xlfn.ISOMITTED(_xlpm.trend), FALSE, _xlpm.trend ),
_xlpm.maxDiffs, IF(OR( _xlfn.ISOMITTED(_xlpm.maxDiffs), ISBLANK(_xlpm.maxDiffs)), 2, _xlpm.maxDiffs ),
IF(ISSTATIONARY(_xlpm.values, _xlpm.automatic, _xlpm.nLags, _xlpm.significance, _xlpm.constant, _xlpm.trend), _xlpm.values,
IF(_xlpm.maxDiffs = 0, _xlpm.values,
STATIONARIZE( DIFF(_xlpm.values,1,1), _xlpm.automatic, _xlpm.nLags, _xlpm.significance, _xlpm.constant, _xlpm.trend, _xlpm.maxDiffs - 1)
))
))($F$14:$F$34,$I$14,$J$14,$K$14,$L$14,$M$14,$N$14)</f>
        <v>-2.7000000000000028</v>
      </c>
      <c r="R14" s="54"/>
      <c r="S14" s="54"/>
      <c r="T14" s="54"/>
      <c r="U14" s="54" cm="1">
        <f t="array" ref="U14:U34">STATIONARIZE($F$14:$F$34,$I$14,$J$14,$K$14,$L$14,$M$14,$N$14)</f>
        <v>-2.7000000000000028</v>
      </c>
      <c r="V14" s="54" cm="1">
        <f t="array" ref="V14:V34">STATIONARIZE($G$14:$G$34,$I$14,$J$14,$K$14,$L$14,$M$14,$N$14)</f>
        <v>0.26470755828569281</v>
      </c>
      <c r="W14" s="54" cm="1">
        <f t="array" ref="W14:W34">STATIONARIZE($H$14:$H$34,$I$14,$J$14,$K$14,$L$14,$M$14,$N$14)</f>
        <v>0.74846543732846271</v>
      </c>
    </row>
    <row r="15" spans="1:30" x14ac:dyDescent="0.3">
      <c r="E15" s="95">
        <v>1</v>
      </c>
      <c r="F15" s="53">
        <v>69.7</v>
      </c>
      <c r="G15" s="53">
        <v>72.664707558285698</v>
      </c>
      <c r="H15" s="53">
        <v>73.148465437328468</v>
      </c>
      <c r="O15" s="96"/>
      <c r="P15" s="54">
        <v>7.7000000000000028</v>
      </c>
      <c r="Q15" s="54"/>
      <c r="R15" s="54"/>
      <c r="S15" s="54"/>
      <c r="T15" s="54"/>
      <c r="U15" s="54">
        <v>7.7000000000000028</v>
      </c>
      <c r="V15" s="27">
        <v>0.52310225285268075</v>
      </c>
      <c r="W15" s="27">
        <v>6.953598010821338E-2</v>
      </c>
    </row>
    <row r="16" spans="1:30" x14ac:dyDescent="0.3">
      <c r="E16" s="95">
        <v>2</v>
      </c>
      <c r="F16" s="53">
        <v>77.400000000000006</v>
      </c>
      <c r="G16" s="53">
        <v>73.187809811138379</v>
      </c>
      <c r="H16" s="53">
        <v>73.218001417436682</v>
      </c>
      <c r="O16" s="96"/>
      <c r="P16" s="54">
        <v>2.1999999999999886</v>
      </c>
      <c r="Q16" s="54"/>
      <c r="R16" s="54"/>
      <c r="S16" s="54"/>
      <c r="T16" s="54"/>
      <c r="U16" s="54">
        <v>2.1999999999999886</v>
      </c>
      <c r="V16" s="27">
        <v>1.2373344417494678</v>
      </c>
      <c r="W16" s="27">
        <v>0.46934320647356742</v>
      </c>
    </row>
    <row r="17" spans="5:23" x14ac:dyDescent="0.3">
      <c r="E17" s="95">
        <v>3</v>
      </c>
      <c r="F17" s="53">
        <v>79.599999999999994</v>
      </c>
      <c r="G17" s="53">
        <v>74.425144252887847</v>
      </c>
      <c r="H17" s="53">
        <v>73.687344623910249</v>
      </c>
      <c r="O17" s="96"/>
      <c r="P17" s="54">
        <v>0.80000000000001137</v>
      </c>
      <c r="Q17" s="54"/>
      <c r="R17" s="54"/>
      <c r="S17" s="54"/>
      <c r="T17" s="54"/>
      <c r="U17" s="54">
        <v>0.80000000000001137</v>
      </c>
      <c r="V17" s="27">
        <v>1.2383537486175129</v>
      </c>
      <c r="W17" s="27">
        <v>0.44018690538032956</v>
      </c>
    </row>
    <row r="18" spans="5:23" x14ac:dyDescent="0.3">
      <c r="E18" s="95">
        <v>4</v>
      </c>
      <c r="F18" s="53">
        <v>80.400000000000006</v>
      </c>
      <c r="G18" s="53">
        <v>75.66349800150536</v>
      </c>
      <c r="H18" s="53">
        <v>74.127531529290579</v>
      </c>
      <c r="O18" s="96"/>
      <c r="P18" s="54">
        <v>-2.9000000000000057</v>
      </c>
      <c r="Q18" s="54"/>
      <c r="R18" s="54"/>
      <c r="S18" s="54"/>
      <c r="T18" s="54"/>
      <c r="U18" s="54">
        <v>-2.9000000000000057</v>
      </c>
      <c r="V18" s="27">
        <v>1.1808394363849999</v>
      </c>
      <c r="W18" s="27">
        <v>1.1814559232528126</v>
      </c>
    </row>
    <row r="19" spans="5:23" x14ac:dyDescent="0.3">
      <c r="E19" s="95">
        <v>5</v>
      </c>
      <c r="F19" s="53">
        <v>77.5</v>
      </c>
      <c r="G19" s="53">
        <v>76.84433743789036</v>
      </c>
      <c r="H19" s="53">
        <v>75.308987452543391</v>
      </c>
      <c r="O19" s="96"/>
      <c r="P19" s="54">
        <v>5.7999999999999972</v>
      </c>
      <c r="Q19" s="54"/>
      <c r="R19" s="54"/>
      <c r="S19" s="54"/>
      <c r="T19" s="54"/>
      <c r="U19" s="54">
        <v>5.7999999999999972</v>
      </c>
      <c r="V19" s="27">
        <v>1.0984134369627867</v>
      </c>
      <c r="W19" s="27">
        <v>0.37400627729454072</v>
      </c>
    </row>
    <row r="20" spans="5:23" x14ac:dyDescent="0.3">
      <c r="E20" s="95">
        <v>6</v>
      </c>
      <c r="F20" s="53">
        <v>83.3</v>
      </c>
      <c r="G20" s="53">
        <v>77.942750874853147</v>
      </c>
      <c r="H20" s="53">
        <v>75.682993729837932</v>
      </c>
      <c r="O20" s="96"/>
      <c r="P20" s="54">
        <v>0.29999999999999716</v>
      </c>
      <c r="Q20" s="54"/>
      <c r="R20" s="54"/>
      <c r="S20" s="54"/>
      <c r="T20" s="54"/>
      <c r="U20" s="54">
        <v>0.29999999999999716</v>
      </c>
      <c r="V20" s="27">
        <v>1.1378351771985962</v>
      </c>
      <c r="W20" s="27">
        <v>1.2436581187616582</v>
      </c>
    </row>
    <row r="21" spans="5:23" x14ac:dyDescent="0.3">
      <c r="E21" s="95">
        <v>7</v>
      </c>
      <c r="F21" s="53">
        <v>83.6</v>
      </c>
      <c r="G21" s="53">
        <v>79.080586052051743</v>
      </c>
      <c r="H21" s="53">
        <v>76.92665184859959</v>
      </c>
      <c r="O21" s="96"/>
      <c r="P21" s="54">
        <v>-1.5</v>
      </c>
      <c r="Q21" s="54"/>
      <c r="R21" s="54"/>
      <c r="S21" s="54"/>
      <c r="T21" s="54"/>
      <c r="U21" s="54">
        <v>-1.5</v>
      </c>
      <c r="V21" s="27">
        <v>1.5348983505893017</v>
      </c>
      <c r="W21" s="27">
        <v>1.1011581632466232</v>
      </c>
    </row>
    <row r="22" spans="5:23" x14ac:dyDescent="0.3">
      <c r="E22" s="95">
        <v>8</v>
      </c>
      <c r="F22" s="53">
        <v>82.1</v>
      </c>
      <c r="G22" s="53">
        <v>80.615484402641044</v>
      </c>
      <c r="H22" s="53">
        <v>78.027810011846213</v>
      </c>
      <c r="O22" s="96"/>
      <c r="P22" s="54">
        <v>7.1000000000000085</v>
      </c>
      <c r="Q22" s="54"/>
      <c r="R22" s="54"/>
      <c r="S22" s="54"/>
      <c r="T22" s="54"/>
      <c r="U22" s="54">
        <v>7.1000000000000085</v>
      </c>
      <c r="V22" s="27">
        <v>1.1815841910158156</v>
      </c>
      <c r="W22" s="27">
        <v>1.4853371009086374</v>
      </c>
    </row>
    <row r="23" spans="5:23" x14ac:dyDescent="0.3">
      <c r="E23" s="95">
        <v>9</v>
      </c>
      <c r="F23" s="53">
        <v>89.2</v>
      </c>
      <c r="G23" s="53">
        <v>81.79706859365686</v>
      </c>
      <c r="H23" s="53">
        <v>79.513147112754851</v>
      </c>
      <c r="O23" s="96"/>
      <c r="P23" s="54">
        <v>-5.2999999999999972</v>
      </c>
      <c r="Q23" s="54"/>
      <c r="R23" s="54"/>
      <c r="S23" s="54"/>
      <c r="T23" s="54"/>
      <c r="U23" s="54">
        <v>-5.2999999999999972</v>
      </c>
      <c r="V23" s="27">
        <v>1.0188995891310526</v>
      </c>
      <c r="W23" s="27">
        <v>1.5675931535430436</v>
      </c>
    </row>
    <row r="24" spans="5:23" x14ac:dyDescent="0.3">
      <c r="E24" s="95">
        <v>10</v>
      </c>
      <c r="F24" s="53">
        <v>83.9</v>
      </c>
      <c r="G24" s="53">
        <v>82.815968182787913</v>
      </c>
      <c r="H24" s="53">
        <v>81.080740266297894</v>
      </c>
      <c r="O24" s="96"/>
      <c r="P24" s="54">
        <v>-9.3000000000000114</v>
      </c>
      <c r="Q24" s="54"/>
      <c r="R24" s="54"/>
      <c r="S24" s="54"/>
      <c r="T24" s="54"/>
      <c r="U24" s="54">
        <v>-9.3000000000000114</v>
      </c>
      <c r="V24" s="27">
        <v>2.0383947193197542</v>
      </c>
      <c r="W24" s="27">
        <v>1.5072266283880538</v>
      </c>
    </row>
    <row r="25" spans="5:23" x14ac:dyDescent="0.3">
      <c r="E25" s="95">
        <v>11</v>
      </c>
      <c r="F25" s="53">
        <v>74.599999999999994</v>
      </c>
      <c r="G25" s="53">
        <v>84.854362902107667</v>
      </c>
      <c r="H25" s="53">
        <v>82.587966894685948</v>
      </c>
      <c r="O25" s="96"/>
      <c r="P25" s="54">
        <v>-0.59999999999999432</v>
      </c>
      <c r="Q25" s="54"/>
      <c r="R25" s="54"/>
      <c r="S25" s="54"/>
      <c r="T25" s="54"/>
      <c r="U25" s="54">
        <v>-0.59999999999999432</v>
      </c>
      <c r="V25" s="27">
        <v>1.4777324189730052</v>
      </c>
      <c r="W25" s="27">
        <v>2.1023199116329891</v>
      </c>
    </row>
    <row r="26" spans="5:23" x14ac:dyDescent="0.3">
      <c r="E26" s="95">
        <v>12</v>
      </c>
      <c r="F26" s="53">
        <v>74</v>
      </c>
      <c r="G26" s="53">
        <v>86.332095321080672</v>
      </c>
      <c r="H26" s="53">
        <v>84.690286806318937</v>
      </c>
      <c r="O26" s="96"/>
      <c r="P26" s="54">
        <v>-2.2000000000000028</v>
      </c>
      <c r="Q26" s="54"/>
      <c r="R26" s="54"/>
      <c r="S26" s="54"/>
      <c r="T26" s="54"/>
      <c r="U26" s="54">
        <v>-2.2000000000000028</v>
      </c>
      <c r="V26" s="27">
        <v>2.0886647803135645</v>
      </c>
      <c r="W26" s="27">
        <v>2.2579925924945456</v>
      </c>
    </row>
    <row r="27" spans="5:23" x14ac:dyDescent="0.3">
      <c r="E27" s="95">
        <v>13</v>
      </c>
      <c r="F27" s="53">
        <v>71.8</v>
      </c>
      <c r="G27" s="53">
        <v>88.420760101394237</v>
      </c>
      <c r="H27" s="53">
        <v>86.948279398813483</v>
      </c>
      <c r="O27" s="96"/>
      <c r="P27" s="54">
        <v>5.6000000000000085</v>
      </c>
      <c r="Q27" s="54"/>
      <c r="R27" s="54"/>
      <c r="S27" s="54"/>
      <c r="T27" s="54"/>
      <c r="U27" s="54">
        <v>5.6000000000000085</v>
      </c>
      <c r="V27" s="27">
        <v>1.4664229704001599</v>
      </c>
      <c r="W27" s="27">
        <v>2.8040777146969731</v>
      </c>
    </row>
    <row r="28" spans="5:23" x14ac:dyDescent="0.3">
      <c r="E28" s="95">
        <v>14</v>
      </c>
      <c r="F28" s="53">
        <v>77.400000000000006</v>
      </c>
      <c r="G28" s="53">
        <v>89.887183071794396</v>
      </c>
      <c r="H28" s="53">
        <v>89.752357113510456</v>
      </c>
      <c r="O28" s="96"/>
      <c r="P28" s="54">
        <v>-0.90000000000000568</v>
      </c>
      <c r="Q28" s="54"/>
      <c r="R28" s="54"/>
      <c r="S28" s="54"/>
      <c r="T28" s="54"/>
      <c r="U28" s="54">
        <v>-0.90000000000000568</v>
      </c>
      <c r="V28" s="27">
        <v>2.1730039741698022</v>
      </c>
      <c r="W28" s="27">
        <v>2.8498665068112388</v>
      </c>
    </row>
    <row r="29" spans="5:23" x14ac:dyDescent="0.3">
      <c r="E29" s="95">
        <v>15</v>
      </c>
      <c r="F29" s="53">
        <v>76.5</v>
      </c>
      <c r="G29" s="53">
        <v>92.060187045964199</v>
      </c>
      <c r="H29" s="53">
        <v>92.602223620321695</v>
      </c>
      <c r="O29" s="96"/>
      <c r="P29" s="54">
        <v>3.2000000000000028</v>
      </c>
      <c r="Q29" s="54"/>
      <c r="R29" s="54"/>
      <c r="S29" s="54"/>
      <c r="T29" s="54"/>
      <c r="U29" s="54">
        <v>3.2000000000000028</v>
      </c>
      <c r="V29" s="27">
        <v>2.285613218646489</v>
      </c>
      <c r="W29" s="27">
        <v>2.8052760341813183</v>
      </c>
    </row>
    <row r="30" spans="5:23" x14ac:dyDescent="0.3">
      <c r="E30" s="95">
        <v>16</v>
      </c>
      <c r="F30" s="53">
        <v>79.7</v>
      </c>
      <c r="G30" s="53">
        <v>94.345800264610688</v>
      </c>
      <c r="H30" s="53">
        <v>95.407499654503013</v>
      </c>
      <c r="O30" s="96"/>
      <c r="P30" s="54">
        <v>-3.4000000000000057</v>
      </c>
      <c r="Q30" s="54"/>
      <c r="R30" s="54"/>
      <c r="S30" s="54"/>
      <c r="T30" s="54"/>
      <c r="U30" s="54">
        <v>-3.4000000000000057</v>
      </c>
      <c r="V30" s="27">
        <v>2.6785083929697322</v>
      </c>
      <c r="W30" s="27">
        <v>3.3860104981794308</v>
      </c>
    </row>
    <row r="31" spans="5:23" x14ac:dyDescent="0.3">
      <c r="E31" s="95">
        <v>17</v>
      </c>
      <c r="F31" s="53">
        <v>76.3</v>
      </c>
      <c r="G31" s="53">
        <v>97.02430865758042</v>
      </c>
      <c r="H31" s="53">
        <v>98.793510152682444</v>
      </c>
      <c r="O31" s="96"/>
      <c r="P31" s="54">
        <v>5</v>
      </c>
      <c r="Q31" s="54"/>
      <c r="R31" s="54"/>
      <c r="S31" s="54"/>
      <c r="T31" s="54"/>
      <c r="U31" s="54">
        <v>5</v>
      </c>
      <c r="V31" s="27">
        <v>2.3267516923215226</v>
      </c>
      <c r="W31" s="27">
        <v>3.2863821652879324</v>
      </c>
    </row>
    <row r="32" spans="5:23" x14ac:dyDescent="0.3">
      <c r="E32" s="95">
        <v>18</v>
      </c>
      <c r="F32" s="53">
        <v>81.3</v>
      </c>
      <c r="G32" s="53">
        <v>99.351060349901942</v>
      </c>
      <c r="H32" s="53">
        <v>102.07989231797038</v>
      </c>
      <c r="O32" s="96"/>
      <c r="P32" s="54">
        <v>0.29999999999999716</v>
      </c>
      <c r="Q32" s="54"/>
      <c r="R32" s="54"/>
      <c r="S32" s="54"/>
      <c r="T32" s="54"/>
      <c r="U32" s="54">
        <v>0.29999999999999716</v>
      </c>
      <c r="V32" s="27">
        <v>2.0168566142166071</v>
      </c>
      <c r="W32" s="27">
        <v>4.3233636496456285</v>
      </c>
    </row>
    <row r="33" spans="5:23" x14ac:dyDescent="0.3">
      <c r="E33" s="95">
        <v>19</v>
      </c>
      <c r="F33" s="53">
        <v>81.599999999999994</v>
      </c>
      <c r="G33" s="53">
        <v>101.36791696411855</v>
      </c>
      <c r="H33" s="53">
        <v>106.403255967616</v>
      </c>
      <c r="O33" s="96"/>
      <c r="P33" s="54">
        <v>4.1000000000000085</v>
      </c>
      <c r="Q33" s="54"/>
      <c r="R33" s="54"/>
      <c r="S33" s="54"/>
      <c r="T33" s="54"/>
      <c r="U33" s="54">
        <v>4.1000000000000085</v>
      </c>
      <c r="V33" s="27">
        <v>2.4301325904077942</v>
      </c>
      <c r="W33" s="27">
        <v>4.0544058265010818</v>
      </c>
    </row>
    <row r="34" spans="5:23" x14ac:dyDescent="0.3">
      <c r="E34" s="95">
        <v>20</v>
      </c>
      <c r="F34" s="53">
        <v>85.7</v>
      </c>
      <c r="G34" s="53">
        <v>103.79804955452634</v>
      </c>
      <c r="H34" s="53">
        <v>110.45766179411709</v>
      </c>
      <c r="O34" s="96"/>
      <c r="P34" s="54" t="e">
        <v>#N/A</v>
      </c>
      <c r="Q34" s="54"/>
      <c r="R34" s="54"/>
      <c r="S34" s="54"/>
      <c r="T34" s="54"/>
      <c r="U34" s="54" t="e">
        <v>#N/A</v>
      </c>
      <c r="V34" s="27" t="e">
        <v>#N/A</v>
      </c>
      <c r="W34" s="27" t="e">
        <v>#N/A</v>
      </c>
    </row>
    <row r="35" spans="5:23" x14ac:dyDescent="0.3">
      <c r="O35" s="96"/>
      <c r="P35" s="54"/>
      <c r="Q35" s="54"/>
      <c r="R35" s="54"/>
      <c r="S35" s="54"/>
      <c r="T35" s="54"/>
      <c r="U35" s="54"/>
      <c r="V35" s="27"/>
      <c r="W35" s="27"/>
    </row>
    <row r="36" spans="5:23" x14ac:dyDescent="0.3">
      <c r="O36" s="96"/>
      <c r="P36" s="54"/>
      <c r="Q36" s="54"/>
      <c r="R36" s="54"/>
      <c r="S36" s="54"/>
      <c r="T36" s="54"/>
      <c r="U36" s="54"/>
      <c r="V36" s="27"/>
      <c r="W36" s="27"/>
    </row>
    <row r="37" spans="5:23" x14ac:dyDescent="0.3">
      <c r="O37" s="96"/>
      <c r="P37" s="54"/>
      <c r="Q37" s="54"/>
      <c r="R37" s="54"/>
      <c r="S37" s="54"/>
      <c r="T37" s="54"/>
      <c r="U37" s="54"/>
      <c r="V37" s="27"/>
      <c r="W37" s="27"/>
    </row>
    <row r="38" spans="5:23" x14ac:dyDescent="0.3">
      <c r="O38" s="96"/>
      <c r="P38" s="54"/>
      <c r="Q38" s="54"/>
      <c r="R38" s="54"/>
      <c r="S38" s="54"/>
      <c r="T38" s="54"/>
      <c r="U38" s="54"/>
      <c r="V38" s="27"/>
      <c r="W38" s="27"/>
    </row>
    <row r="39" spans="5:23" x14ac:dyDescent="0.3">
      <c r="O39" s="96"/>
      <c r="P39" s="54"/>
      <c r="Q39" s="54"/>
      <c r="R39" s="54"/>
      <c r="S39" s="54"/>
      <c r="T39" s="54"/>
      <c r="U39" s="54"/>
      <c r="V39" s="27"/>
      <c r="W39" s="27"/>
    </row>
    <row r="40" spans="5:23" x14ac:dyDescent="0.3">
      <c r="O40" s="96"/>
      <c r="P40" s="54"/>
      <c r="Q40" s="54"/>
      <c r="R40" s="54"/>
      <c r="S40" s="54"/>
      <c r="T40" s="54"/>
      <c r="U40" s="54"/>
      <c r="V40" s="27"/>
      <c r="W40" s="27"/>
    </row>
    <row r="41" spans="5:23" x14ac:dyDescent="0.3">
      <c r="O41" s="96"/>
      <c r="P41" s="54"/>
      <c r="Q41" s="54"/>
      <c r="R41" s="54"/>
      <c r="S41" s="54"/>
      <c r="T41" s="54"/>
      <c r="U41" s="54"/>
      <c r="V41" s="27"/>
      <c r="W41" s="27"/>
    </row>
    <row r="42" spans="5:23" x14ac:dyDescent="0.3">
      <c r="O42" s="96"/>
      <c r="P42" s="54"/>
      <c r="Q42" s="54"/>
      <c r="R42" s="54"/>
      <c r="S42" s="54"/>
      <c r="T42" s="54"/>
      <c r="U42" s="54"/>
      <c r="V42" s="27"/>
      <c r="W42" s="27"/>
    </row>
    <row r="43" spans="5:23" x14ac:dyDescent="0.3">
      <c r="O43" s="96"/>
      <c r="P43" s="54"/>
      <c r="Q43" s="54"/>
      <c r="R43" s="54"/>
      <c r="S43" s="54"/>
      <c r="T43" s="54"/>
      <c r="U43" s="54"/>
      <c r="V43" s="27"/>
      <c r="W43" s="27"/>
    </row>
    <row r="44" spans="5:23" x14ac:dyDescent="0.3">
      <c r="O44" s="96"/>
      <c r="P44" s="54"/>
      <c r="Q44" s="54"/>
      <c r="R44" s="54"/>
      <c r="S44" s="54"/>
      <c r="T44" s="54"/>
      <c r="U44" s="54"/>
      <c r="V44" s="27"/>
      <c r="W44" s="27"/>
    </row>
    <row r="45" spans="5:23" x14ac:dyDescent="0.3">
      <c r="O45" s="96"/>
      <c r="P45" s="54"/>
      <c r="Q45" s="54"/>
      <c r="R45" s="54"/>
      <c r="S45" s="54"/>
      <c r="T45" s="54"/>
      <c r="U45" s="54"/>
      <c r="V45" s="27"/>
      <c r="W45" s="27"/>
    </row>
    <row r="46" spans="5:23" x14ac:dyDescent="0.3">
      <c r="O46" s="96"/>
      <c r="P46" s="54"/>
      <c r="Q46" s="54"/>
      <c r="R46" s="54"/>
      <c r="S46" s="54"/>
      <c r="T46" s="54"/>
      <c r="U46" s="54"/>
      <c r="V46" s="27"/>
      <c r="W46" s="27"/>
    </row>
    <row r="47" spans="5:23" x14ac:dyDescent="0.3">
      <c r="O47" s="96"/>
      <c r="P47" s="54"/>
      <c r="Q47" s="54"/>
      <c r="R47" s="54"/>
      <c r="S47" s="54"/>
      <c r="T47" s="54"/>
      <c r="U47" s="54"/>
      <c r="V47" s="27"/>
      <c r="W47" s="27"/>
    </row>
    <row r="48" spans="5:23" x14ac:dyDescent="0.3">
      <c r="O48" s="96"/>
      <c r="P48" s="54"/>
      <c r="Q48" s="54"/>
      <c r="R48" s="54"/>
      <c r="S48" s="54"/>
      <c r="T48" s="54"/>
      <c r="U48" s="54"/>
      <c r="V48" s="27"/>
      <c r="W48" s="27"/>
    </row>
    <row r="49" spans="15:23" x14ac:dyDescent="0.3">
      <c r="O49" s="96"/>
      <c r="P49" s="54"/>
      <c r="Q49" s="54"/>
      <c r="R49" s="54"/>
      <c r="S49" s="54"/>
      <c r="T49" s="54"/>
      <c r="U49" s="54"/>
      <c r="V49" s="27"/>
      <c r="W49" s="27"/>
    </row>
    <row r="50" spans="15:23" x14ac:dyDescent="0.3">
      <c r="O50" s="96"/>
      <c r="P50" s="54"/>
      <c r="Q50" s="54"/>
      <c r="R50" s="54"/>
      <c r="S50" s="54"/>
      <c r="T50" s="54"/>
      <c r="U50" s="54"/>
      <c r="V50" s="27"/>
      <c r="W50" s="27"/>
    </row>
    <row r="51" spans="15:23" x14ac:dyDescent="0.3">
      <c r="O51" s="96"/>
      <c r="P51" s="54"/>
      <c r="Q51" s="54"/>
      <c r="R51" s="54"/>
      <c r="S51" s="54"/>
      <c r="T51" s="54"/>
      <c r="U51" s="54"/>
      <c r="V51" s="27"/>
      <c r="W51" s="27"/>
    </row>
    <row r="52" spans="15:23" x14ac:dyDescent="0.3">
      <c r="O52" s="96"/>
      <c r="P52" s="54"/>
      <c r="Q52" s="54"/>
      <c r="R52" s="54"/>
      <c r="S52" s="54"/>
      <c r="T52" s="54"/>
      <c r="U52" s="54"/>
      <c r="V52" s="27"/>
      <c r="W52" s="27"/>
    </row>
    <row r="53" spans="15:23" x14ac:dyDescent="0.3">
      <c r="O53" s="96"/>
      <c r="P53" s="54"/>
      <c r="Q53" s="54"/>
      <c r="R53" s="54"/>
      <c r="S53" s="54"/>
      <c r="T53" s="54"/>
      <c r="U53" s="54"/>
      <c r="V53" s="27"/>
      <c r="W53" s="27"/>
    </row>
    <row r="54" spans="15:23" x14ac:dyDescent="0.3">
      <c r="O54" s="96"/>
      <c r="P54" s="54"/>
      <c r="Q54" s="54"/>
      <c r="R54" s="54"/>
      <c r="S54" s="54"/>
      <c r="T54" s="54"/>
      <c r="U54" s="54"/>
      <c r="V54" s="27"/>
      <c r="W54" s="27"/>
    </row>
    <row r="55" spans="15:23" x14ac:dyDescent="0.3">
      <c r="O55" s="96"/>
      <c r="P55" s="54"/>
      <c r="Q55" s="54"/>
      <c r="R55" s="54"/>
      <c r="S55" s="54"/>
      <c r="T55" s="54"/>
      <c r="U55" s="54"/>
      <c r="V55" s="27"/>
      <c r="W55" s="27"/>
    </row>
    <row r="56" spans="15:23" x14ac:dyDescent="0.3">
      <c r="O56" s="96"/>
      <c r="P56" s="54"/>
      <c r="Q56" s="54"/>
      <c r="R56" s="54"/>
      <c r="S56" s="54"/>
      <c r="T56" s="54"/>
      <c r="U56" s="54"/>
      <c r="V56" s="27"/>
      <c r="W56" s="27"/>
    </row>
    <row r="57" spans="15:23" x14ac:dyDescent="0.3">
      <c r="O57" s="96"/>
      <c r="P57" s="54"/>
      <c r="Q57" s="54"/>
      <c r="R57" s="54"/>
      <c r="S57" s="54"/>
      <c r="T57" s="54"/>
      <c r="U57" s="54"/>
      <c r="V57" s="27"/>
      <c r="W57" s="27"/>
    </row>
    <row r="58" spans="15:23" x14ac:dyDescent="0.3">
      <c r="O58" s="96"/>
      <c r="P58" s="54"/>
      <c r="Q58" s="54"/>
      <c r="R58" s="54"/>
      <c r="S58" s="54"/>
      <c r="T58" s="54"/>
      <c r="U58" s="54"/>
      <c r="V58" s="27"/>
      <c r="W58" s="27"/>
    </row>
    <row r="59" spans="15:23" x14ac:dyDescent="0.3">
      <c r="O59" s="96"/>
      <c r="P59" s="54"/>
      <c r="Q59" s="54"/>
      <c r="R59" s="54"/>
      <c r="S59" s="54"/>
      <c r="T59" s="54"/>
      <c r="U59" s="54"/>
      <c r="V59" s="27"/>
      <c r="W59" s="27"/>
    </row>
    <row r="60" spans="15:23" x14ac:dyDescent="0.3">
      <c r="O60" s="96"/>
      <c r="P60" s="54"/>
      <c r="Q60" s="54"/>
      <c r="R60" s="54"/>
      <c r="S60" s="54"/>
      <c r="T60" s="54"/>
      <c r="U60" s="54"/>
      <c r="V60" s="27"/>
      <c r="W60" s="27"/>
    </row>
    <row r="61" spans="15:23" x14ac:dyDescent="0.3">
      <c r="O61" s="96"/>
      <c r="P61" s="54"/>
      <c r="Q61" s="54"/>
      <c r="R61" s="54"/>
      <c r="S61" s="54"/>
      <c r="T61" s="54"/>
      <c r="U61" s="54"/>
      <c r="V61" s="27"/>
      <c r="W61" s="27"/>
    </row>
    <row r="62" spans="15:23" x14ac:dyDescent="0.3">
      <c r="O62" s="96"/>
      <c r="P62" s="54"/>
      <c r="Q62" s="54"/>
      <c r="R62" s="54"/>
      <c r="S62" s="54"/>
      <c r="T62" s="54"/>
      <c r="U62" s="54"/>
      <c r="V62" s="27"/>
      <c r="W62" s="27"/>
    </row>
    <row r="63" spans="15:23" x14ac:dyDescent="0.3">
      <c r="O63" s="96"/>
      <c r="P63" s="54"/>
      <c r="Q63" s="54"/>
      <c r="R63" s="54"/>
      <c r="S63" s="54"/>
      <c r="T63" s="54"/>
      <c r="U63" s="54"/>
      <c r="V63" s="27"/>
      <c r="W63" s="27"/>
    </row>
    <row r="64" spans="15:23" x14ac:dyDescent="0.3">
      <c r="O64" s="96"/>
      <c r="P64" s="54"/>
      <c r="Q64" s="54"/>
      <c r="R64" s="54"/>
      <c r="S64" s="54"/>
      <c r="T64" s="54"/>
      <c r="U64" s="54"/>
      <c r="V64" s="27"/>
      <c r="W64" s="27"/>
    </row>
    <row r="65" spans="15:23" x14ac:dyDescent="0.3">
      <c r="O65" s="96"/>
      <c r="P65" s="54"/>
      <c r="Q65" s="54"/>
      <c r="R65" s="54"/>
      <c r="S65" s="54"/>
      <c r="T65" s="54"/>
      <c r="U65" s="54"/>
      <c r="V65" s="27"/>
      <c r="W65" s="27"/>
    </row>
    <row r="66" spans="15:23" x14ac:dyDescent="0.3">
      <c r="O66" s="96"/>
      <c r="P66" s="54"/>
      <c r="Q66" s="54"/>
      <c r="R66" s="54"/>
      <c r="S66" s="54"/>
      <c r="T66" s="54"/>
      <c r="U66" s="54"/>
      <c r="V66" s="27"/>
      <c r="W66" s="27"/>
    </row>
    <row r="67" spans="15:23" x14ac:dyDescent="0.3">
      <c r="O67" s="96"/>
      <c r="P67" s="54"/>
      <c r="Q67" s="54"/>
      <c r="R67" s="54"/>
      <c r="S67" s="54"/>
      <c r="T67" s="54"/>
      <c r="U67" s="54"/>
      <c r="V67" s="27"/>
      <c r="W67" s="27"/>
    </row>
    <row r="68" spans="15:23" x14ac:dyDescent="0.3">
      <c r="O68" s="96"/>
      <c r="P68" s="54"/>
      <c r="Q68" s="54"/>
      <c r="R68" s="54"/>
      <c r="S68" s="54"/>
      <c r="T68" s="54"/>
      <c r="U68" s="54"/>
      <c r="V68" s="27"/>
      <c r="W68" s="27"/>
    </row>
    <row r="69" spans="15:23" x14ac:dyDescent="0.3">
      <c r="O69" s="96"/>
      <c r="P69" s="54"/>
      <c r="Q69" s="54"/>
      <c r="R69" s="54"/>
      <c r="S69" s="54"/>
      <c r="T69" s="54"/>
      <c r="U69" s="54"/>
      <c r="V69" s="27"/>
      <c r="W69" s="27"/>
    </row>
    <row r="70" spans="15:23" x14ac:dyDescent="0.3">
      <c r="O70" s="96"/>
      <c r="P70" s="54"/>
      <c r="Q70" s="54"/>
      <c r="R70" s="54"/>
      <c r="S70" s="54"/>
      <c r="T70" s="54"/>
      <c r="U70" s="54"/>
      <c r="V70" s="27"/>
      <c r="W70" s="27"/>
    </row>
    <row r="71" spans="15:23" x14ac:dyDescent="0.3">
      <c r="O71" s="96"/>
      <c r="P71" s="54"/>
      <c r="Q71" s="54"/>
      <c r="R71" s="54"/>
      <c r="S71" s="54"/>
      <c r="T71" s="54"/>
      <c r="U71" s="54"/>
      <c r="V71" s="27"/>
      <c r="W71" s="27"/>
    </row>
    <row r="72" spans="15:23" x14ac:dyDescent="0.3">
      <c r="O72" s="96"/>
      <c r="P72" s="54"/>
      <c r="Q72" s="54"/>
      <c r="R72" s="54"/>
      <c r="S72" s="54"/>
      <c r="T72" s="54"/>
      <c r="U72" s="54"/>
      <c r="V72" s="27"/>
      <c r="W72" s="27"/>
    </row>
    <row r="73" spans="15:23" x14ac:dyDescent="0.3">
      <c r="O73" s="96"/>
      <c r="P73" s="54"/>
      <c r="Q73" s="54"/>
      <c r="R73" s="54"/>
      <c r="S73" s="54"/>
      <c r="T73" s="54"/>
      <c r="U73" s="54"/>
      <c r="V73" s="27"/>
      <c r="W73" s="27"/>
    </row>
    <row r="74" spans="15:23" x14ac:dyDescent="0.3">
      <c r="O74" s="96"/>
      <c r="P74" s="54"/>
      <c r="Q74" s="54"/>
      <c r="R74" s="54"/>
      <c r="S74" s="54"/>
      <c r="T74" s="54"/>
      <c r="U74" s="54"/>
      <c r="V74" s="27"/>
      <c r="W74" s="27"/>
    </row>
    <row r="75" spans="15:23" x14ac:dyDescent="0.3">
      <c r="O75" s="96"/>
      <c r="P75" s="54"/>
      <c r="Q75" s="54"/>
      <c r="R75" s="54"/>
      <c r="S75" s="54"/>
      <c r="T75" s="54"/>
      <c r="U75" s="54"/>
      <c r="V75" s="27"/>
      <c r="W75" s="27"/>
    </row>
    <row r="76" spans="15:23" x14ac:dyDescent="0.3">
      <c r="O76" s="96"/>
      <c r="P76" s="54"/>
      <c r="Q76" s="54"/>
      <c r="R76" s="54"/>
      <c r="S76" s="54"/>
      <c r="T76" s="54"/>
      <c r="U76" s="54"/>
      <c r="V76" s="27"/>
      <c r="W76" s="27"/>
    </row>
    <row r="77" spans="15:23" x14ac:dyDescent="0.3">
      <c r="O77" s="96"/>
      <c r="P77" s="54"/>
      <c r="Q77" s="54"/>
      <c r="R77" s="54"/>
      <c r="S77" s="54"/>
      <c r="T77" s="54"/>
      <c r="U77" s="54"/>
      <c r="V77" s="27"/>
      <c r="W77" s="27"/>
    </row>
    <row r="78" spans="15:23" x14ac:dyDescent="0.3">
      <c r="O78" s="96"/>
      <c r="P78" s="54"/>
      <c r="Q78" s="54"/>
      <c r="R78" s="54"/>
      <c r="S78" s="54"/>
      <c r="T78" s="54"/>
      <c r="U78" s="54"/>
      <c r="V78" s="27"/>
      <c r="W78" s="27"/>
    </row>
    <row r="79" spans="15:23" x14ac:dyDescent="0.3">
      <c r="O79" s="96"/>
      <c r="P79" s="54"/>
      <c r="Q79" s="54"/>
      <c r="R79" s="54"/>
      <c r="S79" s="54"/>
      <c r="T79" s="54"/>
      <c r="U79" s="54"/>
      <c r="V79" s="27"/>
      <c r="W79" s="27"/>
    </row>
    <row r="80" spans="15:23" x14ac:dyDescent="0.3">
      <c r="O80" s="96"/>
      <c r="P80" s="54"/>
      <c r="Q80" s="54"/>
      <c r="R80" s="54"/>
      <c r="S80" s="54"/>
      <c r="T80" s="54"/>
      <c r="U80" s="54"/>
      <c r="V80" s="27"/>
      <c r="W80" s="27"/>
    </row>
    <row r="81" spans="15:23" x14ac:dyDescent="0.3">
      <c r="O81" s="96"/>
      <c r="P81" s="54"/>
      <c r="Q81" s="54"/>
      <c r="R81" s="54"/>
      <c r="S81" s="54"/>
      <c r="T81" s="54"/>
      <c r="U81" s="54"/>
      <c r="V81" s="27"/>
      <c r="W81" s="27"/>
    </row>
    <row r="82" spans="15:23" x14ac:dyDescent="0.3">
      <c r="O82" s="96"/>
      <c r="P82" s="54"/>
      <c r="Q82" s="54"/>
      <c r="R82" s="54"/>
      <c r="S82" s="54"/>
      <c r="T82" s="54"/>
      <c r="U82" s="54"/>
      <c r="V82" s="27"/>
      <c r="W82" s="27"/>
    </row>
    <row r="83" spans="15:23" x14ac:dyDescent="0.3">
      <c r="O83" s="96"/>
      <c r="P83" s="54"/>
      <c r="Q83" s="54"/>
      <c r="R83" s="54"/>
      <c r="S83" s="54"/>
      <c r="T83" s="54"/>
      <c r="U83" s="54"/>
      <c r="V83" s="27"/>
      <c r="W83" s="27"/>
    </row>
    <row r="84" spans="15:23" x14ac:dyDescent="0.3">
      <c r="O84" s="96"/>
      <c r="P84" s="54"/>
      <c r="Q84" s="54"/>
      <c r="R84" s="54"/>
      <c r="S84" s="54"/>
      <c r="T84" s="54"/>
      <c r="U84" s="54"/>
      <c r="V84" s="27"/>
      <c r="W84" s="27"/>
    </row>
    <row r="85" spans="15:23" x14ac:dyDescent="0.3">
      <c r="O85" s="96"/>
      <c r="P85" s="54"/>
      <c r="Q85" s="54"/>
      <c r="R85" s="54"/>
      <c r="S85" s="54"/>
      <c r="T85" s="54"/>
      <c r="U85" s="54"/>
      <c r="V85" s="27"/>
      <c r="W85" s="27"/>
    </row>
    <row r="86" spans="15:23" x14ac:dyDescent="0.3">
      <c r="O86" s="96"/>
      <c r="P86" s="54"/>
      <c r="Q86" s="54"/>
      <c r="R86" s="54"/>
      <c r="S86" s="54"/>
      <c r="T86" s="54"/>
      <c r="U86" s="54"/>
      <c r="V86" s="27"/>
      <c r="W86" s="27"/>
    </row>
    <row r="87" spans="15:23" x14ac:dyDescent="0.3">
      <c r="O87" s="96"/>
      <c r="P87" s="54"/>
      <c r="Q87" s="54"/>
      <c r="R87" s="54"/>
      <c r="S87" s="54"/>
      <c r="T87" s="54"/>
      <c r="U87" s="54"/>
      <c r="V87" s="27"/>
      <c r="W87" s="27"/>
    </row>
    <row r="88" spans="15:23" x14ac:dyDescent="0.3">
      <c r="O88" s="96"/>
      <c r="P88" s="54"/>
      <c r="Q88" s="54"/>
      <c r="R88" s="54"/>
      <c r="S88" s="54"/>
      <c r="T88" s="54"/>
      <c r="U88" s="54"/>
      <c r="V88" s="27"/>
      <c r="W88" s="27"/>
    </row>
    <row r="89" spans="15:23" x14ac:dyDescent="0.3">
      <c r="O89" s="96"/>
      <c r="P89" s="54"/>
      <c r="Q89" s="54"/>
      <c r="R89" s="54"/>
      <c r="S89" s="54"/>
      <c r="T89" s="54"/>
      <c r="U89" s="54"/>
      <c r="V89" s="27"/>
      <c r="W89" s="27"/>
    </row>
    <row r="90" spans="15:23" x14ac:dyDescent="0.3">
      <c r="O90" s="96"/>
      <c r="P90" s="54"/>
      <c r="Q90" s="54"/>
      <c r="R90" s="54"/>
      <c r="S90" s="54"/>
      <c r="T90" s="54"/>
      <c r="U90" s="54"/>
      <c r="V90" s="27"/>
      <c r="W90" s="27"/>
    </row>
    <row r="91" spans="15:23" x14ac:dyDescent="0.3">
      <c r="O91" s="96"/>
      <c r="P91" s="54"/>
      <c r="Q91" s="54"/>
      <c r="R91" s="54"/>
      <c r="S91" s="54"/>
      <c r="T91" s="54"/>
      <c r="U91" s="54"/>
      <c r="V91" s="27"/>
      <c r="W91" s="27"/>
    </row>
    <row r="92" spans="15:23" x14ac:dyDescent="0.3">
      <c r="O92" s="96"/>
      <c r="P92" s="54"/>
      <c r="Q92" s="54"/>
      <c r="R92" s="54"/>
      <c r="S92" s="54"/>
      <c r="T92" s="54"/>
      <c r="U92" s="54"/>
      <c r="V92" s="27"/>
      <c r="W92" s="27"/>
    </row>
    <row r="93" spans="15:23" x14ac:dyDescent="0.3">
      <c r="O93" s="96"/>
      <c r="P93" s="54"/>
      <c r="Q93" s="54"/>
      <c r="R93" s="54"/>
      <c r="S93" s="54"/>
      <c r="T93" s="54"/>
      <c r="U93" s="54"/>
      <c r="V93" s="27"/>
      <c r="W93" s="27"/>
    </row>
    <row r="94" spans="15:23" x14ac:dyDescent="0.3">
      <c r="O94" s="96"/>
      <c r="P94" s="54"/>
      <c r="Q94" s="54"/>
      <c r="R94" s="54"/>
      <c r="S94" s="54"/>
      <c r="T94" s="54"/>
      <c r="U94" s="54"/>
      <c r="V94" s="27"/>
      <c r="W94" s="27"/>
    </row>
    <row r="95" spans="15:23" x14ac:dyDescent="0.3">
      <c r="O95" s="96"/>
      <c r="P95" s="54"/>
      <c r="Q95" s="54"/>
      <c r="R95" s="54"/>
      <c r="S95" s="54"/>
      <c r="T95" s="54"/>
      <c r="U95" s="54"/>
      <c r="V95" s="27"/>
      <c r="W95" s="27"/>
    </row>
    <row r="96" spans="15:23" x14ac:dyDescent="0.3">
      <c r="O96" s="96"/>
      <c r="P96" s="54"/>
      <c r="Q96" s="54"/>
      <c r="R96" s="54"/>
      <c r="S96" s="54"/>
      <c r="T96" s="54"/>
      <c r="U96" s="54"/>
      <c r="V96" s="27"/>
      <c r="W96" s="27"/>
    </row>
    <row r="97" spans="15:23" x14ac:dyDescent="0.3">
      <c r="O97" s="96"/>
      <c r="P97" s="54"/>
      <c r="Q97" s="54"/>
      <c r="R97" s="54"/>
      <c r="S97" s="54"/>
      <c r="T97" s="54"/>
      <c r="U97" s="54"/>
      <c r="V97" s="27"/>
      <c r="W97" s="27"/>
    </row>
    <row r="98" spans="15:23" x14ac:dyDescent="0.3">
      <c r="O98" s="96"/>
      <c r="P98" s="54"/>
      <c r="Q98" s="54"/>
      <c r="R98" s="54"/>
      <c r="S98" s="54"/>
      <c r="T98" s="54"/>
      <c r="U98" s="54"/>
      <c r="V98" s="27"/>
      <c r="W98" s="27"/>
    </row>
    <row r="99" spans="15:23" x14ac:dyDescent="0.3">
      <c r="O99" s="96"/>
      <c r="P99" s="54"/>
      <c r="Q99" s="54"/>
      <c r="R99" s="54"/>
      <c r="S99" s="54"/>
      <c r="T99" s="54"/>
      <c r="U99" s="54"/>
      <c r="V99" s="27"/>
      <c r="W99" s="27"/>
    </row>
    <row r="100" spans="15:23" x14ac:dyDescent="0.3">
      <c r="O100" s="96"/>
      <c r="P100" s="54"/>
      <c r="Q100" s="54"/>
      <c r="R100" s="54"/>
      <c r="S100" s="54"/>
      <c r="T100" s="54"/>
      <c r="U100" s="54"/>
      <c r="V100" s="27"/>
      <c r="W100" s="27"/>
    </row>
    <row r="101" spans="15:23" x14ac:dyDescent="0.3">
      <c r="O101" s="96"/>
      <c r="P101" s="54"/>
      <c r="Q101" s="54"/>
      <c r="R101" s="54"/>
      <c r="S101" s="54"/>
      <c r="T101" s="54"/>
      <c r="U101" s="54"/>
      <c r="V101" s="27"/>
      <c r="W101" s="27"/>
    </row>
    <row r="102" spans="15:23" x14ac:dyDescent="0.3">
      <c r="O102" s="96"/>
      <c r="P102" s="54"/>
      <c r="Q102" s="54"/>
      <c r="R102" s="54"/>
      <c r="S102" s="54"/>
      <c r="T102" s="54"/>
      <c r="U102" s="54"/>
      <c r="V102" s="27"/>
      <c r="W102" s="27"/>
    </row>
    <row r="103" spans="15:23" x14ac:dyDescent="0.3">
      <c r="O103" s="96"/>
      <c r="P103" s="54"/>
      <c r="Q103" s="54"/>
      <c r="R103" s="54"/>
      <c r="S103" s="54"/>
      <c r="T103" s="54"/>
      <c r="U103" s="54"/>
      <c r="V103" s="27"/>
      <c r="W103" s="27"/>
    </row>
    <row r="104" spans="15:23" x14ac:dyDescent="0.3">
      <c r="O104" s="96"/>
      <c r="P104" s="54"/>
      <c r="Q104" s="54"/>
      <c r="R104" s="54"/>
      <c r="S104" s="54"/>
      <c r="T104" s="54"/>
      <c r="U104" s="54"/>
      <c r="V104" s="27"/>
      <c r="W104" s="27"/>
    </row>
    <row r="105" spans="15:23" x14ac:dyDescent="0.3">
      <c r="O105" s="96"/>
      <c r="P105" s="54"/>
      <c r="Q105" s="54"/>
      <c r="R105" s="54"/>
      <c r="S105" s="54"/>
      <c r="T105" s="54"/>
      <c r="U105" s="54"/>
      <c r="V105" s="27"/>
      <c r="W105" s="27"/>
    </row>
    <row r="106" spans="15:23" x14ac:dyDescent="0.3">
      <c r="O106" s="96"/>
      <c r="P106" s="54"/>
      <c r="Q106" s="54"/>
      <c r="R106" s="54"/>
      <c r="S106" s="54"/>
      <c r="T106" s="54"/>
      <c r="U106" s="54"/>
      <c r="V106" s="27"/>
      <c r="W106" s="27"/>
    </row>
    <row r="107" spans="15:23" x14ac:dyDescent="0.3">
      <c r="O107" s="96"/>
      <c r="P107" s="54"/>
      <c r="Q107" s="54"/>
      <c r="R107" s="54"/>
      <c r="S107" s="54"/>
      <c r="T107" s="54"/>
      <c r="U107" s="54"/>
      <c r="V107" s="27"/>
      <c r="W107" s="27"/>
    </row>
    <row r="108" spans="15:23" x14ac:dyDescent="0.3">
      <c r="O108" s="96"/>
      <c r="P108" s="54"/>
      <c r="Q108" s="54"/>
      <c r="R108" s="54"/>
      <c r="S108" s="54"/>
      <c r="T108" s="54"/>
      <c r="U108" s="54"/>
      <c r="V108" s="27"/>
      <c r="W108" s="27"/>
    </row>
    <row r="109" spans="15:23" x14ac:dyDescent="0.3">
      <c r="O109" s="96"/>
      <c r="P109" s="54"/>
      <c r="Q109" s="54"/>
      <c r="R109" s="54"/>
      <c r="S109" s="54"/>
      <c r="T109" s="54"/>
      <c r="U109" s="54"/>
      <c r="V109" s="27"/>
      <c r="W109" s="27"/>
    </row>
    <row r="110" spans="15:23" x14ac:dyDescent="0.3">
      <c r="O110" s="96"/>
      <c r="P110" s="54"/>
      <c r="Q110" s="54"/>
      <c r="R110" s="54"/>
      <c r="S110" s="54"/>
      <c r="T110" s="54"/>
      <c r="U110" s="54"/>
      <c r="V110" s="27"/>
      <c r="W110" s="27"/>
    </row>
    <row r="111" spans="15:23" x14ac:dyDescent="0.3">
      <c r="O111" s="96"/>
      <c r="P111" s="54"/>
      <c r="Q111" s="54"/>
      <c r="R111" s="54"/>
      <c r="S111" s="54"/>
      <c r="T111" s="54"/>
      <c r="U111" s="54"/>
      <c r="V111" s="27"/>
      <c r="W111" s="27"/>
    </row>
    <row r="112" spans="15:23" x14ac:dyDescent="0.3">
      <c r="O112" s="96"/>
      <c r="P112" s="54"/>
      <c r="Q112" s="54"/>
      <c r="R112" s="54"/>
      <c r="S112" s="54"/>
      <c r="T112" s="54"/>
      <c r="U112" s="54"/>
      <c r="V112" s="27"/>
      <c r="W112" s="27"/>
    </row>
    <row r="113" spans="15:23" x14ac:dyDescent="0.3">
      <c r="O113" s="96"/>
      <c r="P113" s="54"/>
      <c r="Q113" s="54"/>
      <c r="R113" s="54"/>
      <c r="S113" s="54"/>
      <c r="T113" s="54"/>
      <c r="U113" s="54"/>
      <c r="V113" s="27"/>
      <c r="W113" s="27"/>
    </row>
    <row r="114" spans="15:23" x14ac:dyDescent="0.3">
      <c r="O114" s="96"/>
      <c r="P114" s="54"/>
      <c r="Q114" s="54"/>
      <c r="R114" s="54"/>
      <c r="S114" s="54"/>
      <c r="T114" s="54"/>
      <c r="U114" s="54"/>
      <c r="V114" s="27"/>
      <c r="W114" s="27"/>
    </row>
    <row r="115" spans="15:23" x14ac:dyDescent="0.3">
      <c r="O115" s="96"/>
      <c r="P115" s="54"/>
      <c r="Q115" s="54"/>
      <c r="R115" s="54"/>
      <c r="S115" s="54"/>
      <c r="T115" s="54"/>
      <c r="U115" s="54"/>
      <c r="V115" s="27"/>
      <c r="W115" s="27"/>
    </row>
    <row r="116" spans="15:23" x14ac:dyDescent="0.3">
      <c r="O116" s="96"/>
      <c r="P116" s="54"/>
      <c r="Q116" s="54"/>
      <c r="R116" s="54"/>
      <c r="S116" s="54"/>
      <c r="T116" s="54"/>
      <c r="U116" s="54"/>
      <c r="V116" s="27"/>
      <c r="W116" s="27"/>
    </row>
    <row r="117" spans="15:23" x14ac:dyDescent="0.3">
      <c r="O117" s="96"/>
      <c r="P117" s="54"/>
      <c r="Q117" s="54"/>
      <c r="R117" s="54"/>
      <c r="S117" s="54"/>
      <c r="T117" s="54"/>
      <c r="U117" s="54"/>
      <c r="V117" s="27"/>
      <c r="W117" s="27"/>
    </row>
    <row r="118" spans="15:23" x14ac:dyDescent="0.3">
      <c r="O118" s="96"/>
      <c r="P118" s="54"/>
      <c r="Q118" s="54"/>
      <c r="R118" s="54"/>
      <c r="S118" s="54"/>
      <c r="T118" s="54"/>
      <c r="U118" s="54"/>
      <c r="V118" s="27"/>
      <c r="W118" s="27"/>
    </row>
    <row r="119" spans="15:23" x14ac:dyDescent="0.3">
      <c r="O119" s="96"/>
      <c r="P119" s="54"/>
      <c r="Q119" s="54"/>
      <c r="R119" s="54"/>
      <c r="S119" s="54"/>
      <c r="T119" s="54"/>
      <c r="U119" s="54"/>
      <c r="V119" s="27"/>
      <c r="W119" s="27"/>
    </row>
    <row r="120" spans="15:23" x14ac:dyDescent="0.3">
      <c r="O120" s="96"/>
      <c r="P120" s="54"/>
      <c r="Q120" s="54"/>
      <c r="R120" s="54"/>
      <c r="S120" s="54"/>
      <c r="T120" s="54"/>
      <c r="U120" s="54"/>
      <c r="V120" s="27"/>
      <c r="W120" s="27"/>
    </row>
    <row r="121" spans="15:23" x14ac:dyDescent="0.3">
      <c r="O121" s="96"/>
      <c r="P121" s="54"/>
      <c r="Q121" s="54"/>
      <c r="R121" s="54"/>
      <c r="S121" s="54"/>
      <c r="T121" s="54"/>
      <c r="U121" s="54"/>
      <c r="V121" s="27"/>
      <c r="W121" s="27"/>
    </row>
    <row r="122" spans="15:23" x14ac:dyDescent="0.3">
      <c r="O122" s="96"/>
      <c r="P122" s="54"/>
      <c r="Q122" s="54"/>
      <c r="R122" s="54"/>
      <c r="S122" s="54"/>
      <c r="T122" s="54"/>
      <c r="U122" s="54"/>
      <c r="V122" s="27"/>
      <c r="W122" s="27"/>
    </row>
    <row r="123" spans="15:23" x14ac:dyDescent="0.3">
      <c r="O123" s="96"/>
      <c r="P123" s="54"/>
      <c r="Q123" s="54"/>
      <c r="R123" s="54"/>
      <c r="S123" s="54"/>
      <c r="T123" s="54"/>
      <c r="U123" s="54"/>
      <c r="V123" s="27"/>
      <c r="W123" s="27"/>
    </row>
    <row r="124" spans="15:23" x14ac:dyDescent="0.3">
      <c r="O124" s="96"/>
      <c r="P124" s="54"/>
      <c r="Q124" s="54"/>
      <c r="R124" s="54"/>
      <c r="S124" s="54"/>
      <c r="T124" s="54"/>
      <c r="U124" s="54"/>
      <c r="V124" s="27"/>
      <c r="W124" s="27"/>
    </row>
    <row r="125" spans="15:23" x14ac:dyDescent="0.3">
      <c r="O125" s="96"/>
      <c r="P125" s="54"/>
      <c r="Q125" s="54"/>
      <c r="R125" s="54"/>
      <c r="S125" s="54"/>
      <c r="T125" s="54"/>
      <c r="U125" s="54"/>
      <c r="V125" s="27"/>
      <c r="W125" s="27"/>
    </row>
    <row r="126" spans="15:23" x14ac:dyDescent="0.3">
      <c r="O126" s="96"/>
      <c r="P126" s="54"/>
      <c r="Q126" s="54"/>
      <c r="R126" s="54"/>
      <c r="S126" s="54"/>
      <c r="T126" s="54"/>
      <c r="U126" s="54"/>
      <c r="V126" s="27"/>
      <c r="W126" s="27"/>
    </row>
    <row r="127" spans="15:23" x14ac:dyDescent="0.3">
      <c r="O127" s="96"/>
      <c r="P127" s="54"/>
      <c r="Q127" s="54"/>
      <c r="R127" s="54"/>
      <c r="S127" s="54"/>
      <c r="T127" s="54"/>
      <c r="U127" s="54"/>
      <c r="V127" s="27"/>
      <c r="W127" s="27"/>
    </row>
    <row r="128" spans="15:23" x14ac:dyDescent="0.3">
      <c r="O128" s="96"/>
      <c r="P128" s="54"/>
      <c r="Q128" s="54"/>
      <c r="R128" s="54"/>
      <c r="S128" s="54"/>
      <c r="T128" s="54"/>
      <c r="U128" s="54"/>
      <c r="V128" s="27"/>
      <c r="W128" s="27"/>
    </row>
    <row r="129" spans="15:23" x14ac:dyDescent="0.3">
      <c r="O129" s="96"/>
      <c r="P129" s="54"/>
      <c r="Q129" s="54"/>
      <c r="R129" s="54"/>
      <c r="S129" s="54"/>
      <c r="T129" s="54"/>
      <c r="U129" s="54"/>
      <c r="V129" s="27"/>
      <c r="W129" s="27"/>
    </row>
    <row r="130" spans="15:23" x14ac:dyDescent="0.3">
      <c r="O130" s="96"/>
      <c r="P130" s="54"/>
      <c r="Q130" s="54"/>
      <c r="R130" s="54"/>
      <c r="S130" s="54"/>
      <c r="T130" s="54"/>
      <c r="U130" s="54"/>
      <c r="V130" s="27"/>
      <c r="W130" s="27"/>
    </row>
    <row r="131" spans="15:23" x14ac:dyDescent="0.3">
      <c r="O131" s="96"/>
      <c r="P131" s="54"/>
      <c r="Q131" s="54"/>
      <c r="R131" s="54"/>
      <c r="S131" s="54"/>
      <c r="T131" s="54"/>
      <c r="U131" s="54"/>
      <c r="V131" s="27"/>
      <c r="W131" s="27"/>
    </row>
    <row r="132" spans="15:23" x14ac:dyDescent="0.3">
      <c r="O132" s="96"/>
      <c r="P132" s="54"/>
      <c r="Q132" s="54"/>
      <c r="R132" s="54"/>
      <c r="S132" s="54"/>
      <c r="T132" s="54"/>
      <c r="U132" s="54"/>
      <c r="V132" s="27"/>
      <c r="W132" s="27"/>
    </row>
    <row r="133" spans="15:23" x14ac:dyDescent="0.3">
      <c r="O133" s="96"/>
      <c r="P133" s="54"/>
      <c r="Q133" s="54"/>
      <c r="R133" s="54"/>
      <c r="S133" s="54"/>
      <c r="T133" s="54"/>
      <c r="U133" s="54"/>
      <c r="V133" s="27"/>
      <c r="W133" s="27"/>
    </row>
    <row r="134" spans="15:23" x14ac:dyDescent="0.3">
      <c r="O134" s="96"/>
      <c r="P134" s="54"/>
      <c r="Q134" s="54"/>
      <c r="R134" s="54"/>
      <c r="S134" s="54"/>
      <c r="T134" s="54"/>
      <c r="U134" s="54"/>
      <c r="V134" s="27"/>
      <c r="W134" s="27"/>
    </row>
    <row r="135" spans="15:23" x14ac:dyDescent="0.3">
      <c r="O135" s="96"/>
      <c r="P135" s="54"/>
      <c r="Q135" s="54"/>
      <c r="R135" s="54"/>
      <c r="S135" s="54"/>
      <c r="T135" s="54"/>
      <c r="U135" s="54"/>
      <c r="V135" s="27"/>
      <c r="W135" s="27"/>
    </row>
    <row r="136" spans="15:23" x14ac:dyDescent="0.3">
      <c r="O136" s="96"/>
      <c r="P136" s="54"/>
      <c r="Q136" s="54"/>
      <c r="R136" s="54"/>
      <c r="S136" s="54"/>
      <c r="T136" s="54"/>
      <c r="U136" s="54"/>
      <c r="V136" s="27"/>
      <c r="W136" s="27"/>
    </row>
    <row r="137" spans="15:23" x14ac:dyDescent="0.3">
      <c r="O137" s="96"/>
      <c r="P137" s="54"/>
      <c r="Q137" s="54"/>
      <c r="R137" s="54"/>
      <c r="S137" s="54"/>
      <c r="T137" s="54"/>
      <c r="U137" s="54"/>
      <c r="V137" s="27"/>
      <c r="W137" s="27"/>
    </row>
    <row r="138" spans="15:23" x14ac:dyDescent="0.3">
      <c r="O138" s="96"/>
      <c r="P138" s="54"/>
      <c r="Q138" s="54"/>
      <c r="R138" s="54"/>
      <c r="S138" s="54"/>
      <c r="T138" s="54"/>
      <c r="U138" s="54"/>
      <c r="V138" s="27"/>
      <c r="W138" s="27"/>
    </row>
    <row r="139" spans="15:23" x14ac:dyDescent="0.3">
      <c r="O139" s="96"/>
      <c r="P139" s="54"/>
      <c r="Q139" s="54"/>
      <c r="R139" s="54"/>
      <c r="S139" s="54"/>
      <c r="T139" s="54"/>
      <c r="U139" s="54"/>
      <c r="V139" s="27"/>
      <c r="W139" s="27"/>
    </row>
    <row r="140" spans="15:23" x14ac:dyDescent="0.3">
      <c r="O140" s="96"/>
      <c r="P140" s="54"/>
      <c r="Q140" s="54"/>
      <c r="R140" s="54"/>
      <c r="S140" s="54"/>
      <c r="T140" s="54"/>
      <c r="U140" s="54"/>
      <c r="V140" s="27"/>
      <c r="W140" s="27"/>
    </row>
    <row r="141" spans="15:23" x14ac:dyDescent="0.3">
      <c r="O141" s="96"/>
      <c r="P141" s="54"/>
      <c r="Q141" s="54"/>
      <c r="R141" s="54"/>
      <c r="S141" s="54"/>
      <c r="T141" s="54"/>
      <c r="U141" s="54"/>
      <c r="V141" s="27"/>
      <c r="W141" s="27"/>
    </row>
    <row r="142" spans="15:23" x14ac:dyDescent="0.3">
      <c r="O142" s="96"/>
      <c r="P142" s="54"/>
      <c r="Q142" s="54"/>
      <c r="R142" s="54"/>
      <c r="S142" s="54"/>
      <c r="T142" s="54"/>
      <c r="U142" s="54"/>
      <c r="V142" s="27"/>
      <c r="W142" s="27"/>
    </row>
    <row r="143" spans="15:23" x14ac:dyDescent="0.3">
      <c r="O143" s="96"/>
      <c r="P143" s="54"/>
      <c r="Q143" s="54"/>
      <c r="R143" s="54"/>
      <c r="S143" s="54"/>
      <c r="T143" s="54"/>
      <c r="U143" s="54"/>
      <c r="V143" s="27"/>
      <c r="W143" s="27"/>
    </row>
    <row r="144" spans="15:23" x14ac:dyDescent="0.3">
      <c r="O144" s="96"/>
      <c r="P144" s="54"/>
      <c r="Q144" s="54"/>
      <c r="R144" s="54"/>
      <c r="S144" s="54"/>
      <c r="T144" s="54"/>
      <c r="U144" s="54"/>
      <c r="V144" s="27"/>
      <c r="W144" s="27"/>
    </row>
    <row r="145" spans="15:23" x14ac:dyDescent="0.3">
      <c r="O145" s="96"/>
      <c r="P145" s="54"/>
      <c r="Q145" s="54"/>
      <c r="R145" s="54"/>
      <c r="S145" s="54"/>
      <c r="T145" s="54"/>
      <c r="U145" s="54"/>
      <c r="V145" s="27"/>
      <c r="W145" s="27"/>
    </row>
    <row r="146" spans="15:23" x14ac:dyDescent="0.3">
      <c r="O146" s="96"/>
      <c r="P146" s="54"/>
      <c r="Q146" s="54"/>
      <c r="R146" s="54"/>
      <c r="S146" s="54"/>
      <c r="T146" s="54"/>
      <c r="U146" s="54"/>
      <c r="V146" s="27"/>
      <c r="W146" s="27"/>
    </row>
    <row r="147" spans="15:23" x14ac:dyDescent="0.3">
      <c r="O147" s="96"/>
      <c r="P147" s="54"/>
      <c r="Q147" s="54"/>
      <c r="R147" s="54"/>
      <c r="S147" s="54"/>
      <c r="T147" s="54"/>
      <c r="U147" s="54"/>
      <c r="V147" s="27"/>
      <c r="W147" s="27"/>
    </row>
    <row r="148" spans="15:23" x14ac:dyDescent="0.3">
      <c r="O148" s="96"/>
      <c r="P148" s="54"/>
      <c r="Q148" s="54"/>
      <c r="R148" s="54"/>
      <c r="S148" s="54"/>
      <c r="T148" s="54"/>
      <c r="U148" s="54"/>
      <c r="V148" s="27"/>
      <c r="W148" s="27"/>
    </row>
    <row r="149" spans="15:23" x14ac:dyDescent="0.3">
      <c r="O149" s="96"/>
      <c r="P149" s="54"/>
      <c r="Q149" s="54"/>
      <c r="R149" s="54"/>
      <c r="S149" s="54"/>
      <c r="T149" s="54"/>
      <c r="U149" s="54"/>
      <c r="V149" s="27"/>
      <c r="W149" s="27"/>
    </row>
    <row r="150" spans="15:23" x14ac:dyDescent="0.3">
      <c r="O150" s="96"/>
      <c r="P150" s="54"/>
      <c r="Q150" s="54"/>
      <c r="R150" s="54"/>
      <c r="S150" s="54"/>
      <c r="T150" s="54"/>
      <c r="U150" s="54"/>
      <c r="V150" s="27"/>
      <c r="W150" s="27"/>
    </row>
    <row r="151" spans="15:23" x14ac:dyDescent="0.3">
      <c r="O151" s="96"/>
      <c r="P151" s="54"/>
      <c r="Q151" s="54"/>
      <c r="R151" s="54"/>
      <c r="S151" s="54"/>
      <c r="T151" s="54"/>
      <c r="U151" s="54"/>
      <c r="V151" s="27"/>
      <c r="W151" s="27"/>
    </row>
    <row r="152" spans="15:23" x14ac:dyDescent="0.3">
      <c r="O152" s="96"/>
      <c r="P152" s="54"/>
      <c r="Q152" s="54"/>
      <c r="R152" s="54"/>
      <c r="S152" s="54"/>
      <c r="T152" s="54"/>
      <c r="U152" s="54"/>
      <c r="V152" s="27"/>
      <c r="W152" s="27"/>
    </row>
    <row r="153" spans="15:23" x14ac:dyDescent="0.3">
      <c r="O153" s="96"/>
      <c r="P153" s="54"/>
      <c r="Q153" s="54"/>
      <c r="R153" s="54"/>
      <c r="S153" s="54"/>
      <c r="T153" s="54"/>
      <c r="U153" s="54"/>
      <c r="V153" s="27"/>
      <c r="W153" s="27"/>
    </row>
    <row r="154" spans="15:23" x14ac:dyDescent="0.3">
      <c r="O154" s="96"/>
      <c r="P154" s="54"/>
      <c r="Q154" s="54"/>
      <c r="R154" s="54"/>
      <c r="S154" s="54"/>
      <c r="T154" s="54"/>
      <c r="U154" s="54"/>
      <c r="V154" s="27"/>
      <c r="W154" s="27"/>
    </row>
    <row r="155" spans="15:23" x14ac:dyDescent="0.3">
      <c r="O155" s="96"/>
      <c r="P155" s="54"/>
      <c r="Q155" s="54"/>
      <c r="R155" s="54"/>
      <c r="S155" s="54"/>
      <c r="T155" s="54"/>
      <c r="U155" s="54"/>
      <c r="V155" s="27"/>
      <c r="W155" s="27"/>
    </row>
    <row r="156" spans="15:23" x14ac:dyDescent="0.3">
      <c r="O156" s="96"/>
      <c r="P156" s="54"/>
      <c r="Q156" s="54"/>
      <c r="R156" s="54"/>
      <c r="S156" s="54"/>
      <c r="T156" s="54"/>
      <c r="U156" s="54"/>
      <c r="V156" s="27"/>
      <c r="W156" s="27"/>
    </row>
    <row r="157" spans="15:23" x14ac:dyDescent="0.3">
      <c r="O157" s="96"/>
      <c r="P157" s="54"/>
      <c r="Q157" s="54"/>
      <c r="R157" s="54"/>
      <c r="S157" s="54"/>
      <c r="T157" s="54"/>
      <c r="U157" s="54"/>
      <c r="V157" s="27"/>
      <c r="W157" s="27"/>
    </row>
    <row r="158" spans="15:23" x14ac:dyDescent="0.3">
      <c r="O158" s="96"/>
      <c r="P158" s="54"/>
      <c r="Q158" s="54"/>
      <c r="R158" s="54"/>
      <c r="S158" s="54"/>
      <c r="T158" s="54"/>
      <c r="U158" s="54"/>
      <c r="V158" s="27"/>
      <c r="W158" s="27"/>
    </row>
    <row r="159" spans="15:23" x14ac:dyDescent="0.3">
      <c r="O159" s="96"/>
      <c r="P159" s="54"/>
      <c r="Q159" s="54"/>
      <c r="R159" s="54"/>
      <c r="S159" s="54"/>
      <c r="T159" s="54"/>
      <c r="U159" s="54"/>
      <c r="V159" s="27"/>
      <c r="W159" s="27"/>
    </row>
    <row r="160" spans="15:23" x14ac:dyDescent="0.3">
      <c r="O160" s="96"/>
      <c r="P160" s="54"/>
      <c r="Q160" s="54"/>
      <c r="R160" s="54"/>
      <c r="S160" s="54"/>
      <c r="T160" s="54"/>
      <c r="U160" s="54"/>
      <c r="V160" s="27"/>
      <c r="W160" s="27"/>
    </row>
    <row r="161" spans="15:23" x14ac:dyDescent="0.3">
      <c r="O161" s="96"/>
      <c r="P161" s="54"/>
      <c r="Q161" s="54"/>
      <c r="R161" s="54"/>
      <c r="S161" s="54"/>
      <c r="T161" s="54"/>
      <c r="U161" s="54"/>
      <c r="V161" s="27"/>
      <c r="W161" s="27"/>
    </row>
    <row r="162" spans="15:23" x14ac:dyDescent="0.3">
      <c r="O162" s="96"/>
      <c r="P162" s="54"/>
      <c r="Q162" s="54"/>
      <c r="R162" s="54"/>
      <c r="S162" s="54"/>
      <c r="T162" s="54"/>
      <c r="U162" s="54"/>
      <c r="V162" s="27"/>
      <c r="W162" s="27"/>
    </row>
    <row r="163" spans="15:23" x14ac:dyDescent="0.3">
      <c r="O163" s="96"/>
      <c r="P163" s="54"/>
      <c r="Q163" s="54"/>
      <c r="R163" s="54"/>
      <c r="S163" s="54"/>
      <c r="T163" s="54"/>
      <c r="U163" s="54"/>
      <c r="V163" s="27"/>
      <c r="W163" s="27"/>
    </row>
    <row r="164" spans="15:23" x14ac:dyDescent="0.3">
      <c r="O164" s="96"/>
      <c r="P164" s="54"/>
      <c r="Q164" s="54"/>
      <c r="R164" s="54"/>
      <c r="S164" s="54"/>
      <c r="T164" s="54"/>
      <c r="U164" s="54"/>
      <c r="V164" s="27"/>
      <c r="W164" s="27"/>
    </row>
    <row r="165" spans="15:23" x14ac:dyDescent="0.3">
      <c r="O165" s="96"/>
      <c r="P165" s="54"/>
      <c r="Q165" s="54"/>
      <c r="R165" s="54"/>
      <c r="S165" s="54"/>
      <c r="T165" s="54"/>
      <c r="U165" s="54"/>
      <c r="V165" s="27"/>
      <c r="W165" s="27"/>
    </row>
    <row r="166" spans="15:23" x14ac:dyDescent="0.3">
      <c r="O166" s="96"/>
      <c r="P166" s="54"/>
      <c r="Q166" s="54"/>
      <c r="R166" s="54"/>
      <c r="S166" s="54"/>
      <c r="T166" s="54"/>
      <c r="U166" s="54"/>
      <c r="V166" s="27"/>
      <c r="W166" s="27"/>
    </row>
    <row r="167" spans="15:23" x14ac:dyDescent="0.3">
      <c r="O167" s="96"/>
      <c r="P167" s="54"/>
      <c r="Q167" s="54"/>
      <c r="R167" s="54"/>
      <c r="S167" s="54"/>
      <c r="T167" s="54"/>
      <c r="U167" s="54"/>
      <c r="V167" s="27"/>
      <c r="W167" s="27"/>
    </row>
    <row r="168" spans="15:23" x14ac:dyDescent="0.3">
      <c r="O168" s="96"/>
      <c r="P168" s="54"/>
      <c r="Q168" s="54"/>
      <c r="R168" s="54"/>
      <c r="S168" s="54"/>
      <c r="T168" s="54"/>
      <c r="U168" s="54"/>
      <c r="V168" s="27"/>
      <c r="W168" s="27"/>
    </row>
    <row r="169" spans="15:23" x14ac:dyDescent="0.3">
      <c r="O169" s="96"/>
      <c r="P169" s="54"/>
      <c r="Q169" s="54"/>
      <c r="R169" s="54"/>
      <c r="S169" s="54"/>
      <c r="T169" s="54"/>
      <c r="U169" s="54"/>
      <c r="V169" s="27"/>
      <c r="W169" s="27"/>
    </row>
    <row r="170" spans="15:23" x14ac:dyDescent="0.3">
      <c r="O170" s="96"/>
      <c r="P170" s="54"/>
      <c r="Q170" s="54"/>
      <c r="R170" s="54"/>
      <c r="S170" s="54"/>
      <c r="T170" s="54"/>
      <c r="U170" s="54"/>
      <c r="V170" s="27"/>
      <c r="W170" s="27"/>
    </row>
    <row r="171" spans="15:23" x14ac:dyDescent="0.3">
      <c r="O171" s="96"/>
      <c r="P171" s="54"/>
      <c r="Q171" s="54"/>
      <c r="R171" s="54"/>
      <c r="S171" s="54"/>
      <c r="T171" s="54"/>
      <c r="U171" s="54"/>
      <c r="V171" s="27"/>
      <c r="W171" s="27"/>
    </row>
    <row r="172" spans="15:23" x14ac:dyDescent="0.3">
      <c r="O172" s="96"/>
      <c r="P172" s="54"/>
      <c r="Q172" s="54"/>
      <c r="R172" s="54"/>
      <c r="S172" s="54"/>
      <c r="T172" s="54"/>
      <c r="U172" s="54"/>
      <c r="V172" s="27"/>
      <c r="W172" s="27"/>
    </row>
    <row r="173" spans="15:23" x14ac:dyDescent="0.3">
      <c r="O173" s="96"/>
      <c r="P173" s="54"/>
      <c r="Q173" s="54"/>
      <c r="R173" s="54"/>
      <c r="S173" s="54"/>
      <c r="T173" s="54"/>
      <c r="U173" s="54"/>
      <c r="V173" s="27"/>
      <c r="W173" s="27"/>
    </row>
    <row r="174" spans="15:23" x14ac:dyDescent="0.3">
      <c r="O174" s="96"/>
      <c r="P174" s="54"/>
      <c r="Q174" s="54"/>
      <c r="R174" s="54"/>
      <c r="S174" s="54"/>
      <c r="T174" s="54"/>
      <c r="U174" s="54"/>
      <c r="V174" s="27"/>
      <c r="W174" s="27"/>
    </row>
    <row r="175" spans="15:23" x14ac:dyDescent="0.3">
      <c r="O175" s="96"/>
      <c r="P175" s="54"/>
      <c r="Q175" s="54"/>
      <c r="R175" s="54"/>
      <c r="S175" s="54"/>
      <c r="T175" s="54"/>
      <c r="U175" s="54"/>
      <c r="V175" s="27"/>
      <c r="W175" s="27"/>
    </row>
    <row r="176" spans="15:23" x14ac:dyDescent="0.3">
      <c r="O176" s="96"/>
      <c r="P176" s="54"/>
      <c r="Q176" s="54"/>
      <c r="R176" s="54"/>
      <c r="S176" s="54"/>
      <c r="T176" s="54"/>
      <c r="U176" s="54"/>
      <c r="V176" s="27"/>
      <c r="W176" s="27"/>
    </row>
    <row r="177" spans="15:23" x14ac:dyDescent="0.3">
      <c r="O177" s="96"/>
      <c r="P177" s="54"/>
      <c r="Q177" s="54"/>
      <c r="R177" s="54"/>
      <c r="S177" s="54"/>
      <c r="T177" s="54"/>
      <c r="U177" s="54"/>
      <c r="V177" s="27"/>
      <c r="W177" s="27"/>
    </row>
    <row r="178" spans="15:23" x14ac:dyDescent="0.3">
      <c r="O178" s="96"/>
      <c r="P178" s="54"/>
      <c r="Q178" s="54"/>
      <c r="R178" s="54"/>
      <c r="S178" s="54"/>
      <c r="T178" s="54"/>
      <c r="U178" s="54"/>
      <c r="V178" s="27"/>
      <c r="W178" s="27"/>
    </row>
    <row r="179" spans="15:23" x14ac:dyDescent="0.3">
      <c r="O179" s="96"/>
      <c r="P179" s="54"/>
      <c r="Q179" s="54"/>
      <c r="R179" s="54"/>
      <c r="S179" s="54"/>
      <c r="T179" s="54"/>
      <c r="U179" s="54"/>
      <c r="V179" s="27"/>
      <c r="W179" s="27"/>
    </row>
    <row r="180" spans="15:23" x14ac:dyDescent="0.3">
      <c r="O180" s="96"/>
      <c r="P180" s="54"/>
      <c r="Q180" s="54"/>
      <c r="R180" s="54"/>
      <c r="S180" s="54"/>
      <c r="T180" s="54"/>
      <c r="U180" s="54"/>
      <c r="V180" s="27"/>
      <c r="W180" s="27"/>
    </row>
    <row r="181" spans="15:23" x14ac:dyDescent="0.3">
      <c r="O181" s="96"/>
      <c r="P181" s="54"/>
      <c r="Q181" s="54"/>
      <c r="R181" s="54"/>
      <c r="S181" s="54"/>
      <c r="T181" s="54"/>
      <c r="U181" s="54"/>
      <c r="V181" s="27"/>
      <c r="W181" s="27"/>
    </row>
    <row r="182" spans="15:23" x14ac:dyDescent="0.3">
      <c r="O182" s="96"/>
      <c r="P182" s="54"/>
      <c r="Q182" s="54"/>
      <c r="R182" s="54"/>
      <c r="S182" s="54"/>
      <c r="T182" s="54"/>
      <c r="U182" s="54"/>
      <c r="V182" s="27"/>
      <c r="W182" s="27"/>
    </row>
    <row r="183" spans="15:23" x14ac:dyDescent="0.3">
      <c r="O183" s="96"/>
      <c r="P183" s="54"/>
      <c r="Q183" s="54"/>
      <c r="R183" s="54"/>
      <c r="S183" s="54"/>
      <c r="T183" s="54"/>
      <c r="U183" s="54"/>
      <c r="V183" s="27"/>
      <c r="W183" s="27"/>
    </row>
    <row r="184" spans="15:23" x14ac:dyDescent="0.3">
      <c r="O184" s="96"/>
      <c r="P184" s="54"/>
      <c r="Q184" s="54"/>
      <c r="R184" s="54"/>
      <c r="S184" s="54"/>
      <c r="T184" s="54"/>
      <c r="U184" s="54"/>
      <c r="V184" s="27"/>
      <c r="W184" s="27"/>
    </row>
    <row r="185" spans="15:23" x14ac:dyDescent="0.3">
      <c r="O185" s="96"/>
      <c r="P185" s="54"/>
      <c r="Q185" s="54"/>
      <c r="R185" s="54"/>
      <c r="S185" s="54"/>
      <c r="T185" s="54"/>
      <c r="U185" s="54"/>
      <c r="V185" s="27"/>
      <c r="W185" s="27"/>
    </row>
    <row r="186" spans="15:23" x14ac:dyDescent="0.3">
      <c r="O186" s="96"/>
      <c r="P186" s="54"/>
      <c r="Q186" s="54"/>
      <c r="R186" s="54"/>
      <c r="S186" s="54"/>
      <c r="T186" s="54"/>
      <c r="U186" s="54"/>
      <c r="V186" s="27"/>
      <c r="W186" s="27"/>
    </row>
    <row r="187" spans="15:23" x14ac:dyDescent="0.3">
      <c r="O187" s="96"/>
      <c r="P187" s="54"/>
      <c r="Q187" s="54"/>
      <c r="R187" s="54"/>
      <c r="S187" s="54"/>
      <c r="T187" s="54"/>
      <c r="U187" s="54"/>
      <c r="V187" s="27"/>
      <c r="W187" s="27"/>
    </row>
    <row r="188" spans="15:23" x14ac:dyDescent="0.3">
      <c r="O188" s="96"/>
      <c r="P188" s="54"/>
      <c r="Q188" s="54"/>
      <c r="R188" s="54"/>
      <c r="S188" s="54"/>
      <c r="T188" s="54"/>
      <c r="U188" s="54"/>
      <c r="V188" s="27"/>
      <c r="W188" s="27"/>
    </row>
    <row r="189" spans="15:23" x14ac:dyDescent="0.3">
      <c r="O189" s="96"/>
      <c r="P189" s="54"/>
      <c r="Q189" s="54"/>
      <c r="R189" s="54"/>
      <c r="S189" s="54"/>
      <c r="T189" s="54"/>
      <c r="U189" s="54"/>
      <c r="V189" s="27"/>
      <c r="W189" s="27"/>
    </row>
    <row r="190" spans="15:23" x14ac:dyDescent="0.3">
      <c r="O190" s="96"/>
      <c r="P190" s="54"/>
      <c r="Q190" s="54"/>
      <c r="R190" s="54"/>
      <c r="S190" s="54"/>
      <c r="T190" s="54"/>
      <c r="U190" s="54"/>
      <c r="V190" s="27"/>
      <c r="W190" s="27"/>
    </row>
    <row r="191" spans="15:23" x14ac:dyDescent="0.3">
      <c r="O191" s="96"/>
      <c r="P191" s="54"/>
      <c r="Q191" s="54"/>
      <c r="R191" s="54"/>
      <c r="S191" s="54"/>
      <c r="T191" s="54"/>
      <c r="U191" s="54"/>
      <c r="V191" s="27"/>
      <c r="W191" s="27"/>
    </row>
    <row r="192" spans="15:23" x14ac:dyDescent="0.3">
      <c r="O192" s="96"/>
      <c r="P192" s="54"/>
      <c r="Q192" s="54"/>
      <c r="R192" s="54"/>
      <c r="S192" s="54"/>
      <c r="T192" s="54"/>
      <c r="U192" s="54"/>
      <c r="V192" s="27"/>
      <c r="W192" s="27"/>
    </row>
    <row r="193" spans="15:23" x14ac:dyDescent="0.3">
      <c r="O193" s="96"/>
      <c r="P193" s="54"/>
      <c r="Q193" s="54"/>
      <c r="R193" s="54"/>
      <c r="S193" s="54"/>
      <c r="T193" s="54"/>
      <c r="U193" s="54"/>
      <c r="V193" s="27"/>
      <c r="W193" s="27"/>
    </row>
    <row r="194" spans="15:23" x14ac:dyDescent="0.3">
      <c r="O194" s="96"/>
      <c r="P194" s="54"/>
      <c r="Q194" s="54"/>
      <c r="R194" s="54"/>
      <c r="S194" s="54"/>
      <c r="T194" s="54"/>
      <c r="U194" s="54"/>
      <c r="V194" s="27"/>
      <c r="W194" s="27"/>
    </row>
    <row r="195" spans="15:23" x14ac:dyDescent="0.3">
      <c r="O195" s="96"/>
      <c r="P195" s="54"/>
      <c r="Q195" s="54"/>
      <c r="R195" s="54"/>
      <c r="S195" s="54"/>
      <c r="T195" s="54"/>
      <c r="U195" s="54"/>
      <c r="V195" s="27"/>
      <c r="W195" s="27"/>
    </row>
    <row r="196" spans="15:23" x14ac:dyDescent="0.3">
      <c r="O196" s="96"/>
      <c r="P196" s="54"/>
      <c r="Q196" s="54"/>
      <c r="R196" s="54"/>
      <c r="S196" s="54"/>
      <c r="T196" s="54"/>
      <c r="U196" s="54"/>
      <c r="V196" s="27"/>
      <c r="W196" s="27"/>
    </row>
    <row r="197" spans="15:23" x14ac:dyDescent="0.3">
      <c r="O197" s="96"/>
      <c r="P197" s="54"/>
      <c r="Q197" s="54"/>
      <c r="R197" s="54"/>
      <c r="S197" s="54"/>
      <c r="T197" s="54"/>
      <c r="U197" s="54"/>
      <c r="V197" s="27"/>
      <c r="W197" s="27"/>
    </row>
    <row r="198" spans="15:23" x14ac:dyDescent="0.3">
      <c r="O198" s="96"/>
      <c r="P198" s="54"/>
      <c r="Q198" s="54"/>
      <c r="R198" s="54"/>
      <c r="S198" s="54"/>
      <c r="T198" s="54"/>
      <c r="U198" s="54"/>
      <c r="V198" s="27"/>
      <c r="W198" s="27"/>
    </row>
    <row r="199" spans="15:23" x14ac:dyDescent="0.3">
      <c r="O199" s="96"/>
      <c r="P199" s="54"/>
      <c r="Q199" s="54"/>
      <c r="R199" s="54"/>
      <c r="S199" s="54"/>
      <c r="T199" s="54"/>
      <c r="U199" s="54"/>
      <c r="V199" s="27"/>
      <c r="W199" s="27"/>
    </row>
    <row r="200" spans="15:23" x14ac:dyDescent="0.3">
      <c r="O200" s="96"/>
      <c r="P200" s="54"/>
      <c r="Q200" s="54"/>
      <c r="R200" s="54"/>
      <c r="S200" s="54"/>
      <c r="T200" s="54"/>
      <c r="U200" s="54"/>
      <c r="V200" s="27"/>
      <c r="W200" s="27"/>
    </row>
    <row r="201" spans="15:23" x14ac:dyDescent="0.3">
      <c r="O201" s="96"/>
      <c r="P201" s="54"/>
      <c r="Q201" s="54"/>
      <c r="R201" s="54"/>
      <c r="S201" s="54"/>
      <c r="T201" s="54"/>
      <c r="U201" s="54"/>
      <c r="V201" s="27"/>
      <c r="W201" s="27"/>
    </row>
    <row r="202" spans="15:23" x14ac:dyDescent="0.3">
      <c r="O202" s="96"/>
      <c r="P202" s="54"/>
      <c r="Q202" s="54"/>
      <c r="R202" s="54"/>
      <c r="S202" s="54"/>
      <c r="T202" s="54"/>
      <c r="U202" s="54"/>
      <c r="V202" s="27"/>
      <c r="W202" s="27"/>
    </row>
    <row r="203" spans="15:23" x14ac:dyDescent="0.3">
      <c r="O203" s="96"/>
      <c r="P203" s="54"/>
      <c r="Q203" s="54"/>
      <c r="R203" s="54"/>
      <c r="S203" s="54"/>
      <c r="T203" s="54"/>
      <c r="U203" s="54"/>
      <c r="V203" s="27"/>
      <c r="W203" s="27"/>
    </row>
    <row r="204" spans="15:23" x14ac:dyDescent="0.3">
      <c r="O204" s="96"/>
      <c r="P204" s="54"/>
      <c r="Q204" s="54"/>
      <c r="R204" s="54"/>
      <c r="S204" s="54"/>
      <c r="T204" s="54"/>
      <c r="U204" s="54"/>
      <c r="V204" s="27"/>
      <c r="W204" s="27"/>
    </row>
    <row r="205" spans="15:23" x14ac:dyDescent="0.3">
      <c r="O205" s="96"/>
      <c r="P205" s="54"/>
      <c r="Q205" s="54"/>
      <c r="R205" s="54"/>
      <c r="S205" s="54"/>
      <c r="T205" s="54"/>
      <c r="U205" s="54"/>
      <c r="V205" s="27"/>
      <c r="W205" s="27"/>
    </row>
    <row r="206" spans="15:23" x14ac:dyDescent="0.3">
      <c r="O206" s="96"/>
      <c r="P206" s="54"/>
      <c r="Q206" s="54"/>
      <c r="R206" s="54"/>
      <c r="S206" s="54"/>
      <c r="T206" s="54"/>
      <c r="U206" s="54"/>
      <c r="V206" s="27"/>
      <c r="W206" s="27"/>
    </row>
    <row r="207" spans="15:23" x14ac:dyDescent="0.3">
      <c r="O207" s="96"/>
      <c r="P207" s="54"/>
      <c r="Q207" s="54"/>
      <c r="R207" s="54"/>
      <c r="S207" s="54"/>
      <c r="T207" s="54"/>
      <c r="U207" s="54"/>
      <c r="V207" s="27"/>
      <c r="W207" s="27"/>
    </row>
    <row r="208" spans="15:23" x14ac:dyDescent="0.3">
      <c r="O208" s="96"/>
      <c r="P208" s="54"/>
      <c r="Q208" s="54"/>
      <c r="R208" s="54"/>
      <c r="S208" s="54"/>
      <c r="T208" s="54"/>
      <c r="U208" s="54"/>
      <c r="V208" s="27"/>
      <c r="W208" s="27"/>
    </row>
    <row r="209" spans="15:23" x14ac:dyDescent="0.3">
      <c r="O209" s="96"/>
      <c r="P209" s="54"/>
      <c r="Q209" s="54"/>
      <c r="R209" s="54"/>
      <c r="S209" s="54"/>
      <c r="T209" s="54"/>
      <c r="U209" s="54"/>
      <c r="V209" s="27"/>
      <c r="W209" s="27"/>
    </row>
    <row r="210" spans="15:23" x14ac:dyDescent="0.3">
      <c r="O210" s="96"/>
      <c r="P210" s="54"/>
      <c r="Q210" s="54"/>
      <c r="R210" s="54"/>
      <c r="S210" s="54"/>
      <c r="T210" s="54"/>
      <c r="U210" s="54"/>
      <c r="V210" s="27"/>
      <c r="W210" s="27"/>
    </row>
    <row r="211" spans="15:23" x14ac:dyDescent="0.3">
      <c r="O211" s="96"/>
      <c r="P211" s="54"/>
      <c r="Q211" s="54"/>
      <c r="R211" s="54"/>
      <c r="S211" s="54"/>
      <c r="T211" s="54"/>
      <c r="U211" s="54"/>
      <c r="V211" s="27"/>
      <c r="W211" s="27"/>
    </row>
    <row r="212" spans="15:23" x14ac:dyDescent="0.3">
      <c r="O212" s="96"/>
      <c r="P212" s="54"/>
      <c r="Q212" s="54"/>
      <c r="R212" s="54"/>
      <c r="S212" s="54"/>
      <c r="T212" s="54"/>
      <c r="U212" s="54"/>
      <c r="V212" s="27"/>
      <c r="W212" s="27"/>
    </row>
    <row r="213" spans="15:23" x14ac:dyDescent="0.3">
      <c r="O213" s="96"/>
      <c r="P213" s="54"/>
      <c r="Q213" s="54"/>
      <c r="R213" s="54"/>
      <c r="S213" s="54"/>
      <c r="T213" s="54"/>
      <c r="U213" s="54"/>
      <c r="V213" s="27"/>
      <c r="W213" s="27"/>
    </row>
    <row r="214" spans="15:23" x14ac:dyDescent="0.3">
      <c r="O214" s="96"/>
      <c r="P214" s="54"/>
      <c r="Q214" s="54"/>
      <c r="R214" s="54"/>
      <c r="S214" s="54"/>
      <c r="T214" s="54"/>
      <c r="U214" s="54"/>
      <c r="V214" s="27"/>
      <c r="W214" s="27"/>
    </row>
    <row r="215" spans="15:23" x14ac:dyDescent="0.3">
      <c r="O215" s="96"/>
      <c r="P215" s="54"/>
      <c r="Q215" s="54"/>
      <c r="R215" s="54"/>
      <c r="S215" s="54"/>
      <c r="T215" s="54"/>
      <c r="U215" s="54"/>
      <c r="V215" s="27"/>
      <c r="W215" s="27"/>
    </row>
    <row r="216" spans="15:23" x14ac:dyDescent="0.3">
      <c r="O216" s="96"/>
      <c r="P216" s="54"/>
      <c r="Q216" s="54"/>
      <c r="R216" s="54"/>
      <c r="S216" s="54"/>
      <c r="T216" s="54"/>
      <c r="U216" s="54"/>
      <c r="V216" s="27"/>
      <c r="W216" s="27"/>
    </row>
    <row r="217" spans="15:23" x14ac:dyDescent="0.3">
      <c r="O217" s="96"/>
      <c r="P217" s="54"/>
      <c r="Q217" s="54"/>
      <c r="R217" s="54"/>
      <c r="S217" s="54"/>
      <c r="T217" s="54"/>
      <c r="U217" s="54"/>
      <c r="V217" s="27"/>
      <c r="W217" s="27"/>
    </row>
    <row r="218" spans="15:23" x14ac:dyDescent="0.3">
      <c r="O218" s="96"/>
      <c r="P218" s="54"/>
      <c r="Q218" s="54"/>
      <c r="R218" s="54"/>
      <c r="S218" s="54"/>
      <c r="T218" s="54"/>
      <c r="U218" s="54"/>
      <c r="V218" s="27"/>
      <c r="W218" s="27"/>
    </row>
    <row r="219" spans="15:23" x14ac:dyDescent="0.3">
      <c r="O219" s="96"/>
      <c r="P219" s="54"/>
      <c r="Q219" s="54"/>
      <c r="R219" s="54"/>
      <c r="S219" s="54"/>
      <c r="T219" s="54"/>
      <c r="U219" s="54"/>
      <c r="V219" s="27"/>
      <c r="W219" s="27"/>
    </row>
    <row r="220" spans="15:23" x14ac:dyDescent="0.3">
      <c r="O220" s="96"/>
      <c r="P220" s="54"/>
      <c r="Q220" s="54"/>
      <c r="R220" s="54"/>
      <c r="S220" s="54"/>
      <c r="T220" s="54"/>
      <c r="U220" s="54"/>
      <c r="V220" s="27"/>
      <c r="W220" s="27"/>
    </row>
    <row r="221" spans="15:23" x14ac:dyDescent="0.3">
      <c r="O221" s="96"/>
      <c r="P221" s="54"/>
      <c r="Q221" s="54"/>
      <c r="R221" s="54"/>
      <c r="S221" s="54"/>
      <c r="T221" s="54"/>
      <c r="U221" s="54"/>
      <c r="V221" s="27"/>
      <c r="W221" s="27"/>
    </row>
    <row r="222" spans="15:23" x14ac:dyDescent="0.3">
      <c r="O222" s="96"/>
      <c r="P222" s="54"/>
      <c r="Q222" s="54"/>
      <c r="R222" s="54"/>
      <c r="S222" s="54"/>
      <c r="T222" s="54"/>
      <c r="U222" s="54"/>
      <c r="V222" s="27"/>
      <c r="W222" s="27"/>
    </row>
    <row r="223" spans="15:23" x14ac:dyDescent="0.3">
      <c r="O223" s="96"/>
      <c r="P223" s="54"/>
      <c r="Q223" s="54"/>
      <c r="R223" s="54"/>
      <c r="S223" s="54"/>
      <c r="T223" s="54"/>
      <c r="U223" s="54"/>
      <c r="V223" s="27"/>
      <c r="W223" s="27"/>
    </row>
    <row r="224" spans="15:23" x14ac:dyDescent="0.3">
      <c r="O224" s="96"/>
      <c r="P224" s="54"/>
      <c r="Q224" s="54"/>
      <c r="R224" s="54"/>
      <c r="S224" s="54"/>
      <c r="T224" s="54"/>
      <c r="U224" s="54"/>
      <c r="V224" s="27"/>
      <c r="W224" s="27"/>
    </row>
    <row r="225" spans="15:23" x14ac:dyDescent="0.3">
      <c r="O225" s="96"/>
      <c r="P225" s="54"/>
      <c r="Q225" s="54"/>
      <c r="R225" s="54"/>
      <c r="S225" s="54"/>
      <c r="T225" s="54"/>
      <c r="U225" s="54"/>
      <c r="V225" s="27"/>
      <c r="W225" s="27"/>
    </row>
    <row r="226" spans="15:23" x14ac:dyDescent="0.3">
      <c r="O226" s="96"/>
      <c r="P226" s="54"/>
      <c r="Q226" s="54"/>
      <c r="R226" s="54"/>
      <c r="S226" s="54"/>
      <c r="T226" s="54"/>
      <c r="U226" s="54"/>
      <c r="V226" s="27"/>
      <c r="W226" s="27"/>
    </row>
    <row r="227" spans="15:23" x14ac:dyDescent="0.3">
      <c r="O227" s="96"/>
      <c r="P227" s="54"/>
      <c r="Q227" s="54"/>
      <c r="R227" s="54"/>
      <c r="S227" s="54"/>
      <c r="T227" s="54"/>
      <c r="U227" s="54"/>
      <c r="V227" s="27"/>
      <c r="W227" s="27"/>
    </row>
    <row r="228" spans="15:23" x14ac:dyDescent="0.3">
      <c r="O228" s="96"/>
      <c r="P228" s="54"/>
      <c r="Q228" s="54"/>
      <c r="R228" s="54"/>
      <c r="S228" s="54"/>
      <c r="T228" s="54"/>
      <c r="U228" s="54"/>
      <c r="V228" s="27"/>
      <c r="W228" s="27"/>
    </row>
    <row r="229" spans="15:23" x14ac:dyDescent="0.3">
      <c r="O229" s="96"/>
      <c r="P229" s="54"/>
      <c r="Q229" s="54"/>
      <c r="R229" s="54"/>
      <c r="S229" s="54"/>
      <c r="T229" s="54"/>
      <c r="U229" s="54"/>
      <c r="V229" s="27"/>
      <c r="W229" s="27"/>
    </row>
    <row r="230" spans="15:23" x14ac:dyDescent="0.3">
      <c r="O230" s="96"/>
      <c r="P230" s="54"/>
      <c r="Q230" s="54"/>
      <c r="R230" s="54"/>
      <c r="S230" s="54"/>
      <c r="T230" s="54"/>
      <c r="U230" s="54"/>
      <c r="V230" s="27"/>
      <c r="W230" s="27"/>
    </row>
    <row r="231" spans="15:23" x14ac:dyDescent="0.3">
      <c r="O231" s="96"/>
      <c r="P231" s="54"/>
      <c r="Q231" s="54"/>
      <c r="R231" s="54"/>
      <c r="S231" s="54"/>
      <c r="T231" s="54"/>
      <c r="U231" s="54"/>
      <c r="V231" s="27"/>
      <c r="W231" s="27"/>
    </row>
    <row r="232" spans="15:23" x14ac:dyDescent="0.3">
      <c r="O232" s="96"/>
      <c r="P232" s="54"/>
      <c r="Q232" s="54"/>
      <c r="R232" s="54"/>
      <c r="S232" s="54"/>
      <c r="T232" s="54"/>
      <c r="U232" s="54"/>
      <c r="V232" s="27"/>
      <c r="W232" s="27"/>
    </row>
    <row r="233" spans="15:23" x14ac:dyDescent="0.3">
      <c r="O233" s="96"/>
      <c r="P233" s="54"/>
      <c r="Q233" s="54"/>
      <c r="R233" s="54"/>
      <c r="S233" s="54"/>
      <c r="T233" s="54"/>
      <c r="U233" s="54"/>
      <c r="V233" s="27"/>
      <c r="W233" s="27"/>
    </row>
    <row r="234" spans="15:23" x14ac:dyDescent="0.3">
      <c r="O234" s="96"/>
      <c r="P234" s="54"/>
      <c r="Q234" s="54"/>
      <c r="R234" s="54"/>
      <c r="S234" s="54"/>
      <c r="T234" s="54"/>
      <c r="U234" s="54"/>
      <c r="V234" s="27"/>
      <c r="W234" s="27"/>
    </row>
    <row r="235" spans="15:23" x14ac:dyDescent="0.3">
      <c r="O235" s="96"/>
      <c r="P235" s="54"/>
      <c r="Q235" s="54"/>
      <c r="R235" s="54"/>
      <c r="S235" s="54"/>
      <c r="T235" s="54"/>
      <c r="U235" s="54"/>
      <c r="V235" s="27"/>
      <c r="W235" s="27"/>
    </row>
    <row r="236" spans="15:23" x14ac:dyDescent="0.3">
      <c r="O236" s="96"/>
      <c r="P236" s="54"/>
      <c r="Q236" s="54"/>
      <c r="R236" s="54"/>
      <c r="S236" s="54"/>
      <c r="T236" s="54"/>
      <c r="U236" s="54"/>
      <c r="V236" s="27"/>
      <c r="W236" s="27"/>
    </row>
    <row r="237" spans="15:23" x14ac:dyDescent="0.3">
      <c r="O237" s="96"/>
      <c r="P237" s="54"/>
      <c r="Q237" s="54"/>
      <c r="R237" s="54"/>
      <c r="S237" s="54"/>
      <c r="T237" s="54"/>
      <c r="U237" s="54"/>
      <c r="V237" s="27"/>
      <c r="W237" s="27"/>
    </row>
    <row r="238" spans="15:23" x14ac:dyDescent="0.3">
      <c r="O238" s="96"/>
      <c r="P238" s="54"/>
      <c r="Q238" s="54"/>
      <c r="R238" s="54"/>
      <c r="S238" s="54"/>
      <c r="T238" s="54"/>
      <c r="U238" s="54"/>
      <c r="V238" s="27"/>
      <c r="W238" s="27"/>
    </row>
    <row r="239" spans="15:23" x14ac:dyDescent="0.3">
      <c r="O239" s="96"/>
      <c r="P239" s="54"/>
      <c r="Q239" s="54"/>
      <c r="R239" s="54"/>
      <c r="S239" s="54"/>
      <c r="T239" s="54"/>
      <c r="U239" s="54"/>
      <c r="V239" s="27"/>
      <c r="W239" s="27"/>
    </row>
    <row r="240" spans="15:23" x14ac:dyDescent="0.3">
      <c r="O240" s="96"/>
      <c r="P240" s="54"/>
      <c r="Q240" s="54"/>
      <c r="R240" s="54"/>
      <c r="S240" s="54"/>
      <c r="T240" s="54"/>
      <c r="U240" s="54"/>
      <c r="V240" s="27"/>
      <c r="W240" s="27"/>
    </row>
    <row r="241" spans="15:23" x14ac:dyDescent="0.3">
      <c r="O241" s="96"/>
      <c r="P241" s="54"/>
      <c r="Q241" s="54"/>
      <c r="R241" s="54"/>
      <c r="S241" s="54"/>
      <c r="T241" s="54"/>
      <c r="U241" s="54"/>
      <c r="V241" s="27"/>
      <c r="W241" s="27"/>
    </row>
    <row r="242" spans="15:23" x14ac:dyDescent="0.3">
      <c r="O242" s="96"/>
      <c r="P242" s="54"/>
      <c r="Q242" s="54"/>
      <c r="R242" s="54"/>
      <c r="S242" s="54"/>
      <c r="T242" s="54"/>
      <c r="U242" s="54"/>
      <c r="V242" s="27"/>
      <c r="W242" s="27"/>
    </row>
    <row r="243" spans="15:23" x14ac:dyDescent="0.3">
      <c r="O243" s="96"/>
      <c r="P243" s="54"/>
      <c r="Q243" s="54"/>
      <c r="R243" s="54"/>
      <c r="S243" s="54"/>
      <c r="T243" s="54"/>
      <c r="U243" s="54"/>
      <c r="V243" s="27"/>
      <c r="W243" s="27"/>
    </row>
    <row r="244" spans="15:23" x14ac:dyDescent="0.3">
      <c r="O244" s="96"/>
      <c r="P244" s="54"/>
      <c r="Q244" s="54"/>
      <c r="R244" s="54"/>
      <c r="S244" s="54"/>
      <c r="T244" s="54"/>
      <c r="U244" s="54"/>
      <c r="V244" s="27"/>
      <c r="W244" s="27"/>
    </row>
    <row r="245" spans="15:23" x14ac:dyDescent="0.3">
      <c r="O245" s="96"/>
      <c r="P245" s="54"/>
      <c r="Q245" s="54"/>
      <c r="R245" s="54"/>
      <c r="S245" s="54"/>
      <c r="T245" s="54"/>
      <c r="U245" s="54"/>
      <c r="V245" s="27"/>
      <c r="W245" s="27"/>
    </row>
    <row r="246" spans="15:23" x14ac:dyDescent="0.3">
      <c r="O246" s="96"/>
      <c r="P246" s="54"/>
      <c r="Q246" s="54"/>
      <c r="R246" s="54"/>
      <c r="S246" s="54"/>
      <c r="T246" s="54"/>
      <c r="U246" s="54"/>
      <c r="V246" s="27"/>
      <c r="W246" s="27"/>
    </row>
    <row r="247" spans="15:23" x14ac:dyDescent="0.3">
      <c r="O247" s="96"/>
      <c r="P247" s="54"/>
      <c r="Q247" s="54"/>
      <c r="R247" s="54"/>
      <c r="S247" s="54"/>
      <c r="T247" s="54"/>
      <c r="U247" s="54"/>
      <c r="V247" s="27"/>
      <c r="W247" s="27"/>
    </row>
    <row r="248" spans="15:23" x14ac:dyDescent="0.3">
      <c r="O248" s="96"/>
      <c r="P248" s="54"/>
      <c r="Q248" s="54"/>
      <c r="R248" s="54"/>
      <c r="S248" s="54"/>
      <c r="T248" s="54"/>
      <c r="U248" s="54"/>
      <c r="V248" s="27"/>
      <c r="W248" s="27"/>
    </row>
    <row r="249" spans="15:23" x14ac:dyDescent="0.3">
      <c r="O249" s="96"/>
      <c r="P249" s="54"/>
      <c r="Q249" s="54"/>
      <c r="R249" s="54"/>
      <c r="S249" s="54"/>
      <c r="T249" s="54"/>
      <c r="U249" s="54"/>
      <c r="V249" s="27"/>
      <c r="W249" s="27"/>
    </row>
    <row r="250" spans="15:23" x14ac:dyDescent="0.3">
      <c r="O250" s="96"/>
      <c r="P250" s="54"/>
      <c r="Q250" s="54"/>
      <c r="R250" s="54"/>
      <c r="S250" s="54"/>
      <c r="T250" s="54"/>
      <c r="U250" s="54"/>
      <c r="V250" s="27"/>
      <c r="W250" s="27"/>
    </row>
    <row r="251" spans="15:23" x14ac:dyDescent="0.3">
      <c r="O251" s="96"/>
      <c r="P251" s="54"/>
      <c r="Q251" s="54"/>
      <c r="R251" s="54"/>
      <c r="S251" s="54"/>
      <c r="T251" s="54"/>
      <c r="U251" s="54"/>
      <c r="V251" s="27"/>
      <c r="W251" s="27"/>
    </row>
    <row r="252" spans="15:23" x14ac:dyDescent="0.3">
      <c r="O252" s="96"/>
      <c r="P252" s="54"/>
      <c r="Q252" s="54"/>
      <c r="R252" s="54"/>
      <c r="S252" s="54"/>
      <c r="T252" s="54"/>
      <c r="U252" s="54"/>
      <c r="V252" s="27"/>
      <c r="W252" s="27"/>
    </row>
    <row r="253" spans="15:23" x14ac:dyDescent="0.3">
      <c r="P253" s="54"/>
      <c r="Q253" s="54"/>
      <c r="R253" s="54"/>
      <c r="S253" s="54"/>
      <c r="T253" s="54"/>
      <c r="U253" s="54"/>
      <c r="V253" s="27"/>
      <c r="W253" s="27"/>
    </row>
    <row r="254" spans="15:23" x14ac:dyDescent="0.3">
      <c r="P254" s="27"/>
      <c r="Q254" s="27"/>
      <c r="R254" s="27"/>
      <c r="S254" s="27"/>
      <c r="T254" s="27"/>
      <c r="U254" s="27"/>
    </row>
    <row r="255" spans="15:23" x14ac:dyDescent="0.3">
      <c r="P255" s="27"/>
      <c r="Q255" s="27"/>
      <c r="R255" s="27"/>
      <c r="S255" s="27"/>
      <c r="T255" s="27"/>
      <c r="U255" s="27"/>
    </row>
    <row r="256" spans="15:23" x14ac:dyDescent="0.3">
      <c r="P256" s="27"/>
      <c r="Q256" s="27"/>
      <c r="R256" s="27"/>
      <c r="S256" s="27"/>
      <c r="T256" s="27"/>
      <c r="U256" s="27"/>
    </row>
    <row r="257" spans="16:21" x14ac:dyDescent="0.3">
      <c r="P257" s="27"/>
      <c r="Q257" s="27"/>
      <c r="R257" s="27"/>
      <c r="S257" s="27"/>
      <c r="T257" s="27"/>
      <c r="U257" s="27"/>
    </row>
    <row r="258" spans="16:21" x14ac:dyDescent="0.3">
      <c r="P258" s="27"/>
      <c r="Q258" s="27"/>
      <c r="R258" s="27"/>
      <c r="S258" s="27"/>
      <c r="T258" s="27"/>
      <c r="U258" s="27"/>
    </row>
    <row r="259" spans="16:21" x14ac:dyDescent="0.3">
      <c r="P259" s="27"/>
      <c r="Q259" s="27"/>
      <c r="R259" s="27"/>
      <c r="S259" s="27"/>
      <c r="T259" s="27"/>
      <c r="U259" s="27"/>
    </row>
    <row r="260" spans="16:21" x14ac:dyDescent="0.3">
      <c r="P260" s="27"/>
      <c r="Q260" s="27"/>
      <c r="R260" s="27"/>
      <c r="S260" s="27"/>
      <c r="T260" s="27"/>
      <c r="U260" s="27"/>
    </row>
    <row r="261" spans="16:21" x14ac:dyDescent="0.3">
      <c r="P261" s="27"/>
      <c r="Q261" s="27"/>
      <c r="R261" s="27"/>
      <c r="S261" s="27"/>
      <c r="T261" s="27"/>
      <c r="U261" s="27"/>
    </row>
    <row r="262" spans="16:21" x14ac:dyDescent="0.3">
      <c r="P262" s="27"/>
      <c r="Q262" s="27"/>
      <c r="R262" s="27"/>
      <c r="S262" s="27"/>
      <c r="T262" s="27"/>
      <c r="U262" s="27"/>
    </row>
    <row r="263" spans="16:21" x14ac:dyDescent="0.3">
      <c r="P263" s="27"/>
      <c r="Q263" s="27"/>
      <c r="R263" s="27"/>
      <c r="S263" s="27"/>
      <c r="T263" s="27"/>
      <c r="U263" s="27"/>
    </row>
    <row r="264" spans="16:21" x14ac:dyDescent="0.3">
      <c r="P264" s="27"/>
      <c r="Q264" s="27"/>
      <c r="R264" s="27"/>
      <c r="S264" s="27"/>
      <c r="T264" s="27"/>
      <c r="U264" s="27"/>
    </row>
    <row r="265" spans="16:21" x14ac:dyDescent="0.3">
      <c r="P265" s="27"/>
      <c r="Q265" s="27"/>
      <c r="R265" s="27"/>
      <c r="S265" s="27"/>
      <c r="T265" s="27"/>
      <c r="U265" s="27"/>
    </row>
    <row r="266" spans="16:21" x14ac:dyDescent="0.3">
      <c r="P266" s="27"/>
      <c r="Q266" s="27"/>
      <c r="R266" s="27"/>
      <c r="S266" s="27"/>
      <c r="T266" s="27"/>
      <c r="U266" s="27"/>
    </row>
    <row r="267" spans="16:21" x14ac:dyDescent="0.3">
      <c r="P267" s="27"/>
      <c r="Q267" s="27"/>
      <c r="R267" s="27"/>
      <c r="S267" s="27"/>
      <c r="T267" s="27"/>
      <c r="U267" s="27"/>
    </row>
    <row r="268" spans="16:21" x14ac:dyDescent="0.3">
      <c r="P268" s="27"/>
      <c r="Q268" s="27"/>
      <c r="R268" s="27"/>
      <c r="S268" s="27"/>
      <c r="T268" s="27"/>
      <c r="U268" s="27"/>
    </row>
    <row r="269" spans="16:21" x14ac:dyDescent="0.3">
      <c r="P269" s="27"/>
      <c r="Q269" s="27"/>
      <c r="R269" s="27"/>
      <c r="S269" s="27"/>
      <c r="T269" s="27"/>
      <c r="U269" s="27"/>
    </row>
    <row r="270" spans="16:21" x14ac:dyDescent="0.3">
      <c r="P270" s="27"/>
      <c r="Q270" s="27"/>
      <c r="R270" s="27"/>
      <c r="S270" s="27"/>
      <c r="T270" s="27"/>
      <c r="U270" s="27"/>
    </row>
    <row r="271" spans="16:21" x14ac:dyDescent="0.3">
      <c r="P271" s="27"/>
      <c r="Q271" s="27"/>
      <c r="R271" s="27"/>
      <c r="S271" s="27"/>
      <c r="T271" s="27"/>
      <c r="U271" s="27"/>
    </row>
    <row r="272" spans="16:21" x14ac:dyDescent="0.3">
      <c r="P272" s="27"/>
      <c r="Q272" s="27"/>
      <c r="R272" s="27"/>
      <c r="S272" s="27"/>
      <c r="T272" s="27"/>
      <c r="U272" s="27"/>
    </row>
    <row r="273" spans="16:21" x14ac:dyDescent="0.3">
      <c r="P273" s="27"/>
      <c r="Q273" s="27"/>
      <c r="R273" s="27"/>
      <c r="S273" s="27"/>
      <c r="T273" s="27"/>
      <c r="U273" s="27"/>
    </row>
    <row r="274" spans="16:21" x14ac:dyDescent="0.3">
      <c r="P274" s="27"/>
      <c r="Q274" s="27"/>
      <c r="R274" s="27"/>
      <c r="S274" s="27"/>
      <c r="T274" s="27"/>
      <c r="U274" s="27"/>
    </row>
    <row r="275" spans="16:21" x14ac:dyDescent="0.3">
      <c r="P275" s="27"/>
      <c r="Q275" s="27"/>
      <c r="R275" s="27"/>
      <c r="S275" s="27"/>
      <c r="T275" s="27"/>
      <c r="U275" s="27"/>
    </row>
    <row r="276" spans="16:21" x14ac:dyDescent="0.3">
      <c r="P276" s="27"/>
      <c r="Q276" s="27"/>
      <c r="R276" s="27"/>
      <c r="S276" s="27"/>
      <c r="T276" s="27"/>
      <c r="U276" s="27"/>
    </row>
    <row r="277" spans="16:21" x14ac:dyDescent="0.3">
      <c r="P277" s="27"/>
      <c r="Q277" s="27"/>
      <c r="R277" s="27"/>
      <c r="S277" s="27"/>
      <c r="T277" s="27"/>
      <c r="U277" s="27"/>
    </row>
    <row r="278" spans="16:21" x14ac:dyDescent="0.3">
      <c r="P278" s="27"/>
      <c r="Q278" s="27"/>
      <c r="R278" s="27"/>
      <c r="S278" s="27"/>
      <c r="T278" s="27"/>
      <c r="U278" s="27"/>
    </row>
    <row r="279" spans="16:21" x14ac:dyDescent="0.3">
      <c r="P279" s="27"/>
      <c r="Q279" s="27"/>
      <c r="R279" s="27"/>
      <c r="S279" s="27"/>
      <c r="T279" s="27"/>
      <c r="U279" s="27"/>
    </row>
    <row r="280" spans="16:21" x14ac:dyDescent="0.3">
      <c r="P280" s="27"/>
      <c r="Q280" s="27"/>
      <c r="R280" s="27"/>
      <c r="S280" s="27"/>
      <c r="T280" s="27"/>
      <c r="U280" s="27"/>
    </row>
    <row r="281" spans="16:21" x14ac:dyDescent="0.3">
      <c r="P281" s="27"/>
      <c r="Q281" s="27"/>
      <c r="R281" s="27"/>
      <c r="S281" s="27"/>
      <c r="T281" s="27"/>
      <c r="U281" s="27"/>
    </row>
    <row r="282" spans="16:21" x14ac:dyDescent="0.3">
      <c r="P282" s="27"/>
      <c r="Q282" s="27"/>
      <c r="R282" s="27"/>
      <c r="S282" s="27"/>
      <c r="T282" s="27"/>
      <c r="U282" s="27"/>
    </row>
    <row r="283" spans="16:21" x14ac:dyDescent="0.3">
      <c r="P283" s="27"/>
      <c r="Q283" s="27"/>
      <c r="R283" s="27"/>
      <c r="S283" s="27"/>
      <c r="T283" s="27"/>
      <c r="U283" s="27"/>
    </row>
    <row r="284" spans="16:21" x14ac:dyDescent="0.3">
      <c r="P284" s="27"/>
      <c r="Q284" s="27"/>
      <c r="R284" s="27"/>
      <c r="S284" s="27"/>
      <c r="T284" s="27"/>
      <c r="U284" s="27"/>
    </row>
    <row r="285" spans="16:21" x14ac:dyDescent="0.3">
      <c r="P285" s="27"/>
      <c r="Q285" s="27"/>
      <c r="R285" s="27"/>
      <c r="S285" s="27"/>
      <c r="T285" s="27"/>
      <c r="U285" s="27"/>
    </row>
    <row r="286" spans="16:21" x14ac:dyDescent="0.3">
      <c r="P286" s="27"/>
      <c r="Q286" s="27"/>
      <c r="R286" s="27"/>
      <c r="S286" s="27"/>
      <c r="T286" s="27"/>
      <c r="U286" s="27"/>
    </row>
    <row r="287" spans="16:21" x14ac:dyDescent="0.3">
      <c r="P287" s="27"/>
      <c r="Q287" s="27"/>
      <c r="R287" s="27"/>
      <c r="S287" s="27"/>
      <c r="T287" s="27"/>
      <c r="U287" s="27"/>
    </row>
    <row r="288" spans="16:21" x14ac:dyDescent="0.3">
      <c r="P288" s="27"/>
      <c r="Q288" s="27"/>
      <c r="R288" s="27"/>
      <c r="S288" s="27"/>
      <c r="T288" s="27"/>
      <c r="U288" s="27"/>
    </row>
    <row r="289" spans="16:21" x14ac:dyDescent="0.3">
      <c r="P289" s="27"/>
      <c r="Q289" s="27"/>
      <c r="R289" s="27"/>
      <c r="S289" s="27"/>
      <c r="T289" s="27"/>
      <c r="U289" s="27"/>
    </row>
    <row r="290" spans="16:21" x14ac:dyDescent="0.3">
      <c r="P290" s="27"/>
      <c r="Q290" s="27"/>
      <c r="R290" s="27"/>
      <c r="S290" s="27"/>
      <c r="T290" s="27"/>
      <c r="U290" s="27"/>
    </row>
    <row r="291" spans="16:21" x14ac:dyDescent="0.3">
      <c r="P291" s="27"/>
      <c r="Q291" s="27"/>
      <c r="R291" s="27"/>
      <c r="S291" s="27"/>
      <c r="T291" s="27"/>
      <c r="U291" s="27"/>
    </row>
    <row r="292" spans="16:21" x14ac:dyDescent="0.3">
      <c r="P292" s="27"/>
      <c r="Q292" s="27"/>
      <c r="R292" s="27"/>
      <c r="S292" s="27"/>
      <c r="T292" s="27"/>
      <c r="U292" s="27"/>
    </row>
    <row r="293" spans="16:21" x14ac:dyDescent="0.3">
      <c r="P293" s="27"/>
      <c r="Q293" s="27"/>
      <c r="R293" s="27"/>
      <c r="S293" s="27"/>
      <c r="T293" s="27"/>
      <c r="U293" s="27"/>
    </row>
    <row r="294" spans="16:21" x14ac:dyDescent="0.3">
      <c r="P294" s="27"/>
      <c r="Q294" s="27"/>
      <c r="R294" s="27"/>
      <c r="S294" s="27"/>
      <c r="T294" s="27"/>
      <c r="U294" s="27"/>
    </row>
    <row r="295" spans="16:21" x14ac:dyDescent="0.3">
      <c r="P295" s="27"/>
      <c r="Q295" s="27"/>
      <c r="R295" s="27"/>
      <c r="S295" s="27"/>
      <c r="T295" s="27"/>
      <c r="U295" s="27"/>
    </row>
    <row r="296" spans="16:21" x14ac:dyDescent="0.3">
      <c r="P296" s="27"/>
      <c r="Q296" s="27"/>
      <c r="R296" s="27"/>
      <c r="S296" s="27"/>
      <c r="T296" s="27"/>
      <c r="U296" s="27"/>
    </row>
    <row r="297" spans="16:21" x14ac:dyDescent="0.3">
      <c r="P297" s="27"/>
      <c r="Q297" s="27"/>
      <c r="R297" s="27"/>
      <c r="S297" s="27"/>
      <c r="T297" s="27"/>
      <c r="U297" s="27"/>
    </row>
    <row r="298" spans="16:21" x14ac:dyDescent="0.3">
      <c r="P298" s="27"/>
      <c r="Q298" s="27"/>
      <c r="R298" s="27"/>
      <c r="S298" s="27"/>
      <c r="T298" s="27"/>
      <c r="U298" s="27"/>
    </row>
    <row r="299" spans="16:21" x14ac:dyDescent="0.3">
      <c r="P299" s="27"/>
      <c r="Q299" s="27"/>
      <c r="R299" s="27"/>
      <c r="S299" s="27"/>
      <c r="T299" s="27"/>
      <c r="U299" s="27"/>
    </row>
    <row r="300" spans="16:21" x14ac:dyDescent="0.3">
      <c r="P300" s="27"/>
      <c r="Q300" s="27"/>
      <c r="R300" s="27"/>
      <c r="S300" s="27"/>
      <c r="T300" s="27"/>
      <c r="U300" s="27"/>
    </row>
  </sheetData>
  <pageMargins left="0.511811024" right="0.511811024" top="0.78740157499999996" bottom="0.78740157499999996" header="0.31496062000000002" footer="0.3149606200000000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20E93-FFA7-4A82-A24B-66DBD481EBF0}">
  <sheetPr>
    <tabColor theme="9" tint="0.59999389629810485"/>
  </sheetPr>
  <dimension ref="A1:AA301"/>
  <sheetViews>
    <sheetView showGridLines="0" workbookViewId="0">
      <selection activeCell="A2" sqref="A2"/>
    </sheetView>
  </sheetViews>
  <sheetFormatPr defaultColWidth="8.85546875" defaultRowHeight="18.75" x14ac:dyDescent="0.3"/>
  <cols>
    <col min="1" max="1" width="12.7109375" style="17" customWidth="1"/>
    <col min="2" max="2" width="42.85546875" customWidth="1"/>
    <col min="4" max="4" width="44.28515625" bestFit="1" customWidth="1"/>
    <col min="5" max="5" width="4.5703125" customWidth="1"/>
    <col min="6" max="6" width="7.140625" bestFit="1" customWidth="1"/>
    <col min="7" max="7" width="8.7109375" customWidth="1"/>
    <col min="8" max="8" width="9.28515625" bestFit="1" customWidth="1"/>
    <col min="9" max="13" width="12.42578125" bestFit="1" customWidth="1"/>
    <col min="14" max="14" width="22" bestFit="1" customWidth="1"/>
    <col min="16" max="16" width="12.42578125" style="15" bestFit="1" customWidth="1"/>
    <col min="17" max="20" width="9" style="15" customWidth="1"/>
    <col min="21" max="21" width="15.42578125" style="15" bestFit="1" customWidth="1"/>
    <col min="22" max="27" width="8.85546875" style="15"/>
  </cols>
  <sheetData>
    <row r="1" spans="1:27" x14ac:dyDescent="0.3">
      <c r="A1" s="84" t="s">
        <v>512</v>
      </c>
      <c r="P1" s="14"/>
      <c r="Q1" s="14"/>
      <c r="R1" s="14"/>
      <c r="S1" s="14"/>
      <c r="T1" s="14"/>
      <c r="U1" s="14"/>
      <c r="V1" s="14"/>
      <c r="W1" s="14"/>
      <c r="X1" s="14"/>
      <c r="Y1" s="14"/>
      <c r="Z1" s="14"/>
      <c r="AA1" s="14"/>
    </row>
    <row r="2" spans="1:27" x14ac:dyDescent="0.3">
      <c r="A2" s="17" t="s">
        <v>370</v>
      </c>
      <c r="P2" s="14"/>
      <c r="Q2" s="14"/>
      <c r="R2" s="14"/>
      <c r="S2" s="14"/>
      <c r="T2" s="14"/>
      <c r="U2" s="14"/>
      <c r="V2" s="14"/>
      <c r="W2" s="14"/>
      <c r="X2" s="14"/>
      <c r="Y2" s="14"/>
      <c r="Z2" s="14"/>
      <c r="AA2" s="14"/>
    </row>
    <row r="3" spans="1:27" x14ac:dyDescent="0.3">
      <c r="P3" s="14"/>
      <c r="Q3" s="14"/>
      <c r="R3" s="14"/>
      <c r="S3" s="14"/>
      <c r="T3" s="14"/>
      <c r="U3" s="14"/>
      <c r="V3" s="14"/>
      <c r="W3" s="14"/>
      <c r="X3" s="14"/>
      <c r="Y3" s="14"/>
      <c r="Z3" s="14"/>
      <c r="AA3" s="14"/>
    </row>
    <row r="4" spans="1:27" x14ac:dyDescent="0.3">
      <c r="A4" s="17" t="s">
        <v>374</v>
      </c>
      <c r="P4" s="14"/>
      <c r="Q4" s="14"/>
      <c r="R4" s="14"/>
      <c r="S4" s="14"/>
      <c r="T4" s="14"/>
      <c r="U4" s="14"/>
      <c r="V4" s="14"/>
      <c r="W4" s="14"/>
      <c r="X4" s="14"/>
      <c r="Y4" s="14"/>
      <c r="Z4" s="14"/>
      <c r="AA4" s="14"/>
    </row>
    <row r="6" spans="1:27" ht="15.75" x14ac:dyDescent="0.25">
      <c r="A6" s="2" t="s">
        <v>15</v>
      </c>
      <c r="B6" s="2" t="s">
        <v>16</v>
      </c>
    </row>
    <row r="7" spans="1:27" ht="15.75" x14ac:dyDescent="0.25">
      <c r="A7" s="23" t="s">
        <v>169</v>
      </c>
      <c r="B7" s="24" t="s">
        <v>171</v>
      </c>
    </row>
    <row r="8" spans="1:27" ht="78.75" x14ac:dyDescent="0.25">
      <c r="A8" s="23" t="s">
        <v>371</v>
      </c>
      <c r="B8" s="24" t="s">
        <v>372</v>
      </c>
    </row>
    <row r="9" spans="1:27" ht="31.5" x14ac:dyDescent="0.25">
      <c r="A9" s="23" t="s">
        <v>215</v>
      </c>
      <c r="B9" s="24" t="s">
        <v>375</v>
      </c>
    </row>
    <row r="10" spans="1:27" ht="15.75" x14ac:dyDescent="0.25">
      <c r="A10" s="23" t="s">
        <v>263</v>
      </c>
      <c r="B10" s="24" t="s">
        <v>351</v>
      </c>
    </row>
    <row r="11" spans="1:27" ht="15.75" x14ac:dyDescent="0.25">
      <c r="A11" s="23" t="s">
        <v>344</v>
      </c>
      <c r="B11" s="24" t="s">
        <v>352</v>
      </c>
    </row>
    <row r="12" spans="1:27" ht="47.25" x14ac:dyDescent="0.25">
      <c r="A12" s="23" t="s">
        <v>345</v>
      </c>
      <c r="B12" s="26" t="s">
        <v>369</v>
      </c>
    </row>
    <row r="13" spans="1:27" ht="15.75" x14ac:dyDescent="0.25">
      <c r="A13" s="23"/>
      <c r="B13" s="26"/>
    </row>
    <row r="14" spans="1:27" x14ac:dyDescent="0.3">
      <c r="D14" s="1" t="s">
        <v>17</v>
      </c>
      <c r="G14" s="13" t="s">
        <v>169</v>
      </c>
      <c r="H14" s="13" t="s">
        <v>470</v>
      </c>
      <c r="I14" s="13" t="s">
        <v>373</v>
      </c>
      <c r="J14" s="13" t="s">
        <v>219</v>
      </c>
      <c r="K14" s="13" t="s">
        <v>267</v>
      </c>
      <c r="L14" s="13" t="s">
        <v>346</v>
      </c>
      <c r="M14" s="13" t="s">
        <v>209</v>
      </c>
      <c r="N14" s="13" t="s">
        <v>469</v>
      </c>
      <c r="P14" s="61" t="s">
        <v>259</v>
      </c>
      <c r="S14" s="90" t="s">
        <v>260</v>
      </c>
      <c r="U14" s="90"/>
    </row>
    <row r="15" spans="1:27" ht="18.75" customHeight="1" x14ac:dyDescent="0.3">
      <c r="A15" s="97"/>
      <c r="D15" t="s">
        <v>182</v>
      </c>
      <c r="F15" s="50">
        <v>37257</v>
      </c>
      <c r="G15" s="53">
        <v>72.400000000000006</v>
      </c>
      <c r="H15" s="101"/>
      <c r="I15" s="93" t="b">
        <v>0</v>
      </c>
      <c r="J15" s="55">
        <v>3</v>
      </c>
      <c r="K15" s="93">
        <v>0.01</v>
      </c>
      <c r="L15" s="55" t="b">
        <v>0</v>
      </c>
      <c r="M15" s="55" t="b">
        <v>0</v>
      </c>
      <c r="N15" s="55" t="b">
        <v>1</v>
      </c>
      <c r="P15" s="54" t="b" cm="1">
        <f t="array" ref="P15">_xlfn.LAMBDA(_xlpm.values,_xlop.automatic,_xlop.nLags,_xlop.significance,_xlop.constant,_xlop.trend,
_xlfn.LET(
_xlpm.automatic, IF(_xlfn.ISOMITTED(_xlpm.automatic), FALSE, _xlpm.automatic),
_xlpm.nLags,IF(_xlfn.ISOMITTED(_xlpm.nLags), 0, _xlpm.nLags),
_xlpm.significance, IF(_xlfn.ISOMITTED(_xlpm.significance), FALSE, _xlpm.significance),
_xlpm.constant, IF(_xlfn.ISOMITTED(_xlpm.constant), FALSE, _xlpm.constant),
_xlpm.trend, IF(_xlfn.ISOMITTED(_xlpm.trend), FALSE, _xlpm.trend ),
_xlpm.diffValues_1, SLICE(_xlpm.values,2,-1) - SLICE(_xlpm.values,1,-2),
_xlpm.X_noConst, LAG(_xlpm.values,1,FALSE),
_xlpm.X_const, ADDCONST(LAG(_xlpm.values,1,FALSE)),
_xlpm.X_constTrend, ADDCONST(ADDTREND(LAG(_xlpm.values,1,FALSE))),
IF(
OR(_xlpm.automatic = "AIC", _xlpm.automatic = "BIC"),
_xlfn.LET(_xlpm.tableIC, HORZCAT(HORZCAT(
OLS_OPTIMAL_LAG(_xlpm.diffValues_1, _xlpm.X_noConst, _xlpm.nLags, FALSE, _xlpm.automatic, TRUE,TRUE),
OLS_OPTIMAL_LAG(_xlpm.diffValues_1, _xlpm.X_const, _xlpm.nLags, FALSE, _xlpm.automatic, TRUE,TRUE)),
OLS_OPTIMAL_LAG(_xlpm.diffValues_1, _xlpm.X_constTrend, _xlpm.nLags, FALSE, _xlpm.automatic, TRUE, TRUE)),
_xlpm.idxRowAndCol, NOZERO(_xlpm.tableIC=MIN(_xlpm.tableIC),1,"FIRST",TRUE),
_xlpm.constant, INDEX(_xlpm.idxRowAndCol,1,2) &gt; 1,
_xlpm.trend, INDEX(_xlpm.idxRowAndCol,1,2) &gt; 2,
_xlpm.pickedX,  CHOOSE(INDEX(_xlpm.idxRowAndCol,1,2), _xlpm.X_noConst, _xlpm.X_const, _xlpm.X_constTrend),
_xlfn.LET(
_xlpm.X, HORZCAT( _xlpm.pickedX, LAG(_xlpm.diffValues_1, INDEX(_xlpm.idxRowAndCol,1,1) - 1,TRUE,TRUE) ),
_xlpm.testResult, _xlfn.LET(_xlpm.matrix, RMMISSING(HORZCAT(_xlpm.diffValues_1,_xlpm.X)), _xlpm.y, INDEX(_xlpm.matrix,0,1), _xlpm.X, SLICE(_xlpm.matrix,0,0,2,-1),SLICE(OLS_COEFF_TSTAT(_xlpm.y, _xlpm.X),-1,-1) &lt; DFTABLE(LENGTH(_xlpm.values), _xlpm.significance, _xlpm.constant, _xlpm.trend)),
_xlpm.testResult
)),
_xlfn.LET(_xlpm.X, _xlfn.IFS(AND(_xlpm.constant,_xlpm.trend), _xlpm.X_constTrend, _xlpm.constant, _xlpm.X_const, _xlpm.trend, #VALUE!, TRUE, _xlpm.X_noConst ),
_xlpm.testResult, _xlfn.LET(_xlpm.matrix, RMMISSING(HORZCAT(_xlpm.diffValues_1,_xlpm.X)), _xlpm.y, INDEX(_xlpm.matrix,0,1), _xlpm.X, SLICE(_xlpm.matrix,0,0,2,-1),SLICE(OLS_COEFF_TSTAT(_xlpm.y, _xlpm.X),-1,-1) &lt; DFTABLE(LENGTH(_xlpm.values), _xlpm.significance, _xlpm.constant, _xlpm.trend)),
_xlpm.testResult
))))($G$15:$G$254,$I$15,$J$15,$K$15,$L$15,$M$15)</f>
        <v>0</v>
      </c>
      <c r="Q15" s="54"/>
      <c r="R15" s="28"/>
      <c r="S15" s="54" t="b" cm="1">
        <f t="array" ref="S15">ISSTATIONARY($G$15:$G$254,$I$15,$J$15,$K$15,$L$15,$M$15)</f>
        <v>0</v>
      </c>
      <c r="T15" s="54" t="b" cm="1">
        <f t="array" ref="T15">ISSTATIONARY($H$16:$H$254,$I$15,$J$15,$K$15,$L$15,$M$15)</f>
        <v>1</v>
      </c>
      <c r="U15" s="54"/>
    </row>
    <row r="16" spans="1:27" x14ac:dyDescent="0.3">
      <c r="D16" t="s">
        <v>183</v>
      </c>
      <c r="F16" s="50">
        <v>37288</v>
      </c>
      <c r="G16" s="53">
        <v>69.7</v>
      </c>
      <c r="H16" s="53">
        <f>G16-G15</f>
        <v>-2.7000000000000028</v>
      </c>
      <c r="P16" s="54"/>
      <c r="Q16" s="54"/>
      <c r="R16" s="54"/>
      <c r="S16" s="54"/>
      <c r="T16" s="54"/>
      <c r="U16" s="54"/>
    </row>
    <row r="17" spans="4:21" x14ac:dyDescent="0.3">
      <c r="D17" t="s">
        <v>159</v>
      </c>
      <c r="F17" s="50">
        <v>37316</v>
      </c>
      <c r="G17" s="53">
        <v>77.400000000000006</v>
      </c>
      <c r="H17" s="53">
        <f t="shared" ref="H17:H80" si="0">G17-G16</f>
        <v>7.7000000000000028</v>
      </c>
      <c r="P17" s="54"/>
      <c r="Q17" s="54"/>
      <c r="R17" s="54"/>
      <c r="S17" s="54"/>
      <c r="T17" s="54"/>
      <c r="U17" s="54"/>
    </row>
    <row r="18" spans="4:21" x14ac:dyDescent="0.3">
      <c r="D18" s="56"/>
      <c r="F18" s="50">
        <v>37347</v>
      </c>
      <c r="G18" s="53">
        <v>79.599999999999994</v>
      </c>
      <c r="H18" s="53">
        <f t="shared" si="0"/>
        <v>2.1999999999999886</v>
      </c>
      <c r="P18" s="54"/>
      <c r="Q18" s="54"/>
      <c r="R18" s="54"/>
      <c r="S18" s="54"/>
      <c r="T18" s="54"/>
      <c r="U18" s="54"/>
    </row>
    <row r="19" spans="4:21" x14ac:dyDescent="0.3">
      <c r="D19" s="56"/>
      <c r="F19" s="50">
        <v>37377</v>
      </c>
      <c r="G19" s="53">
        <v>80.400000000000006</v>
      </c>
      <c r="H19" s="53">
        <f t="shared" si="0"/>
        <v>0.80000000000001137</v>
      </c>
      <c r="P19" s="54"/>
      <c r="Q19" s="54"/>
      <c r="R19" s="54"/>
      <c r="S19" s="54"/>
      <c r="T19" s="54"/>
      <c r="U19" s="54"/>
    </row>
    <row r="20" spans="4:21" x14ac:dyDescent="0.3">
      <c r="D20" s="47"/>
      <c r="F20" s="50">
        <v>37408</v>
      </c>
      <c r="G20" s="53">
        <v>77.5</v>
      </c>
      <c r="H20" s="53">
        <f t="shared" si="0"/>
        <v>-2.9000000000000057</v>
      </c>
      <c r="P20" s="54"/>
      <c r="Q20" s="54"/>
      <c r="R20" s="54"/>
      <c r="S20" s="54"/>
      <c r="T20" s="54"/>
      <c r="U20" s="54"/>
    </row>
    <row r="21" spans="4:21" x14ac:dyDescent="0.3">
      <c r="F21" s="50">
        <v>37438</v>
      </c>
      <c r="G21" s="53">
        <v>83.3</v>
      </c>
      <c r="H21" s="53">
        <f t="shared" si="0"/>
        <v>5.7999999999999972</v>
      </c>
      <c r="P21" s="54"/>
      <c r="Q21" s="54"/>
      <c r="R21" s="54"/>
      <c r="S21" s="54"/>
      <c r="T21" s="54"/>
      <c r="U21" s="54"/>
    </row>
    <row r="22" spans="4:21" x14ac:dyDescent="0.3">
      <c r="F22" s="50">
        <v>37469</v>
      </c>
      <c r="G22" s="53">
        <v>83.6</v>
      </c>
      <c r="H22" s="53">
        <f t="shared" si="0"/>
        <v>0.29999999999999716</v>
      </c>
      <c r="P22" s="54"/>
      <c r="Q22" s="54"/>
      <c r="R22" s="54"/>
      <c r="S22" s="54"/>
      <c r="T22" s="54"/>
      <c r="U22" s="54"/>
    </row>
    <row r="23" spans="4:21" x14ac:dyDescent="0.3">
      <c r="F23" s="50">
        <v>37500</v>
      </c>
      <c r="G23" s="53">
        <v>82.1</v>
      </c>
      <c r="H23" s="53">
        <f t="shared" si="0"/>
        <v>-1.5</v>
      </c>
      <c r="P23" s="54"/>
      <c r="Q23" s="54"/>
      <c r="R23" s="54"/>
      <c r="S23" s="54"/>
      <c r="T23" s="54"/>
      <c r="U23" s="54"/>
    </row>
    <row r="24" spans="4:21" x14ac:dyDescent="0.3">
      <c r="F24" s="50">
        <v>37530</v>
      </c>
      <c r="G24" s="53">
        <v>89.2</v>
      </c>
      <c r="H24" s="53">
        <f t="shared" si="0"/>
        <v>7.1000000000000085</v>
      </c>
      <c r="P24" s="54"/>
      <c r="Q24" s="54"/>
      <c r="R24" s="54"/>
      <c r="S24" s="54"/>
      <c r="T24" s="54"/>
      <c r="U24" s="54"/>
    </row>
    <row r="25" spans="4:21" x14ac:dyDescent="0.3">
      <c r="F25" s="50">
        <v>37561</v>
      </c>
      <c r="G25" s="53">
        <v>83.9</v>
      </c>
      <c r="H25" s="53">
        <f t="shared" si="0"/>
        <v>-5.2999999999999972</v>
      </c>
      <c r="P25" s="54"/>
      <c r="Q25" s="54"/>
      <c r="R25" s="54"/>
      <c r="S25" s="54"/>
      <c r="T25" s="54"/>
      <c r="U25" s="54"/>
    </row>
    <row r="26" spans="4:21" x14ac:dyDescent="0.3">
      <c r="F26" s="50">
        <v>37591</v>
      </c>
      <c r="G26" s="53">
        <v>74.599999999999994</v>
      </c>
      <c r="H26" s="53">
        <f t="shared" si="0"/>
        <v>-9.3000000000000114</v>
      </c>
      <c r="P26" s="54"/>
      <c r="Q26" s="54"/>
      <c r="R26" s="54"/>
      <c r="S26" s="54"/>
      <c r="T26" s="54"/>
      <c r="U26" s="54"/>
    </row>
    <row r="27" spans="4:21" x14ac:dyDescent="0.3">
      <c r="F27" s="50">
        <v>37622</v>
      </c>
      <c r="G27" s="53">
        <v>74</v>
      </c>
      <c r="H27" s="53">
        <f t="shared" si="0"/>
        <v>-0.59999999999999432</v>
      </c>
      <c r="P27" s="54"/>
      <c r="Q27" s="54"/>
      <c r="R27" s="54"/>
      <c r="S27" s="54"/>
      <c r="T27" s="54"/>
      <c r="U27" s="54"/>
    </row>
    <row r="28" spans="4:21" x14ac:dyDescent="0.3">
      <c r="F28" s="50">
        <v>37653</v>
      </c>
      <c r="G28" s="53">
        <v>71.8</v>
      </c>
      <c r="H28" s="53">
        <f t="shared" si="0"/>
        <v>-2.2000000000000028</v>
      </c>
      <c r="P28" s="54"/>
      <c r="Q28" s="54"/>
      <c r="R28" s="54"/>
      <c r="S28" s="54"/>
      <c r="T28" s="54"/>
      <c r="U28" s="54"/>
    </row>
    <row r="29" spans="4:21" x14ac:dyDescent="0.3">
      <c r="F29" s="50">
        <v>37681</v>
      </c>
      <c r="G29" s="53">
        <v>77.400000000000006</v>
      </c>
      <c r="H29" s="53">
        <f t="shared" si="0"/>
        <v>5.6000000000000085</v>
      </c>
      <c r="P29" s="54"/>
      <c r="Q29" s="54"/>
      <c r="R29" s="54"/>
      <c r="S29" s="54"/>
      <c r="T29" s="54"/>
      <c r="U29" s="54"/>
    </row>
    <row r="30" spans="4:21" x14ac:dyDescent="0.3">
      <c r="F30" s="50">
        <v>37712</v>
      </c>
      <c r="G30" s="53">
        <v>76.5</v>
      </c>
      <c r="H30" s="53">
        <f t="shared" si="0"/>
        <v>-0.90000000000000568</v>
      </c>
      <c r="P30" s="54"/>
      <c r="Q30" s="54"/>
      <c r="R30" s="54"/>
      <c r="S30" s="54"/>
      <c r="T30" s="54"/>
      <c r="U30" s="54"/>
    </row>
    <row r="31" spans="4:21" x14ac:dyDescent="0.3">
      <c r="F31" s="50">
        <v>37742</v>
      </c>
      <c r="G31" s="53">
        <v>79.7</v>
      </c>
      <c r="H31" s="53">
        <f t="shared" si="0"/>
        <v>3.2000000000000028</v>
      </c>
      <c r="P31" s="54"/>
      <c r="Q31" s="54"/>
      <c r="R31" s="54"/>
      <c r="S31" s="54"/>
      <c r="T31" s="54"/>
      <c r="U31" s="54"/>
    </row>
    <row r="32" spans="4:21" x14ac:dyDescent="0.3">
      <c r="F32" s="50">
        <v>37773</v>
      </c>
      <c r="G32" s="53">
        <v>76.3</v>
      </c>
      <c r="H32" s="53">
        <f t="shared" si="0"/>
        <v>-3.4000000000000057</v>
      </c>
      <c r="P32" s="54"/>
      <c r="Q32" s="54"/>
      <c r="R32" s="54"/>
      <c r="S32" s="54"/>
      <c r="T32" s="54"/>
      <c r="U32" s="54"/>
    </row>
    <row r="33" spans="6:21" x14ac:dyDescent="0.3">
      <c r="F33" s="50">
        <v>37803</v>
      </c>
      <c r="G33" s="53">
        <v>81.3</v>
      </c>
      <c r="H33" s="53">
        <f t="shared" si="0"/>
        <v>5</v>
      </c>
      <c r="P33" s="54"/>
      <c r="Q33" s="54"/>
      <c r="R33" s="54"/>
      <c r="S33" s="54"/>
      <c r="T33" s="54"/>
      <c r="U33" s="54"/>
    </row>
    <row r="34" spans="6:21" x14ac:dyDescent="0.3">
      <c r="F34" s="50">
        <v>37834</v>
      </c>
      <c r="G34" s="53">
        <v>81.599999999999994</v>
      </c>
      <c r="H34" s="53">
        <f t="shared" si="0"/>
        <v>0.29999999999999716</v>
      </c>
      <c r="P34" s="54"/>
      <c r="Q34" s="54"/>
      <c r="R34" s="54"/>
      <c r="S34" s="54"/>
      <c r="T34" s="54"/>
      <c r="U34" s="54"/>
    </row>
    <row r="35" spans="6:21" x14ac:dyDescent="0.3">
      <c r="F35" s="50">
        <v>37865</v>
      </c>
      <c r="G35" s="53">
        <v>85.7</v>
      </c>
      <c r="H35" s="53">
        <f t="shared" si="0"/>
        <v>4.1000000000000085</v>
      </c>
      <c r="P35" s="54"/>
      <c r="Q35" s="54"/>
      <c r="R35" s="54"/>
      <c r="S35" s="54"/>
      <c r="T35" s="54"/>
      <c r="U35" s="54"/>
    </row>
    <row r="36" spans="6:21" x14ac:dyDescent="0.3">
      <c r="F36" s="50">
        <v>37895</v>
      </c>
      <c r="G36" s="53">
        <v>90</v>
      </c>
      <c r="H36" s="53">
        <f t="shared" si="0"/>
        <v>4.2999999999999972</v>
      </c>
      <c r="P36" s="54"/>
      <c r="Q36" s="54"/>
      <c r="R36" s="54"/>
      <c r="S36" s="54"/>
      <c r="T36" s="54"/>
      <c r="U36" s="54"/>
    </row>
    <row r="37" spans="6:21" x14ac:dyDescent="0.3">
      <c r="F37" s="50">
        <v>37926</v>
      </c>
      <c r="G37" s="53">
        <v>84.6</v>
      </c>
      <c r="H37" s="53">
        <f t="shared" si="0"/>
        <v>-5.4000000000000057</v>
      </c>
      <c r="P37" s="54"/>
      <c r="Q37" s="54"/>
      <c r="R37" s="54"/>
      <c r="S37" s="54"/>
      <c r="T37" s="54"/>
      <c r="U37" s="54"/>
    </row>
    <row r="38" spans="6:21" x14ac:dyDescent="0.3">
      <c r="F38" s="50">
        <v>37956</v>
      </c>
      <c r="G38" s="53">
        <v>77.900000000000006</v>
      </c>
      <c r="H38" s="53">
        <f t="shared" si="0"/>
        <v>-6.6999999999999886</v>
      </c>
      <c r="P38" s="54"/>
      <c r="Q38" s="54"/>
      <c r="R38" s="54"/>
      <c r="S38" s="54"/>
      <c r="T38" s="54"/>
      <c r="U38" s="54"/>
    </row>
    <row r="39" spans="6:21" x14ac:dyDescent="0.3">
      <c r="F39" s="50">
        <v>37987</v>
      </c>
      <c r="G39" s="53">
        <v>76.8</v>
      </c>
      <c r="H39" s="53">
        <f t="shared" si="0"/>
        <v>-1.1000000000000085</v>
      </c>
      <c r="P39" s="54"/>
      <c r="Q39" s="54"/>
      <c r="R39" s="54"/>
      <c r="S39" s="54"/>
      <c r="T39" s="54"/>
      <c r="U39" s="54"/>
    </row>
    <row r="40" spans="6:21" x14ac:dyDescent="0.3">
      <c r="F40" s="50">
        <v>38018</v>
      </c>
      <c r="G40" s="53">
        <v>74</v>
      </c>
      <c r="H40" s="53">
        <f t="shared" si="0"/>
        <v>-2.7999999999999972</v>
      </c>
      <c r="P40" s="54"/>
      <c r="Q40" s="54"/>
      <c r="R40" s="54"/>
      <c r="S40" s="54"/>
      <c r="T40" s="54"/>
      <c r="U40" s="54"/>
    </row>
    <row r="41" spans="6:21" x14ac:dyDescent="0.3">
      <c r="F41" s="50">
        <v>38047</v>
      </c>
      <c r="G41" s="53">
        <v>86.9</v>
      </c>
      <c r="H41" s="53">
        <f t="shared" si="0"/>
        <v>12.900000000000006</v>
      </c>
      <c r="P41" s="54"/>
      <c r="Q41" s="54"/>
      <c r="R41" s="54"/>
      <c r="S41" s="54"/>
      <c r="T41" s="54"/>
      <c r="U41" s="54"/>
    </row>
    <row r="42" spans="6:21" x14ac:dyDescent="0.3">
      <c r="F42" s="50">
        <v>38078</v>
      </c>
      <c r="G42" s="53">
        <v>82.2</v>
      </c>
      <c r="H42" s="53">
        <f t="shared" si="0"/>
        <v>-4.7000000000000028</v>
      </c>
      <c r="P42" s="54"/>
      <c r="Q42" s="54"/>
      <c r="R42" s="54"/>
      <c r="S42" s="54"/>
      <c r="T42" s="54"/>
      <c r="U42" s="54"/>
    </row>
    <row r="43" spans="6:21" x14ac:dyDescent="0.3">
      <c r="F43" s="50">
        <v>38108</v>
      </c>
      <c r="G43" s="53">
        <v>86.3</v>
      </c>
      <c r="H43" s="53">
        <f t="shared" si="0"/>
        <v>4.0999999999999943</v>
      </c>
      <c r="P43" s="54"/>
      <c r="Q43" s="54"/>
      <c r="R43" s="54"/>
      <c r="S43" s="54"/>
      <c r="T43" s="54"/>
      <c r="U43" s="54"/>
    </row>
    <row r="44" spans="6:21" x14ac:dyDescent="0.3">
      <c r="F44" s="50">
        <v>38139</v>
      </c>
      <c r="G44" s="53">
        <v>86.1</v>
      </c>
      <c r="H44" s="53">
        <f t="shared" si="0"/>
        <v>-0.20000000000000284</v>
      </c>
      <c r="P44" s="54"/>
      <c r="Q44" s="54"/>
      <c r="R44" s="54"/>
      <c r="S44" s="54"/>
      <c r="T44" s="54"/>
      <c r="U44" s="54"/>
    </row>
    <row r="45" spans="6:21" x14ac:dyDescent="0.3">
      <c r="F45" s="50">
        <v>38169</v>
      </c>
      <c r="G45" s="53">
        <v>90.1</v>
      </c>
      <c r="H45" s="53">
        <f t="shared" si="0"/>
        <v>4</v>
      </c>
      <c r="P45" s="54"/>
      <c r="Q45" s="54"/>
      <c r="R45" s="54"/>
      <c r="S45" s="54"/>
      <c r="T45" s="54"/>
      <c r="U45" s="54"/>
    </row>
    <row r="46" spans="6:21" x14ac:dyDescent="0.3">
      <c r="F46" s="50">
        <v>38200</v>
      </c>
      <c r="G46" s="53">
        <v>92.1</v>
      </c>
      <c r="H46" s="53">
        <f t="shared" si="0"/>
        <v>2</v>
      </c>
      <c r="P46" s="54"/>
      <c r="Q46" s="54"/>
      <c r="R46" s="54"/>
      <c r="S46" s="54"/>
      <c r="T46" s="54"/>
      <c r="U46" s="54"/>
    </row>
    <row r="47" spans="6:21" x14ac:dyDescent="0.3">
      <c r="F47" s="50">
        <v>38231</v>
      </c>
      <c r="G47" s="53">
        <v>92.1</v>
      </c>
      <c r="H47" s="53">
        <f t="shared" si="0"/>
        <v>0</v>
      </c>
      <c r="P47" s="54"/>
      <c r="Q47" s="54"/>
      <c r="R47" s="54"/>
      <c r="S47" s="54"/>
      <c r="T47" s="54"/>
      <c r="U47" s="54"/>
    </row>
    <row r="48" spans="6:21" x14ac:dyDescent="0.3">
      <c r="F48" s="50">
        <v>38261</v>
      </c>
      <c r="G48" s="53">
        <v>93.5</v>
      </c>
      <c r="H48" s="53">
        <f t="shared" si="0"/>
        <v>1.4000000000000057</v>
      </c>
      <c r="P48" s="54"/>
      <c r="Q48" s="54"/>
      <c r="R48" s="54"/>
      <c r="S48" s="54"/>
      <c r="T48" s="54"/>
      <c r="U48" s="54"/>
    </row>
    <row r="49" spans="6:21" x14ac:dyDescent="0.3">
      <c r="F49" s="50">
        <v>38292</v>
      </c>
      <c r="G49" s="53">
        <v>91.8</v>
      </c>
      <c r="H49" s="53">
        <f t="shared" si="0"/>
        <v>-1.7000000000000028</v>
      </c>
      <c r="P49" s="54"/>
      <c r="Q49" s="54"/>
      <c r="R49" s="54"/>
      <c r="S49" s="54"/>
      <c r="T49" s="54"/>
      <c r="U49" s="54"/>
    </row>
    <row r="50" spans="6:21" x14ac:dyDescent="0.3">
      <c r="F50" s="50">
        <v>38322</v>
      </c>
      <c r="G50" s="53">
        <v>84.7</v>
      </c>
      <c r="H50" s="53">
        <f t="shared" si="0"/>
        <v>-7.0999999999999943</v>
      </c>
      <c r="P50" s="54"/>
      <c r="Q50" s="54"/>
      <c r="R50" s="54"/>
      <c r="S50" s="54"/>
      <c r="T50" s="54"/>
      <c r="U50" s="54"/>
    </row>
    <row r="51" spans="6:21" x14ac:dyDescent="0.3">
      <c r="F51" s="50">
        <v>38353</v>
      </c>
      <c r="G51" s="53">
        <v>81</v>
      </c>
      <c r="H51" s="53">
        <f t="shared" si="0"/>
        <v>-3.7000000000000028</v>
      </c>
      <c r="P51" s="54"/>
      <c r="Q51" s="54"/>
      <c r="R51" s="54"/>
      <c r="S51" s="54"/>
      <c r="T51" s="54"/>
      <c r="U51" s="54"/>
    </row>
    <row r="52" spans="6:21" x14ac:dyDescent="0.3">
      <c r="F52" s="50">
        <v>38384</v>
      </c>
      <c r="G52" s="53">
        <v>76.400000000000006</v>
      </c>
      <c r="H52" s="53">
        <f t="shared" si="0"/>
        <v>-4.5999999999999943</v>
      </c>
      <c r="P52" s="54"/>
      <c r="Q52" s="54"/>
      <c r="R52" s="54"/>
      <c r="S52" s="54"/>
      <c r="T52" s="54"/>
      <c r="U52" s="54"/>
    </row>
    <row r="53" spans="6:21" x14ac:dyDescent="0.3">
      <c r="F53" s="50">
        <v>38412</v>
      </c>
      <c r="G53" s="53">
        <v>88</v>
      </c>
      <c r="H53" s="53">
        <f t="shared" si="0"/>
        <v>11.599999999999994</v>
      </c>
      <c r="P53" s="54"/>
      <c r="Q53" s="54"/>
      <c r="R53" s="54"/>
      <c r="S53" s="54"/>
      <c r="T53" s="54"/>
      <c r="U53" s="54"/>
    </row>
    <row r="54" spans="6:21" x14ac:dyDescent="0.3">
      <c r="F54" s="50">
        <v>38443</v>
      </c>
      <c r="G54" s="53">
        <v>87</v>
      </c>
      <c r="H54" s="53">
        <f t="shared" si="0"/>
        <v>-1</v>
      </c>
      <c r="P54" s="54"/>
      <c r="Q54" s="54"/>
      <c r="R54" s="54"/>
      <c r="S54" s="54"/>
      <c r="T54" s="54"/>
      <c r="U54" s="54"/>
    </row>
    <row r="55" spans="6:21" x14ac:dyDescent="0.3">
      <c r="F55" s="50">
        <v>38473</v>
      </c>
      <c r="G55" s="53">
        <v>91.1</v>
      </c>
      <c r="H55" s="53">
        <f t="shared" si="0"/>
        <v>4.0999999999999943</v>
      </c>
      <c r="P55" s="54"/>
      <c r="Q55" s="54"/>
      <c r="R55" s="54"/>
      <c r="S55" s="54"/>
      <c r="T55" s="54"/>
      <c r="U55" s="54"/>
    </row>
    <row r="56" spans="6:21" x14ac:dyDescent="0.3">
      <c r="F56" s="50">
        <v>38504</v>
      </c>
      <c r="G56" s="53">
        <v>91.4</v>
      </c>
      <c r="H56" s="53">
        <f t="shared" si="0"/>
        <v>0.30000000000001137</v>
      </c>
      <c r="P56" s="54"/>
      <c r="Q56" s="54"/>
      <c r="R56" s="54"/>
      <c r="S56" s="54"/>
      <c r="T56" s="54"/>
      <c r="U56" s="54"/>
    </row>
    <row r="57" spans="6:21" x14ac:dyDescent="0.3">
      <c r="F57" s="50">
        <v>38534</v>
      </c>
      <c r="G57" s="53">
        <v>90.5</v>
      </c>
      <c r="H57" s="53">
        <f t="shared" si="0"/>
        <v>-0.90000000000000568</v>
      </c>
      <c r="P57" s="54"/>
      <c r="Q57" s="54"/>
      <c r="R57" s="54"/>
      <c r="S57" s="54"/>
      <c r="T57" s="54"/>
      <c r="U57" s="54"/>
    </row>
    <row r="58" spans="6:21" x14ac:dyDescent="0.3">
      <c r="F58" s="50">
        <v>38565</v>
      </c>
      <c r="G58" s="53">
        <v>95.6</v>
      </c>
      <c r="H58" s="53">
        <f t="shared" si="0"/>
        <v>5.0999999999999943</v>
      </c>
      <c r="P58" s="54"/>
      <c r="Q58" s="54"/>
      <c r="R58" s="54"/>
      <c r="S58" s="54"/>
      <c r="T58" s="54"/>
      <c r="U58" s="54"/>
    </row>
    <row r="59" spans="6:21" x14ac:dyDescent="0.3">
      <c r="F59" s="50">
        <v>38596</v>
      </c>
      <c r="G59" s="53">
        <v>92</v>
      </c>
      <c r="H59" s="53">
        <f t="shared" si="0"/>
        <v>-3.5999999999999943</v>
      </c>
      <c r="P59" s="54"/>
      <c r="Q59" s="54"/>
      <c r="R59" s="54"/>
      <c r="S59" s="54"/>
      <c r="T59" s="54"/>
      <c r="U59" s="54"/>
    </row>
    <row r="60" spans="6:21" x14ac:dyDescent="0.3">
      <c r="F60" s="50">
        <v>38626</v>
      </c>
      <c r="G60" s="53">
        <v>93.7</v>
      </c>
      <c r="H60" s="53">
        <f t="shared" si="0"/>
        <v>1.7000000000000028</v>
      </c>
      <c r="P60" s="54"/>
      <c r="Q60" s="54"/>
      <c r="R60" s="54"/>
      <c r="S60" s="54"/>
      <c r="T60" s="54"/>
      <c r="U60" s="54"/>
    </row>
    <row r="61" spans="6:21" x14ac:dyDescent="0.3">
      <c r="F61" s="50">
        <v>38657</v>
      </c>
      <c r="G61" s="53">
        <v>92.4</v>
      </c>
      <c r="H61" s="53">
        <f t="shared" si="0"/>
        <v>-1.2999999999999972</v>
      </c>
      <c r="P61" s="54"/>
      <c r="Q61" s="54"/>
      <c r="R61" s="54"/>
      <c r="S61" s="54"/>
      <c r="T61" s="54"/>
      <c r="U61" s="54"/>
    </row>
    <row r="62" spans="6:21" x14ac:dyDescent="0.3">
      <c r="F62" s="50">
        <v>38687</v>
      </c>
      <c r="G62" s="53">
        <v>86.6</v>
      </c>
      <c r="H62" s="53">
        <f t="shared" si="0"/>
        <v>-5.8000000000000114</v>
      </c>
      <c r="P62" s="54"/>
      <c r="Q62" s="54"/>
      <c r="R62" s="54"/>
      <c r="S62" s="54"/>
      <c r="T62" s="54"/>
      <c r="U62" s="54"/>
    </row>
    <row r="63" spans="6:21" x14ac:dyDescent="0.3">
      <c r="F63" s="50">
        <v>38718</v>
      </c>
      <c r="G63" s="53">
        <v>83.7</v>
      </c>
      <c r="H63" s="53">
        <f t="shared" si="0"/>
        <v>-2.8999999999999915</v>
      </c>
      <c r="P63" s="54"/>
      <c r="Q63" s="54"/>
      <c r="R63" s="54"/>
      <c r="S63" s="54"/>
      <c r="T63" s="54"/>
      <c r="U63" s="54"/>
    </row>
    <row r="64" spans="6:21" x14ac:dyDescent="0.3">
      <c r="F64" s="50">
        <v>38749</v>
      </c>
      <c r="G64" s="53">
        <v>80.2</v>
      </c>
      <c r="H64" s="53">
        <f t="shared" si="0"/>
        <v>-3.5</v>
      </c>
      <c r="P64" s="54"/>
      <c r="Q64" s="54"/>
      <c r="R64" s="54"/>
      <c r="S64" s="54"/>
      <c r="T64" s="54"/>
      <c r="U64" s="54"/>
    </row>
    <row r="65" spans="6:21" x14ac:dyDescent="0.3">
      <c r="F65" s="50">
        <v>38777</v>
      </c>
      <c r="G65" s="53">
        <v>92.4</v>
      </c>
      <c r="H65" s="53">
        <f t="shared" si="0"/>
        <v>12.200000000000003</v>
      </c>
      <c r="P65" s="54"/>
      <c r="Q65" s="54"/>
      <c r="R65" s="54"/>
      <c r="S65" s="54"/>
      <c r="T65" s="54"/>
      <c r="U65" s="54"/>
    </row>
    <row r="66" spans="6:21" x14ac:dyDescent="0.3">
      <c r="F66" s="50">
        <v>38808</v>
      </c>
      <c r="G66" s="53">
        <v>85.7</v>
      </c>
      <c r="H66" s="53">
        <f t="shared" si="0"/>
        <v>-6.7000000000000028</v>
      </c>
      <c r="P66" s="54"/>
      <c r="Q66" s="54"/>
      <c r="R66" s="54"/>
      <c r="S66" s="54"/>
      <c r="T66" s="54"/>
      <c r="U66" s="54"/>
    </row>
    <row r="67" spans="6:21" x14ac:dyDescent="0.3">
      <c r="F67" s="50">
        <v>38838</v>
      </c>
      <c r="G67" s="53">
        <v>95.4</v>
      </c>
      <c r="H67" s="53">
        <f t="shared" si="0"/>
        <v>9.7000000000000028</v>
      </c>
      <c r="P67" s="54"/>
      <c r="Q67" s="54"/>
      <c r="R67" s="54"/>
      <c r="S67" s="54"/>
      <c r="T67" s="54"/>
      <c r="U67" s="54"/>
    </row>
    <row r="68" spans="6:21" x14ac:dyDescent="0.3">
      <c r="F68" s="50">
        <v>38869</v>
      </c>
      <c r="G68" s="53">
        <v>91.1</v>
      </c>
      <c r="H68" s="53">
        <f t="shared" si="0"/>
        <v>-4.3000000000000114</v>
      </c>
      <c r="P68" s="54"/>
      <c r="Q68" s="54"/>
      <c r="R68" s="54"/>
      <c r="S68" s="54"/>
      <c r="T68" s="54"/>
      <c r="U68" s="54"/>
    </row>
    <row r="69" spans="6:21" x14ac:dyDescent="0.3">
      <c r="F69" s="50">
        <v>38899</v>
      </c>
      <c r="G69" s="53">
        <v>93.8</v>
      </c>
      <c r="H69" s="53">
        <f t="shared" si="0"/>
        <v>2.7000000000000028</v>
      </c>
      <c r="P69" s="54"/>
      <c r="Q69" s="54"/>
      <c r="R69" s="54"/>
      <c r="S69" s="54"/>
      <c r="T69" s="54"/>
      <c r="U69" s="54"/>
    </row>
    <row r="70" spans="6:21" x14ac:dyDescent="0.3">
      <c r="F70" s="50">
        <v>38930</v>
      </c>
      <c r="G70" s="53">
        <v>98.6</v>
      </c>
      <c r="H70" s="53">
        <f t="shared" si="0"/>
        <v>4.7999999999999972</v>
      </c>
      <c r="P70" s="54"/>
      <c r="Q70" s="54"/>
      <c r="R70" s="54"/>
      <c r="S70" s="54"/>
      <c r="T70" s="54"/>
      <c r="U70" s="54"/>
    </row>
    <row r="71" spans="6:21" x14ac:dyDescent="0.3">
      <c r="F71" s="50">
        <v>38961</v>
      </c>
      <c r="G71" s="53">
        <v>93.2</v>
      </c>
      <c r="H71" s="53">
        <f t="shared" si="0"/>
        <v>-5.3999999999999915</v>
      </c>
      <c r="P71" s="54"/>
      <c r="Q71" s="54"/>
      <c r="R71" s="54"/>
      <c r="S71" s="54"/>
      <c r="T71" s="54"/>
      <c r="U71" s="54"/>
    </row>
    <row r="72" spans="6:21" x14ac:dyDescent="0.3">
      <c r="F72" s="50">
        <v>38991</v>
      </c>
      <c r="G72" s="53">
        <v>97.5</v>
      </c>
      <c r="H72" s="53">
        <f t="shared" si="0"/>
        <v>4.2999999999999972</v>
      </c>
      <c r="P72" s="54"/>
      <c r="Q72" s="54"/>
      <c r="R72" s="54"/>
      <c r="S72" s="54"/>
      <c r="T72" s="54"/>
      <c r="U72" s="54"/>
    </row>
    <row r="73" spans="6:21" x14ac:dyDescent="0.3">
      <c r="F73" s="50">
        <v>39022</v>
      </c>
      <c r="G73" s="53">
        <v>95.9</v>
      </c>
      <c r="H73" s="53">
        <f t="shared" si="0"/>
        <v>-1.5999999999999943</v>
      </c>
      <c r="P73" s="54"/>
      <c r="Q73" s="54"/>
      <c r="R73" s="54"/>
      <c r="S73" s="54"/>
      <c r="T73" s="54"/>
      <c r="U73" s="54"/>
    </row>
    <row r="74" spans="6:21" x14ac:dyDescent="0.3">
      <c r="F74" s="50">
        <v>39052</v>
      </c>
      <c r="G74" s="53">
        <v>87</v>
      </c>
      <c r="H74" s="53">
        <f t="shared" si="0"/>
        <v>-8.9000000000000057</v>
      </c>
      <c r="P74" s="54"/>
      <c r="Q74" s="54"/>
      <c r="R74" s="54"/>
      <c r="S74" s="54"/>
      <c r="T74" s="54"/>
      <c r="U74" s="54"/>
    </row>
    <row r="75" spans="6:21" x14ac:dyDescent="0.3">
      <c r="F75" s="50">
        <v>39083</v>
      </c>
      <c r="G75" s="53">
        <v>87</v>
      </c>
      <c r="H75" s="53">
        <f t="shared" si="0"/>
        <v>0</v>
      </c>
      <c r="P75" s="54"/>
      <c r="Q75" s="54"/>
      <c r="R75" s="54"/>
      <c r="S75" s="54"/>
      <c r="T75" s="54"/>
      <c r="U75" s="54"/>
    </row>
    <row r="76" spans="6:21" x14ac:dyDescent="0.3">
      <c r="F76" s="50">
        <v>39114</v>
      </c>
      <c r="G76" s="53">
        <v>82.6</v>
      </c>
      <c r="H76" s="53">
        <f t="shared" si="0"/>
        <v>-4.4000000000000057</v>
      </c>
      <c r="P76" s="54"/>
      <c r="Q76" s="54"/>
      <c r="R76" s="54"/>
      <c r="S76" s="54"/>
      <c r="T76" s="54"/>
      <c r="U76" s="54"/>
    </row>
    <row r="77" spans="6:21" x14ac:dyDescent="0.3">
      <c r="F77" s="50">
        <v>39142</v>
      </c>
      <c r="G77" s="53">
        <v>96.4</v>
      </c>
      <c r="H77" s="53">
        <f t="shared" si="0"/>
        <v>13.800000000000011</v>
      </c>
      <c r="P77" s="54"/>
      <c r="Q77" s="54"/>
      <c r="R77" s="54"/>
      <c r="S77" s="54"/>
      <c r="T77" s="54"/>
      <c r="U77" s="54"/>
    </row>
    <row r="78" spans="6:21" x14ac:dyDescent="0.3">
      <c r="F78" s="50">
        <v>39173</v>
      </c>
      <c r="G78" s="53">
        <v>90.6</v>
      </c>
      <c r="H78" s="53">
        <f t="shared" si="0"/>
        <v>-5.8000000000000114</v>
      </c>
      <c r="P78" s="54"/>
      <c r="Q78" s="54"/>
      <c r="R78" s="54"/>
      <c r="S78" s="54"/>
      <c r="T78" s="54"/>
      <c r="U78" s="54"/>
    </row>
    <row r="79" spans="6:21" x14ac:dyDescent="0.3">
      <c r="F79" s="50">
        <v>39203</v>
      </c>
      <c r="G79" s="53">
        <v>99.9</v>
      </c>
      <c r="H79" s="53">
        <f t="shared" si="0"/>
        <v>9.3000000000000114</v>
      </c>
      <c r="P79" s="54"/>
      <c r="Q79" s="54"/>
      <c r="R79" s="54"/>
      <c r="S79" s="54"/>
      <c r="T79" s="54"/>
      <c r="U79" s="54"/>
    </row>
    <row r="80" spans="6:21" x14ac:dyDescent="0.3">
      <c r="F80" s="50">
        <v>39234</v>
      </c>
      <c r="G80" s="53">
        <v>96.9</v>
      </c>
      <c r="H80" s="53">
        <f t="shared" si="0"/>
        <v>-3</v>
      </c>
      <c r="P80" s="54"/>
      <c r="Q80" s="54"/>
      <c r="R80" s="54"/>
      <c r="S80" s="54"/>
      <c r="T80" s="54"/>
      <c r="U80" s="54"/>
    </row>
    <row r="81" spans="6:21" x14ac:dyDescent="0.3">
      <c r="F81" s="50">
        <v>39264</v>
      </c>
      <c r="G81" s="53">
        <v>99.8</v>
      </c>
      <c r="H81" s="53">
        <f t="shared" ref="H81:H144" si="1">G81-G80</f>
        <v>2.8999999999999915</v>
      </c>
      <c r="P81" s="54"/>
      <c r="Q81" s="54"/>
      <c r="R81" s="54"/>
      <c r="S81" s="54"/>
      <c r="T81" s="54"/>
      <c r="U81" s="54"/>
    </row>
    <row r="82" spans="6:21" x14ac:dyDescent="0.3">
      <c r="F82" s="50">
        <v>39295</v>
      </c>
      <c r="G82" s="53">
        <v>104.9</v>
      </c>
      <c r="H82" s="53">
        <f t="shared" si="1"/>
        <v>5.1000000000000085</v>
      </c>
      <c r="P82" s="54"/>
      <c r="Q82" s="54"/>
      <c r="R82" s="54"/>
      <c r="S82" s="54"/>
      <c r="T82" s="54"/>
      <c r="U82" s="54"/>
    </row>
    <row r="83" spans="6:21" x14ac:dyDescent="0.3">
      <c r="F83" s="50">
        <v>39326</v>
      </c>
      <c r="G83" s="53">
        <v>98.4</v>
      </c>
      <c r="H83" s="53">
        <f t="shared" si="1"/>
        <v>-6.5</v>
      </c>
      <c r="P83" s="54"/>
      <c r="Q83" s="54"/>
      <c r="R83" s="54"/>
      <c r="S83" s="54"/>
      <c r="T83" s="54"/>
      <c r="U83" s="54"/>
    </row>
    <row r="84" spans="6:21" x14ac:dyDescent="0.3">
      <c r="F84" s="50">
        <v>39356</v>
      </c>
      <c r="G84" s="53">
        <v>107.8</v>
      </c>
      <c r="H84" s="53">
        <f t="shared" si="1"/>
        <v>9.3999999999999915</v>
      </c>
      <c r="P84" s="54"/>
      <c r="Q84" s="54"/>
      <c r="R84" s="54"/>
      <c r="S84" s="54"/>
      <c r="T84" s="54"/>
      <c r="U84" s="54"/>
    </row>
    <row r="85" spans="6:21" x14ac:dyDescent="0.3">
      <c r="F85" s="50">
        <v>39387</v>
      </c>
      <c r="G85" s="53">
        <v>102.4</v>
      </c>
      <c r="H85" s="53">
        <f t="shared" si="1"/>
        <v>-5.3999999999999915</v>
      </c>
      <c r="P85" s="54"/>
      <c r="Q85" s="54"/>
      <c r="R85" s="54"/>
      <c r="S85" s="54"/>
      <c r="T85" s="54"/>
      <c r="U85" s="54"/>
    </row>
    <row r="86" spans="6:21" x14ac:dyDescent="0.3">
      <c r="F86" s="50">
        <v>39417</v>
      </c>
      <c r="G86" s="53">
        <v>92.6</v>
      </c>
      <c r="H86" s="53">
        <f t="shared" si="1"/>
        <v>-9.8000000000000114</v>
      </c>
      <c r="P86" s="54"/>
      <c r="Q86" s="54"/>
      <c r="R86" s="54"/>
      <c r="S86" s="54"/>
      <c r="T86" s="54"/>
      <c r="U86" s="54"/>
    </row>
    <row r="87" spans="6:21" x14ac:dyDescent="0.3">
      <c r="F87" s="50">
        <v>39448</v>
      </c>
      <c r="G87" s="53">
        <v>94.8</v>
      </c>
      <c r="H87" s="53">
        <f t="shared" si="1"/>
        <v>2.2000000000000028</v>
      </c>
      <c r="P87" s="54"/>
      <c r="Q87" s="54"/>
      <c r="R87" s="54"/>
      <c r="S87" s="54"/>
      <c r="T87" s="54"/>
      <c r="U87" s="54"/>
    </row>
    <row r="88" spans="6:21" x14ac:dyDescent="0.3">
      <c r="F88" s="50">
        <v>39479</v>
      </c>
      <c r="G88" s="53">
        <v>91.1</v>
      </c>
      <c r="H88" s="53">
        <f t="shared" si="1"/>
        <v>-3.7000000000000028</v>
      </c>
      <c r="P88" s="54"/>
      <c r="Q88" s="54"/>
      <c r="R88" s="54"/>
      <c r="S88" s="54"/>
      <c r="T88" s="54"/>
      <c r="U88" s="54"/>
    </row>
    <row r="89" spans="6:21" x14ac:dyDescent="0.3">
      <c r="F89" s="50">
        <v>39508</v>
      </c>
      <c r="G89" s="53">
        <v>97.7</v>
      </c>
      <c r="H89" s="53">
        <f t="shared" si="1"/>
        <v>6.6000000000000085</v>
      </c>
      <c r="P89" s="54"/>
      <c r="Q89" s="54"/>
      <c r="R89" s="54"/>
      <c r="S89" s="54"/>
      <c r="T89" s="54"/>
      <c r="U89" s="54"/>
    </row>
    <row r="90" spans="6:21" x14ac:dyDescent="0.3">
      <c r="F90" s="50">
        <v>39539</v>
      </c>
      <c r="G90" s="53">
        <v>99.2</v>
      </c>
      <c r="H90" s="53">
        <f t="shared" si="1"/>
        <v>1.5</v>
      </c>
      <c r="P90" s="54"/>
      <c r="Q90" s="54"/>
      <c r="R90" s="54"/>
      <c r="S90" s="54"/>
      <c r="T90" s="54"/>
      <c r="U90" s="54"/>
    </row>
    <row r="91" spans="6:21" x14ac:dyDescent="0.3">
      <c r="F91" s="50">
        <v>39569</v>
      </c>
      <c r="G91" s="53">
        <v>102.5</v>
      </c>
      <c r="H91" s="53">
        <f t="shared" si="1"/>
        <v>3.2999999999999972</v>
      </c>
      <c r="P91" s="54"/>
      <c r="Q91" s="54"/>
      <c r="R91" s="54"/>
      <c r="S91" s="54"/>
      <c r="T91" s="54"/>
      <c r="U91" s="54"/>
    </row>
    <row r="92" spans="6:21" x14ac:dyDescent="0.3">
      <c r="F92" s="50">
        <v>39600</v>
      </c>
      <c r="G92" s="53">
        <v>103.3</v>
      </c>
      <c r="H92" s="53">
        <f t="shared" si="1"/>
        <v>0.79999999999999716</v>
      </c>
      <c r="P92" s="54"/>
      <c r="Q92" s="54"/>
      <c r="R92" s="54"/>
      <c r="S92" s="54"/>
      <c r="T92" s="54"/>
      <c r="U92" s="54"/>
    </row>
    <row r="93" spans="6:21" x14ac:dyDescent="0.3">
      <c r="F93" s="50">
        <v>39630</v>
      </c>
      <c r="G93" s="53">
        <v>108.5</v>
      </c>
      <c r="H93" s="53">
        <f t="shared" si="1"/>
        <v>5.2000000000000028</v>
      </c>
      <c r="P93" s="54"/>
      <c r="Q93" s="54"/>
      <c r="R93" s="54"/>
      <c r="S93" s="54"/>
      <c r="T93" s="54"/>
      <c r="U93" s="54"/>
    </row>
    <row r="94" spans="6:21" x14ac:dyDescent="0.3">
      <c r="F94" s="50">
        <v>39661</v>
      </c>
      <c r="G94" s="53">
        <v>106.9</v>
      </c>
      <c r="H94" s="53">
        <f t="shared" si="1"/>
        <v>-1.5999999999999943</v>
      </c>
      <c r="P94" s="54"/>
      <c r="Q94" s="54"/>
      <c r="R94" s="54"/>
      <c r="S94" s="54"/>
      <c r="T94" s="54"/>
      <c r="U94" s="54"/>
    </row>
    <row r="95" spans="6:21" x14ac:dyDescent="0.3">
      <c r="F95" s="50">
        <v>39692</v>
      </c>
      <c r="G95" s="53">
        <v>107.3</v>
      </c>
      <c r="H95" s="53">
        <f t="shared" si="1"/>
        <v>0.39999999999999147</v>
      </c>
      <c r="P95" s="54"/>
      <c r="Q95" s="54"/>
      <c r="R95" s="54"/>
      <c r="S95" s="54"/>
      <c r="T95" s="54"/>
      <c r="U95" s="54"/>
    </row>
    <row r="96" spans="6:21" x14ac:dyDescent="0.3">
      <c r="F96" s="50">
        <v>39722</v>
      </c>
      <c r="G96" s="53">
        <v>108.4</v>
      </c>
      <c r="H96" s="53">
        <f t="shared" si="1"/>
        <v>1.1000000000000085</v>
      </c>
      <c r="P96" s="54"/>
      <c r="Q96" s="54"/>
      <c r="R96" s="54"/>
      <c r="S96" s="54"/>
      <c r="T96" s="54"/>
      <c r="U96" s="54"/>
    </row>
    <row r="97" spans="6:21" x14ac:dyDescent="0.3">
      <c r="F97" s="50">
        <v>39753</v>
      </c>
      <c r="G97" s="53">
        <v>96.2</v>
      </c>
      <c r="H97" s="53">
        <f t="shared" si="1"/>
        <v>-12.200000000000003</v>
      </c>
      <c r="P97" s="54"/>
      <c r="Q97" s="54"/>
      <c r="R97" s="54"/>
      <c r="S97" s="54"/>
      <c r="T97" s="54"/>
      <c r="U97" s="54"/>
    </row>
    <row r="98" spans="6:21" x14ac:dyDescent="0.3">
      <c r="F98" s="50">
        <v>39783</v>
      </c>
      <c r="G98" s="53">
        <v>79.099999999999994</v>
      </c>
      <c r="H98" s="53">
        <f t="shared" si="1"/>
        <v>-17.100000000000009</v>
      </c>
      <c r="P98" s="54"/>
      <c r="Q98" s="54"/>
      <c r="R98" s="54"/>
      <c r="S98" s="54"/>
      <c r="T98" s="54"/>
      <c r="U98" s="54"/>
    </row>
    <row r="99" spans="6:21" x14ac:dyDescent="0.3">
      <c r="F99" s="50">
        <v>39814</v>
      </c>
      <c r="G99" s="53">
        <v>78.7</v>
      </c>
      <c r="H99" s="53">
        <f t="shared" si="1"/>
        <v>-0.39999999999999147</v>
      </c>
      <c r="P99" s="54"/>
      <c r="Q99" s="54"/>
      <c r="R99" s="54"/>
      <c r="S99" s="54"/>
      <c r="T99" s="54"/>
      <c r="U99" s="54"/>
    </row>
    <row r="100" spans="6:21" x14ac:dyDescent="0.3">
      <c r="F100" s="50">
        <v>39845</v>
      </c>
      <c r="G100" s="53">
        <v>76.099999999999994</v>
      </c>
      <c r="H100" s="53">
        <f t="shared" si="1"/>
        <v>-2.6000000000000085</v>
      </c>
      <c r="P100" s="54"/>
      <c r="Q100" s="54"/>
      <c r="R100" s="54"/>
      <c r="S100" s="54"/>
      <c r="T100" s="54"/>
      <c r="U100" s="54"/>
    </row>
    <row r="101" spans="6:21" x14ac:dyDescent="0.3">
      <c r="F101" s="50">
        <v>39873</v>
      </c>
      <c r="G101" s="53">
        <v>88.6</v>
      </c>
      <c r="H101" s="53">
        <f t="shared" si="1"/>
        <v>12.5</v>
      </c>
      <c r="P101" s="54"/>
      <c r="Q101" s="54"/>
      <c r="R101" s="54"/>
      <c r="S101" s="54"/>
      <c r="T101" s="54"/>
      <c r="U101" s="54"/>
    </row>
    <row r="102" spans="6:21" x14ac:dyDescent="0.3">
      <c r="F102" s="50">
        <v>39904</v>
      </c>
      <c r="G102" s="53">
        <v>85.2</v>
      </c>
      <c r="H102" s="53">
        <f t="shared" si="1"/>
        <v>-3.3999999999999915</v>
      </c>
      <c r="P102" s="54"/>
      <c r="Q102" s="54"/>
      <c r="R102" s="54"/>
      <c r="S102" s="54"/>
      <c r="T102" s="54"/>
      <c r="U102" s="54"/>
    </row>
    <row r="103" spans="6:21" x14ac:dyDescent="0.3">
      <c r="F103" s="50">
        <v>39934</v>
      </c>
      <c r="G103" s="53">
        <v>91.3</v>
      </c>
      <c r="H103" s="53">
        <f t="shared" si="1"/>
        <v>6.0999999999999943</v>
      </c>
      <c r="P103" s="54"/>
      <c r="Q103" s="54"/>
      <c r="R103" s="54"/>
      <c r="S103" s="54"/>
      <c r="T103" s="54"/>
      <c r="U103" s="54"/>
    </row>
    <row r="104" spans="6:21" x14ac:dyDescent="0.3">
      <c r="F104" s="50">
        <v>39965</v>
      </c>
      <c r="G104" s="53">
        <v>92.2</v>
      </c>
      <c r="H104" s="53">
        <f t="shared" si="1"/>
        <v>0.90000000000000568</v>
      </c>
      <c r="P104" s="54"/>
      <c r="Q104" s="54"/>
      <c r="R104" s="54"/>
      <c r="S104" s="54"/>
      <c r="T104" s="54"/>
      <c r="U104" s="54"/>
    </row>
    <row r="105" spans="6:21" x14ac:dyDescent="0.3">
      <c r="F105" s="50">
        <v>39995</v>
      </c>
      <c r="G105" s="53">
        <v>97.7</v>
      </c>
      <c r="H105" s="53">
        <f t="shared" si="1"/>
        <v>5.5</v>
      </c>
      <c r="P105" s="54"/>
      <c r="Q105" s="54"/>
      <c r="R105" s="54"/>
      <c r="S105" s="54"/>
      <c r="T105" s="54"/>
      <c r="U105" s="54"/>
    </row>
    <row r="106" spans="6:21" x14ac:dyDescent="0.3">
      <c r="F106" s="50">
        <v>40026</v>
      </c>
      <c r="G106" s="53">
        <v>99.6</v>
      </c>
      <c r="H106" s="53">
        <f t="shared" si="1"/>
        <v>1.8999999999999915</v>
      </c>
      <c r="P106" s="54"/>
      <c r="Q106" s="54"/>
      <c r="R106" s="54"/>
      <c r="S106" s="54"/>
      <c r="T106" s="54"/>
      <c r="U106" s="54"/>
    </row>
    <row r="107" spans="6:21" x14ac:dyDescent="0.3">
      <c r="F107" s="50">
        <v>40057</v>
      </c>
      <c r="G107" s="53">
        <v>99.4</v>
      </c>
      <c r="H107" s="53">
        <f t="shared" si="1"/>
        <v>-0.19999999999998863</v>
      </c>
      <c r="P107" s="54"/>
      <c r="Q107" s="54"/>
      <c r="R107" s="54"/>
      <c r="S107" s="54"/>
      <c r="T107" s="54"/>
      <c r="U107" s="54"/>
    </row>
    <row r="108" spans="6:21" x14ac:dyDescent="0.3">
      <c r="F108" s="50">
        <v>40087</v>
      </c>
      <c r="G108" s="53">
        <v>105.6</v>
      </c>
      <c r="H108" s="53">
        <f t="shared" si="1"/>
        <v>6.1999999999999886</v>
      </c>
      <c r="P108" s="54"/>
      <c r="Q108" s="54"/>
      <c r="R108" s="54"/>
      <c r="S108" s="54"/>
      <c r="T108" s="54"/>
      <c r="U108" s="54"/>
    </row>
    <row r="109" spans="6:21" x14ac:dyDescent="0.3">
      <c r="F109" s="50">
        <v>40118</v>
      </c>
      <c r="G109" s="53">
        <v>101.4</v>
      </c>
      <c r="H109" s="53">
        <f t="shared" si="1"/>
        <v>-4.1999999999999886</v>
      </c>
      <c r="P109" s="54"/>
      <c r="Q109" s="54"/>
      <c r="R109" s="54"/>
      <c r="S109" s="54"/>
      <c r="T109" s="54"/>
      <c r="U109" s="54"/>
    </row>
    <row r="110" spans="6:21" x14ac:dyDescent="0.3">
      <c r="F110" s="50">
        <v>40148</v>
      </c>
      <c r="G110" s="53">
        <v>94.1</v>
      </c>
      <c r="H110" s="53">
        <f t="shared" si="1"/>
        <v>-7.3000000000000114</v>
      </c>
      <c r="P110" s="54"/>
      <c r="Q110" s="54"/>
      <c r="R110" s="54"/>
      <c r="S110" s="54"/>
      <c r="T110" s="54"/>
      <c r="U110" s="54"/>
    </row>
    <row r="111" spans="6:21" x14ac:dyDescent="0.3">
      <c r="F111" s="50">
        <v>40179</v>
      </c>
      <c r="G111" s="53">
        <v>91.2</v>
      </c>
      <c r="H111" s="53">
        <f t="shared" si="1"/>
        <v>-2.8999999999999915</v>
      </c>
      <c r="P111" s="54"/>
      <c r="Q111" s="54"/>
      <c r="R111" s="54"/>
      <c r="S111" s="54"/>
      <c r="T111" s="54"/>
      <c r="U111" s="54"/>
    </row>
    <row r="112" spans="6:21" x14ac:dyDescent="0.3">
      <c r="F112" s="50">
        <v>40210</v>
      </c>
      <c r="G112" s="53">
        <v>89</v>
      </c>
      <c r="H112" s="53">
        <f t="shared" si="1"/>
        <v>-2.2000000000000028</v>
      </c>
      <c r="P112" s="54"/>
      <c r="Q112" s="54"/>
      <c r="R112" s="54"/>
      <c r="S112" s="54"/>
      <c r="T112" s="54"/>
      <c r="U112" s="54"/>
    </row>
    <row r="113" spans="6:21" x14ac:dyDescent="0.3">
      <c r="F113" s="50">
        <v>40238</v>
      </c>
      <c r="G113" s="53">
        <v>105.1</v>
      </c>
      <c r="H113" s="53">
        <f t="shared" si="1"/>
        <v>16.099999999999994</v>
      </c>
      <c r="P113" s="54"/>
      <c r="Q113" s="54"/>
      <c r="R113" s="54"/>
      <c r="S113" s="54"/>
      <c r="T113" s="54"/>
      <c r="U113" s="54"/>
    </row>
    <row r="114" spans="6:21" x14ac:dyDescent="0.3">
      <c r="F114" s="50">
        <v>40269</v>
      </c>
      <c r="G114" s="53">
        <v>99.3</v>
      </c>
      <c r="H114" s="53">
        <f t="shared" si="1"/>
        <v>-5.7999999999999972</v>
      </c>
      <c r="P114" s="54"/>
      <c r="Q114" s="54"/>
      <c r="R114" s="54"/>
      <c r="S114" s="54"/>
      <c r="T114" s="54"/>
      <c r="U114" s="54"/>
    </row>
    <row r="115" spans="6:21" x14ac:dyDescent="0.3">
      <c r="F115" s="50">
        <v>40299</v>
      </c>
      <c r="G115" s="53">
        <v>104.3</v>
      </c>
      <c r="H115" s="53">
        <f t="shared" si="1"/>
        <v>5</v>
      </c>
      <c r="P115" s="54"/>
      <c r="Q115" s="54"/>
      <c r="R115" s="54"/>
      <c r="S115" s="54"/>
      <c r="T115" s="54"/>
      <c r="U115" s="54"/>
    </row>
    <row r="116" spans="6:21" x14ac:dyDescent="0.3">
      <c r="F116" s="50">
        <v>40330</v>
      </c>
      <c r="G116" s="53">
        <v>102.5</v>
      </c>
      <c r="H116" s="53">
        <f t="shared" si="1"/>
        <v>-1.7999999999999972</v>
      </c>
      <c r="P116" s="54"/>
      <c r="Q116" s="54"/>
      <c r="R116" s="54"/>
      <c r="S116" s="54"/>
      <c r="T116" s="54"/>
      <c r="U116" s="54"/>
    </row>
    <row r="117" spans="6:21" x14ac:dyDescent="0.3">
      <c r="F117" s="50">
        <v>40360</v>
      </c>
      <c r="G117" s="53">
        <v>106.9</v>
      </c>
      <c r="H117" s="53">
        <f t="shared" si="1"/>
        <v>4.4000000000000057</v>
      </c>
      <c r="P117" s="54"/>
      <c r="Q117" s="54"/>
      <c r="R117" s="54"/>
      <c r="S117" s="54"/>
      <c r="T117" s="54"/>
      <c r="U117" s="54"/>
    </row>
    <row r="118" spans="6:21" x14ac:dyDescent="0.3">
      <c r="F118" s="50">
        <v>40391</v>
      </c>
      <c r="G118" s="53">
        <v>108.1</v>
      </c>
      <c r="H118" s="53">
        <f t="shared" si="1"/>
        <v>1.1999999999999886</v>
      </c>
      <c r="P118" s="54"/>
      <c r="Q118" s="54"/>
      <c r="R118" s="54"/>
      <c r="S118" s="54"/>
      <c r="T118" s="54"/>
      <c r="U118" s="54"/>
    </row>
    <row r="119" spans="6:21" x14ac:dyDescent="0.3">
      <c r="F119" s="50">
        <v>40422</v>
      </c>
      <c r="G119" s="53">
        <v>105.8</v>
      </c>
      <c r="H119" s="53">
        <f t="shared" si="1"/>
        <v>-2.2999999999999972</v>
      </c>
      <c r="P119" s="54"/>
      <c r="Q119" s="54"/>
      <c r="R119" s="54"/>
      <c r="S119" s="54"/>
      <c r="T119" s="54"/>
      <c r="U119" s="54"/>
    </row>
    <row r="120" spans="6:21" x14ac:dyDescent="0.3">
      <c r="F120" s="50">
        <v>40452</v>
      </c>
      <c r="G120" s="53">
        <v>107.7</v>
      </c>
      <c r="H120" s="53">
        <f t="shared" si="1"/>
        <v>1.9000000000000057</v>
      </c>
      <c r="P120" s="54"/>
      <c r="Q120" s="54"/>
      <c r="R120" s="54"/>
      <c r="S120" s="54"/>
      <c r="T120" s="54"/>
      <c r="U120" s="54"/>
    </row>
    <row r="121" spans="6:21" x14ac:dyDescent="0.3">
      <c r="F121" s="50">
        <v>40483</v>
      </c>
      <c r="G121" s="53">
        <v>106.8</v>
      </c>
      <c r="H121" s="53">
        <f t="shared" si="1"/>
        <v>-0.90000000000000568</v>
      </c>
      <c r="P121" s="54"/>
      <c r="Q121" s="54"/>
      <c r="R121" s="54"/>
      <c r="S121" s="54"/>
      <c r="T121" s="54"/>
      <c r="U121" s="54"/>
    </row>
    <row r="122" spans="6:21" x14ac:dyDescent="0.3">
      <c r="F122" s="50">
        <v>40513</v>
      </c>
      <c r="G122" s="53">
        <v>96.6</v>
      </c>
      <c r="H122" s="53">
        <f t="shared" si="1"/>
        <v>-10.200000000000003</v>
      </c>
      <c r="P122" s="54"/>
      <c r="Q122" s="54"/>
      <c r="R122" s="54"/>
      <c r="S122" s="54"/>
      <c r="T122" s="54"/>
      <c r="U122" s="54"/>
    </row>
    <row r="123" spans="6:21" x14ac:dyDescent="0.3">
      <c r="F123" s="50">
        <v>40544</v>
      </c>
      <c r="G123" s="53">
        <v>93.2</v>
      </c>
      <c r="H123" s="53">
        <f t="shared" si="1"/>
        <v>-3.3999999999999915</v>
      </c>
      <c r="P123" s="54"/>
      <c r="Q123" s="54"/>
      <c r="R123" s="54"/>
      <c r="S123" s="54"/>
      <c r="T123" s="54"/>
      <c r="U123" s="54"/>
    </row>
    <row r="124" spans="6:21" x14ac:dyDescent="0.3">
      <c r="F124" s="50">
        <v>40575</v>
      </c>
      <c r="G124" s="53">
        <v>95.4</v>
      </c>
      <c r="H124" s="53">
        <f t="shared" si="1"/>
        <v>2.2000000000000028</v>
      </c>
      <c r="P124" s="54"/>
      <c r="Q124" s="54"/>
      <c r="R124" s="54"/>
      <c r="S124" s="54"/>
      <c r="T124" s="54"/>
      <c r="U124" s="54"/>
    </row>
    <row r="125" spans="6:21" x14ac:dyDescent="0.3">
      <c r="F125" s="50">
        <v>40603</v>
      </c>
      <c r="G125" s="53">
        <v>104.4</v>
      </c>
      <c r="H125" s="53">
        <f t="shared" si="1"/>
        <v>9</v>
      </c>
      <c r="P125" s="54"/>
      <c r="Q125" s="54"/>
      <c r="R125" s="54"/>
      <c r="S125" s="54"/>
      <c r="T125" s="54"/>
      <c r="U125" s="54"/>
    </row>
    <row r="126" spans="6:21" x14ac:dyDescent="0.3">
      <c r="F126" s="50">
        <v>40634</v>
      </c>
      <c r="G126" s="53">
        <v>97.5</v>
      </c>
      <c r="H126" s="53">
        <f t="shared" si="1"/>
        <v>-6.9000000000000057</v>
      </c>
      <c r="P126" s="54"/>
      <c r="Q126" s="54"/>
      <c r="R126" s="54"/>
      <c r="S126" s="54"/>
      <c r="T126" s="54"/>
      <c r="U126" s="54"/>
    </row>
    <row r="127" spans="6:21" x14ac:dyDescent="0.3">
      <c r="F127" s="50">
        <v>40664</v>
      </c>
      <c r="G127" s="53">
        <v>107.1</v>
      </c>
      <c r="H127" s="53">
        <f t="shared" si="1"/>
        <v>9.5999999999999943</v>
      </c>
      <c r="P127" s="54"/>
      <c r="Q127" s="54"/>
      <c r="R127" s="54"/>
      <c r="S127" s="54"/>
      <c r="T127" s="54"/>
      <c r="U127" s="54"/>
    </row>
    <row r="128" spans="6:21" x14ac:dyDescent="0.3">
      <c r="F128" s="50">
        <v>40695</v>
      </c>
      <c r="G128" s="53">
        <v>102.8</v>
      </c>
      <c r="H128" s="53">
        <f t="shared" si="1"/>
        <v>-4.2999999999999972</v>
      </c>
      <c r="P128" s="54"/>
      <c r="Q128" s="54"/>
      <c r="R128" s="54"/>
      <c r="S128" s="54"/>
      <c r="T128" s="54"/>
      <c r="U128" s="54"/>
    </row>
    <row r="129" spans="6:21" x14ac:dyDescent="0.3">
      <c r="F129" s="50">
        <v>40725</v>
      </c>
      <c r="G129" s="53">
        <v>106.1</v>
      </c>
      <c r="H129" s="53">
        <f t="shared" si="1"/>
        <v>3.2999999999999972</v>
      </c>
      <c r="P129" s="54"/>
      <c r="Q129" s="54"/>
      <c r="R129" s="54"/>
      <c r="S129" s="54"/>
      <c r="T129" s="54"/>
      <c r="U129" s="54"/>
    </row>
    <row r="130" spans="6:21" x14ac:dyDescent="0.3">
      <c r="F130" s="50">
        <v>40756</v>
      </c>
      <c r="G130" s="53">
        <v>110.8</v>
      </c>
      <c r="H130" s="53">
        <f t="shared" si="1"/>
        <v>4.7000000000000028</v>
      </c>
      <c r="P130" s="54"/>
      <c r="Q130" s="54"/>
      <c r="R130" s="54"/>
      <c r="S130" s="54"/>
      <c r="T130" s="54"/>
      <c r="U130" s="54"/>
    </row>
    <row r="131" spans="6:21" x14ac:dyDescent="0.3">
      <c r="F131" s="50">
        <v>40787</v>
      </c>
      <c r="G131" s="53">
        <v>104.8</v>
      </c>
      <c r="H131" s="53">
        <f t="shared" si="1"/>
        <v>-6</v>
      </c>
      <c r="P131" s="54"/>
      <c r="Q131" s="54"/>
      <c r="R131" s="54"/>
      <c r="S131" s="54"/>
      <c r="T131" s="54"/>
      <c r="U131" s="54"/>
    </row>
    <row r="132" spans="6:21" x14ac:dyDescent="0.3">
      <c r="F132" s="50">
        <v>40817</v>
      </c>
      <c r="G132" s="53">
        <v>106.3</v>
      </c>
      <c r="H132" s="53">
        <f t="shared" si="1"/>
        <v>1.5</v>
      </c>
      <c r="P132" s="54"/>
      <c r="Q132" s="54"/>
      <c r="R132" s="54"/>
      <c r="S132" s="54"/>
      <c r="T132" s="54"/>
      <c r="U132" s="54"/>
    </row>
    <row r="133" spans="6:21" x14ac:dyDescent="0.3">
      <c r="F133" s="50">
        <v>40848</v>
      </c>
      <c r="G133" s="53">
        <v>104.2</v>
      </c>
      <c r="H133" s="53">
        <f t="shared" si="1"/>
        <v>-2.0999999999999943</v>
      </c>
      <c r="P133" s="54"/>
      <c r="Q133" s="54"/>
      <c r="R133" s="54"/>
      <c r="S133" s="54"/>
      <c r="T133" s="54"/>
      <c r="U133" s="54"/>
    </row>
    <row r="134" spans="6:21" x14ac:dyDescent="0.3">
      <c r="F134" s="50">
        <v>40878</v>
      </c>
      <c r="G134" s="53">
        <v>95.7</v>
      </c>
      <c r="H134" s="53">
        <f t="shared" si="1"/>
        <v>-8.5</v>
      </c>
      <c r="P134" s="54"/>
      <c r="Q134" s="54"/>
      <c r="R134" s="54"/>
      <c r="S134" s="54"/>
      <c r="T134" s="54"/>
      <c r="U134" s="54"/>
    </row>
    <row r="135" spans="6:21" x14ac:dyDescent="0.3">
      <c r="F135" s="50">
        <v>40909</v>
      </c>
      <c r="G135" s="53">
        <v>88.7</v>
      </c>
      <c r="H135" s="53">
        <f t="shared" si="1"/>
        <v>-7</v>
      </c>
      <c r="P135" s="54"/>
      <c r="Q135" s="54"/>
      <c r="R135" s="54"/>
      <c r="S135" s="54"/>
      <c r="T135" s="54"/>
      <c r="U135" s="54"/>
    </row>
    <row r="136" spans="6:21" x14ac:dyDescent="0.3">
      <c r="F136" s="50">
        <v>40940</v>
      </c>
      <c r="G136" s="53">
        <v>89.8</v>
      </c>
      <c r="H136" s="53">
        <f t="shared" si="1"/>
        <v>1.0999999999999943</v>
      </c>
      <c r="P136" s="54"/>
      <c r="Q136" s="54"/>
      <c r="R136" s="54"/>
      <c r="S136" s="54"/>
      <c r="T136" s="54"/>
      <c r="U136" s="54"/>
    </row>
    <row r="137" spans="6:21" x14ac:dyDescent="0.3">
      <c r="F137" s="50">
        <v>40969</v>
      </c>
      <c r="G137" s="53">
        <v>99.7</v>
      </c>
      <c r="H137" s="53">
        <f t="shared" si="1"/>
        <v>9.9000000000000057</v>
      </c>
      <c r="P137" s="54"/>
      <c r="Q137" s="54"/>
      <c r="R137" s="54"/>
      <c r="S137" s="54"/>
      <c r="T137" s="54"/>
      <c r="U137" s="54"/>
    </row>
    <row r="138" spans="6:21" x14ac:dyDescent="0.3">
      <c r="F138" s="50">
        <v>41000</v>
      </c>
      <c r="G138" s="53">
        <v>92.8</v>
      </c>
      <c r="H138" s="53">
        <f t="shared" si="1"/>
        <v>-6.9000000000000057</v>
      </c>
      <c r="P138" s="54"/>
      <c r="Q138" s="54"/>
      <c r="R138" s="54"/>
      <c r="S138" s="54"/>
      <c r="T138" s="54"/>
      <c r="U138" s="54"/>
    </row>
    <row r="139" spans="6:21" x14ac:dyDescent="0.3">
      <c r="F139" s="50">
        <v>41030</v>
      </c>
      <c r="G139" s="53">
        <v>102.5</v>
      </c>
      <c r="H139" s="53">
        <f t="shared" si="1"/>
        <v>9.7000000000000028</v>
      </c>
      <c r="P139" s="54"/>
      <c r="Q139" s="54"/>
      <c r="R139" s="54"/>
      <c r="S139" s="54"/>
      <c r="T139" s="54"/>
      <c r="U139" s="54"/>
    </row>
    <row r="140" spans="6:21" x14ac:dyDescent="0.3">
      <c r="F140" s="50">
        <v>41061</v>
      </c>
      <c r="G140" s="53">
        <v>98.3</v>
      </c>
      <c r="H140" s="53">
        <f t="shared" si="1"/>
        <v>-4.2000000000000028</v>
      </c>
      <c r="P140" s="54"/>
      <c r="Q140" s="54"/>
      <c r="R140" s="54"/>
      <c r="S140" s="54"/>
      <c r="T140" s="54"/>
      <c r="U140" s="54"/>
    </row>
    <row r="141" spans="6:21" x14ac:dyDescent="0.3">
      <c r="F141" s="50">
        <v>41091</v>
      </c>
      <c r="G141" s="53">
        <v>104.5</v>
      </c>
      <c r="H141" s="53">
        <f t="shared" si="1"/>
        <v>6.2000000000000028</v>
      </c>
      <c r="P141" s="54"/>
      <c r="Q141" s="54"/>
      <c r="R141" s="54"/>
      <c r="S141" s="54"/>
      <c r="T141" s="54"/>
      <c r="U141" s="54"/>
    </row>
    <row r="142" spans="6:21" x14ac:dyDescent="0.3">
      <c r="F142" s="50">
        <v>41122</v>
      </c>
      <c r="G142" s="53">
        <v>111.5</v>
      </c>
      <c r="H142" s="53">
        <f t="shared" si="1"/>
        <v>7</v>
      </c>
      <c r="P142" s="54"/>
      <c r="Q142" s="54"/>
      <c r="R142" s="54"/>
      <c r="S142" s="54"/>
      <c r="T142" s="54"/>
      <c r="U142" s="54"/>
    </row>
    <row r="143" spans="6:21" x14ac:dyDescent="0.3">
      <c r="F143" s="50">
        <v>41153</v>
      </c>
      <c r="G143" s="53">
        <v>103.4</v>
      </c>
      <c r="H143" s="53">
        <f t="shared" si="1"/>
        <v>-8.0999999999999943</v>
      </c>
      <c r="P143" s="54"/>
      <c r="Q143" s="54"/>
      <c r="R143" s="54"/>
      <c r="S143" s="54"/>
      <c r="T143" s="54"/>
      <c r="U143" s="54"/>
    </row>
    <row r="144" spans="6:21" x14ac:dyDescent="0.3">
      <c r="F144" s="50">
        <v>41183</v>
      </c>
      <c r="G144" s="53">
        <v>111.8</v>
      </c>
      <c r="H144" s="53">
        <f t="shared" si="1"/>
        <v>8.3999999999999915</v>
      </c>
      <c r="P144" s="54"/>
      <c r="Q144" s="54"/>
      <c r="R144" s="54"/>
      <c r="S144" s="54"/>
      <c r="T144" s="54"/>
      <c r="U144" s="54"/>
    </row>
    <row r="145" spans="6:21" x14ac:dyDescent="0.3">
      <c r="F145" s="50">
        <v>41214</v>
      </c>
      <c r="G145" s="53">
        <v>104.8</v>
      </c>
      <c r="H145" s="53">
        <f t="shared" ref="H145:H208" si="2">G145-G144</f>
        <v>-7</v>
      </c>
      <c r="P145" s="54"/>
      <c r="Q145" s="54"/>
      <c r="R145" s="54"/>
      <c r="S145" s="54"/>
      <c r="T145" s="54"/>
      <c r="U145" s="54"/>
    </row>
    <row r="146" spans="6:21" x14ac:dyDescent="0.3">
      <c r="F146" s="50">
        <v>41244</v>
      </c>
      <c r="G146" s="53">
        <v>92.2</v>
      </c>
      <c r="H146" s="53">
        <f t="shared" si="2"/>
        <v>-12.599999999999994</v>
      </c>
      <c r="P146" s="54"/>
      <c r="Q146" s="54"/>
      <c r="R146" s="54"/>
      <c r="S146" s="54"/>
      <c r="T146" s="54"/>
      <c r="U146" s="54"/>
    </row>
    <row r="147" spans="6:21" x14ac:dyDescent="0.3">
      <c r="F147" s="50">
        <v>41275</v>
      </c>
      <c r="G147" s="53">
        <v>94.5</v>
      </c>
      <c r="H147" s="53">
        <f t="shared" si="2"/>
        <v>2.2999999999999972</v>
      </c>
      <c r="P147" s="54"/>
      <c r="Q147" s="54"/>
      <c r="R147" s="54"/>
      <c r="S147" s="54"/>
      <c r="T147" s="54"/>
      <c r="U147" s="54"/>
    </row>
    <row r="148" spans="6:21" x14ac:dyDescent="0.3">
      <c r="F148" s="50">
        <v>41306</v>
      </c>
      <c r="G148" s="53">
        <v>88.1</v>
      </c>
      <c r="H148" s="53">
        <f t="shared" si="2"/>
        <v>-6.4000000000000057</v>
      </c>
      <c r="P148" s="54"/>
      <c r="Q148" s="54"/>
      <c r="R148" s="54"/>
      <c r="S148" s="54"/>
      <c r="T148" s="54"/>
      <c r="U148" s="54"/>
    </row>
    <row r="149" spans="6:21" x14ac:dyDescent="0.3">
      <c r="F149" s="50">
        <v>41334</v>
      </c>
      <c r="G149" s="53">
        <v>97.7</v>
      </c>
      <c r="H149" s="53">
        <f t="shared" si="2"/>
        <v>9.6000000000000085</v>
      </c>
      <c r="P149" s="54"/>
      <c r="Q149" s="54"/>
      <c r="R149" s="54"/>
      <c r="S149" s="54"/>
      <c r="T149" s="54"/>
      <c r="U149" s="54"/>
    </row>
    <row r="150" spans="6:21" x14ac:dyDescent="0.3">
      <c r="F150" s="50">
        <v>41365</v>
      </c>
      <c r="G150" s="53">
        <v>101.8</v>
      </c>
      <c r="H150" s="53">
        <f t="shared" si="2"/>
        <v>4.0999999999999943</v>
      </c>
      <c r="P150" s="54"/>
      <c r="Q150" s="54"/>
      <c r="R150" s="54"/>
      <c r="S150" s="54"/>
      <c r="T150" s="54"/>
      <c r="U150" s="54"/>
    </row>
    <row r="151" spans="6:21" x14ac:dyDescent="0.3">
      <c r="F151" s="50">
        <v>41395</v>
      </c>
      <c r="G151" s="53">
        <v>105</v>
      </c>
      <c r="H151" s="53">
        <f t="shared" si="2"/>
        <v>3.2000000000000028</v>
      </c>
      <c r="P151" s="54"/>
      <c r="Q151" s="54"/>
      <c r="R151" s="54"/>
      <c r="S151" s="54"/>
      <c r="T151" s="54"/>
      <c r="U151" s="54"/>
    </row>
    <row r="152" spans="6:21" x14ac:dyDescent="0.3">
      <c r="F152" s="50">
        <v>41426</v>
      </c>
      <c r="G152" s="53">
        <v>101.7</v>
      </c>
      <c r="H152" s="53">
        <f t="shared" si="2"/>
        <v>-3.2999999999999972</v>
      </c>
      <c r="P152" s="54"/>
      <c r="Q152" s="54"/>
      <c r="R152" s="54"/>
      <c r="S152" s="54"/>
      <c r="T152" s="54"/>
      <c r="U152" s="54"/>
    </row>
    <row r="153" spans="6:21" x14ac:dyDescent="0.3">
      <c r="F153" s="50">
        <v>41456</v>
      </c>
      <c r="G153" s="53">
        <v>108</v>
      </c>
      <c r="H153" s="53">
        <f t="shared" si="2"/>
        <v>6.2999999999999972</v>
      </c>
      <c r="P153" s="54"/>
      <c r="Q153" s="54"/>
      <c r="R153" s="54"/>
      <c r="S153" s="54"/>
      <c r="T153" s="54"/>
      <c r="U153" s="54"/>
    </row>
    <row r="154" spans="6:21" x14ac:dyDescent="0.3">
      <c r="F154" s="50">
        <v>41487</v>
      </c>
      <c r="G154" s="53">
        <v>112</v>
      </c>
      <c r="H154" s="53">
        <f t="shared" si="2"/>
        <v>4</v>
      </c>
      <c r="P154" s="54"/>
      <c r="Q154" s="54"/>
      <c r="R154" s="54"/>
      <c r="S154" s="54"/>
      <c r="T154" s="54"/>
      <c r="U154" s="54"/>
    </row>
    <row r="155" spans="6:21" x14ac:dyDescent="0.3">
      <c r="F155" s="50">
        <v>41518</v>
      </c>
      <c r="G155" s="53">
        <v>107.3</v>
      </c>
      <c r="H155" s="53">
        <f t="shared" si="2"/>
        <v>-4.7000000000000028</v>
      </c>
      <c r="P155" s="54"/>
      <c r="Q155" s="54"/>
      <c r="R155" s="54"/>
      <c r="S155" s="54"/>
      <c r="T155" s="54"/>
      <c r="U155" s="54"/>
    </row>
    <row r="156" spans="6:21" x14ac:dyDescent="0.3">
      <c r="F156" s="50">
        <v>41548</v>
      </c>
      <c r="G156" s="53">
        <v>112.6</v>
      </c>
      <c r="H156" s="53">
        <f t="shared" si="2"/>
        <v>5.2999999999999972</v>
      </c>
      <c r="P156" s="54"/>
      <c r="Q156" s="54"/>
      <c r="R156" s="54"/>
      <c r="S156" s="54"/>
      <c r="T156" s="54"/>
      <c r="U156" s="54"/>
    </row>
    <row r="157" spans="6:21" x14ac:dyDescent="0.3">
      <c r="F157" s="50">
        <v>41579</v>
      </c>
      <c r="G157" s="53">
        <v>106.1</v>
      </c>
      <c r="H157" s="53">
        <f t="shared" si="2"/>
        <v>-6.5</v>
      </c>
      <c r="P157" s="54"/>
      <c r="Q157" s="54"/>
      <c r="R157" s="54"/>
      <c r="S157" s="54"/>
      <c r="T157" s="54"/>
      <c r="U157" s="54"/>
    </row>
    <row r="158" spans="6:21" x14ac:dyDescent="0.3">
      <c r="F158" s="50">
        <v>41609</v>
      </c>
      <c r="G158" s="53">
        <v>90.1</v>
      </c>
      <c r="H158" s="53">
        <f t="shared" si="2"/>
        <v>-16</v>
      </c>
      <c r="P158" s="54"/>
      <c r="Q158" s="54"/>
      <c r="R158" s="54"/>
      <c r="S158" s="54"/>
      <c r="T158" s="54"/>
      <c r="U158" s="54"/>
    </row>
    <row r="159" spans="6:21" x14ac:dyDescent="0.3">
      <c r="F159" s="50">
        <v>41640</v>
      </c>
      <c r="G159" s="53">
        <v>92.6</v>
      </c>
      <c r="H159" s="53">
        <f t="shared" si="2"/>
        <v>2.5</v>
      </c>
      <c r="P159" s="54"/>
      <c r="Q159" s="54"/>
      <c r="R159" s="54"/>
      <c r="S159" s="54"/>
      <c r="T159" s="54"/>
      <c r="U159" s="54"/>
    </row>
    <row r="160" spans="6:21" x14ac:dyDescent="0.3">
      <c r="F160" s="50">
        <v>41671</v>
      </c>
      <c r="G160" s="53">
        <v>92.3</v>
      </c>
      <c r="H160" s="53">
        <f t="shared" si="2"/>
        <v>-0.29999999999999716</v>
      </c>
      <c r="P160" s="54"/>
      <c r="Q160" s="54"/>
      <c r="R160" s="54"/>
      <c r="S160" s="54"/>
      <c r="T160" s="54"/>
      <c r="U160" s="54"/>
    </row>
    <row r="161" spans="6:21" x14ac:dyDescent="0.3">
      <c r="F161" s="50">
        <v>41699</v>
      </c>
      <c r="G161" s="53">
        <v>97.3</v>
      </c>
      <c r="H161" s="53">
        <f t="shared" si="2"/>
        <v>5</v>
      </c>
      <c r="P161" s="54"/>
      <c r="Q161" s="54"/>
      <c r="R161" s="54"/>
      <c r="S161" s="54"/>
      <c r="T161" s="54"/>
      <c r="U161" s="54"/>
    </row>
    <row r="162" spans="6:21" x14ac:dyDescent="0.3">
      <c r="F162" s="50">
        <v>41730</v>
      </c>
      <c r="G162" s="53">
        <v>96</v>
      </c>
      <c r="H162" s="53">
        <f t="shared" si="2"/>
        <v>-1.2999999999999972</v>
      </c>
      <c r="P162" s="54"/>
      <c r="Q162" s="54"/>
      <c r="R162" s="54"/>
      <c r="S162" s="54"/>
      <c r="T162" s="54"/>
      <c r="U162" s="54"/>
    </row>
    <row r="163" spans="6:21" x14ac:dyDescent="0.3">
      <c r="F163" s="50">
        <v>41760</v>
      </c>
      <c r="G163" s="53">
        <v>101.7</v>
      </c>
      <c r="H163" s="53">
        <f t="shared" si="2"/>
        <v>5.7000000000000028</v>
      </c>
      <c r="P163" s="54"/>
      <c r="Q163" s="54"/>
      <c r="R163" s="54"/>
      <c r="S163" s="54"/>
      <c r="T163" s="54"/>
      <c r="U163" s="54"/>
    </row>
    <row r="164" spans="6:21" x14ac:dyDescent="0.3">
      <c r="F164" s="50">
        <v>41791</v>
      </c>
      <c r="G164" s="53">
        <v>94.9</v>
      </c>
      <c r="H164" s="53">
        <f t="shared" si="2"/>
        <v>-6.7999999999999972</v>
      </c>
      <c r="P164" s="54"/>
      <c r="Q164" s="54"/>
      <c r="R164" s="54"/>
      <c r="S164" s="54"/>
      <c r="T164" s="54"/>
      <c r="U164" s="54"/>
    </row>
    <row r="165" spans="6:21" x14ac:dyDescent="0.3">
      <c r="F165" s="50">
        <v>41821</v>
      </c>
      <c r="G165" s="53">
        <v>104.4</v>
      </c>
      <c r="H165" s="53">
        <f t="shared" si="2"/>
        <v>9.5</v>
      </c>
      <c r="P165" s="54"/>
      <c r="Q165" s="54"/>
      <c r="R165" s="54"/>
      <c r="S165" s="54"/>
      <c r="T165" s="54"/>
      <c r="U165" s="54"/>
    </row>
    <row r="166" spans="6:21" x14ac:dyDescent="0.3">
      <c r="F166" s="50">
        <v>41852</v>
      </c>
      <c r="G166" s="53">
        <v>106.3</v>
      </c>
      <c r="H166" s="53">
        <f t="shared" si="2"/>
        <v>1.8999999999999915</v>
      </c>
      <c r="P166" s="54"/>
      <c r="Q166" s="54"/>
      <c r="R166" s="54"/>
      <c r="S166" s="54"/>
      <c r="T166" s="54"/>
      <c r="U166" s="54"/>
    </row>
    <row r="167" spans="6:21" x14ac:dyDescent="0.3">
      <c r="F167" s="50">
        <v>41883</v>
      </c>
      <c r="G167" s="53">
        <v>105.6</v>
      </c>
      <c r="H167" s="53">
        <f t="shared" si="2"/>
        <v>-0.70000000000000284</v>
      </c>
      <c r="P167" s="54"/>
      <c r="Q167" s="54"/>
      <c r="R167" s="54"/>
      <c r="S167" s="54"/>
      <c r="T167" s="54"/>
      <c r="U167" s="54"/>
    </row>
    <row r="168" spans="6:21" x14ac:dyDescent="0.3">
      <c r="F168" s="50">
        <v>41913</v>
      </c>
      <c r="G168" s="53">
        <v>109.3</v>
      </c>
      <c r="H168" s="53">
        <f t="shared" si="2"/>
        <v>3.7000000000000028</v>
      </c>
      <c r="P168" s="54"/>
      <c r="Q168" s="54"/>
      <c r="R168" s="54"/>
      <c r="S168" s="54"/>
      <c r="T168" s="54"/>
      <c r="U168" s="54"/>
    </row>
    <row r="169" spans="6:21" x14ac:dyDescent="0.3">
      <c r="F169" s="50">
        <v>41944</v>
      </c>
      <c r="G169" s="53">
        <v>99.8</v>
      </c>
      <c r="H169" s="53">
        <f t="shared" si="2"/>
        <v>-9.5</v>
      </c>
      <c r="P169" s="54"/>
      <c r="Q169" s="54"/>
      <c r="R169" s="54"/>
      <c r="S169" s="54"/>
      <c r="T169" s="54"/>
      <c r="U169" s="54"/>
    </row>
    <row r="170" spans="6:21" x14ac:dyDescent="0.3">
      <c r="F170" s="50">
        <v>41974</v>
      </c>
      <c r="G170" s="53">
        <v>87.7</v>
      </c>
      <c r="H170" s="53">
        <f t="shared" si="2"/>
        <v>-12.099999999999994</v>
      </c>
      <c r="P170" s="54"/>
      <c r="Q170" s="54"/>
      <c r="R170" s="54"/>
      <c r="S170" s="54"/>
      <c r="T170" s="54"/>
      <c r="U170" s="54"/>
    </row>
    <row r="171" spans="6:21" x14ac:dyDescent="0.3">
      <c r="F171" s="50">
        <v>42005</v>
      </c>
      <c r="G171" s="53">
        <v>88.1</v>
      </c>
      <c r="H171" s="53">
        <f t="shared" si="2"/>
        <v>0.39999999999999147</v>
      </c>
      <c r="P171" s="54"/>
      <c r="Q171" s="54"/>
      <c r="R171" s="54"/>
      <c r="S171" s="54"/>
      <c r="T171" s="54"/>
      <c r="U171" s="54"/>
    </row>
    <row r="172" spans="6:21" x14ac:dyDescent="0.3">
      <c r="F172" s="50">
        <v>42036</v>
      </c>
      <c r="G172" s="53">
        <v>83.7</v>
      </c>
      <c r="H172" s="53">
        <f t="shared" si="2"/>
        <v>-4.3999999999999915</v>
      </c>
      <c r="P172" s="54"/>
      <c r="Q172" s="54"/>
      <c r="R172" s="54"/>
      <c r="S172" s="54"/>
      <c r="T172" s="54"/>
      <c r="U172" s="54"/>
    </row>
    <row r="173" spans="6:21" x14ac:dyDescent="0.3">
      <c r="F173" s="50">
        <v>42064</v>
      </c>
      <c r="G173" s="53">
        <v>94.3</v>
      </c>
      <c r="H173" s="53">
        <f t="shared" si="2"/>
        <v>10.599999999999994</v>
      </c>
      <c r="P173" s="54"/>
      <c r="Q173" s="54"/>
      <c r="R173" s="54"/>
      <c r="S173" s="54"/>
      <c r="T173" s="54"/>
      <c r="U173" s="54"/>
    </row>
    <row r="174" spans="6:21" x14ac:dyDescent="0.3">
      <c r="F174" s="50">
        <v>42095</v>
      </c>
      <c r="G174" s="53">
        <v>88.8</v>
      </c>
      <c r="H174" s="53">
        <f t="shared" si="2"/>
        <v>-5.5</v>
      </c>
      <c r="P174" s="54"/>
      <c r="Q174" s="54"/>
      <c r="R174" s="54"/>
      <c r="S174" s="54"/>
      <c r="T174" s="54"/>
      <c r="U174" s="54"/>
    </row>
    <row r="175" spans="6:21" x14ac:dyDescent="0.3">
      <c r="F175" s="50">
        <v>42125</v>
      </c>
      <c r="G175" s="53">
        <v>93.1</v>
      </c>
      <c r="H175" s="53">
        <f t="shared" si="2"/>
        <v>4.2999999999999972</v>
      </c>
      <c r="P175" s="54"/>
      <c r="Q175" s="54"/>
      <c r="R175" s="54"/>
      <c r="S175" s="54"/>
      <c r="T175" s="54"/>
      <c r="U175" s="54"/>
    </row>
    <row r="176" spans="6:21" x14ac:dyDescent="0.3">
      <c r="F176" s="50">
        <v>42156</v>
      </c>
      <c r="G176" s="53">
        <v>92.5</v>
      </c>
      <c r="H176" s="53">
        <f t="shared" si="2"/>
        <v>-0.59999999999999432</v>
      </c>
      <c r="P176" s="54"/>
      <c r="Q176" s="54"/>
      <c r="R176" s="54"/>
      <c r="S176" s="54"/>
      <c r="T176" s="54"/>
      <c r="U176" s="54"/>
    </row>
    <row r="177" spans="6:21" x14ac:dyDescent="0.3">
      <c r="F177" s="50">
        <v>42186</v>
      </c>
      <c r="G177" s="53">
        <v>95.5</v>
      </c>
      <c r="H177" s="53">
        <f t="shared" si="2"/>
        <v>3</v>
      </c>
      <c r="P177" s="54"/>
      <c r="Q177" s="54"/>
      <c r="R177" s="54"/>
      <c r="S177" s="54"/>
      <c r="T177" s="54"/>
      <c r="U177" s="54"/>
    </row>
    <row r="178" spans="6:21" x14ac:dyDescent="0.3">
      <c r="F178" s="50">
        <v>42217</v>
      </c>
      <c r="G178" s="53">
        <v>97.6</v>
      </c>
      <c r="H178" s="53">
        <f t="shared" si="2"/>
        <v>2.0999999999999943</v>
      </c>
      <c r="P178" s="54"/>
      <c r="Q178" s="54"/>
      <c r="R178" s="54"/>
      <c r="S178" s="54"/>
      <c r="T178" s="54"/>
      <c r="U178" s="54"/>
    </row>
    <row r="179" spans="6:21" x14ac:dyDescent="0.3">
      <c r="F179" s="50">
        <v>42248</v>
      </c>
      <c r="G179" s="53">
        <v>94.3</v>
      </c>
      <c r="H179" s="53">
        <f t="shared" si="2"/>
        <v>-3.2999999999999972</v>
      </c>
      <c r="P179" s="54"/>
      <c r="Q179" s="54"/>
      <c r="R179" s="54"/>
      <c r="S179" s="54"/>
      <c r="T179" s="54"/>
      <c r="U179" s="54"/>
    </row>
    <row r="180" spans="6:21" x14ac:dyDescent="0.3">
      <c r="F180" s="50">
        <v>42278</v>
      </c>
      <c r="G180" s="53">
        <v>97.2</v>
      </c>
      <c r="H180" s="53">
        <f t="shared" si="2"/>
        <v>2.9000000000000057</v>
      </c>
      <c r="P180" s="54"/>
      <c r="Q180" s="54"/>
      <c r="R180" s="54"/>
      <c r="S180" s="54"/>
      <c r="T180" s="54"/>
      <c r="U180" s="54"/>
    </row>
    <row r="181" spans="6:21" x14ac:dyDescent="0.3">
      <c r="F181" s="50">
        <v>42309</v>
      </c>
      <c r="G181" s="53">
        <v>87.6</v>
      </c>
      <c r="H181" s="53">
        <f t="shared" si="2"/>
        <v>-9.6000000000000085</v>
      </c>
      <c r="P181" s="54"/>
      <c r="Q181" s="54"/>
      <c r="R181" s="54"/>
      <c r="S181" s="54"/>
      <c r="T181" s="54"/>
      <c r="U181" s="54"/>
    </row>
    <row r="182" spans="6:21" x14ac:dyDescent="0.3">
      <c r="F182" s="50">
        <v>42339</v>
      </c>
      <c r="G182" s="53">
        <v>77.2</v>
      </c>
      <c r="H182" s="53">
        <f t="shared" si="2"/>
        <v>-10.399999999999991</v>
      </c>
      <c r="P182" s="54"/>
      <c r="Q182" s="54"/>
      <c r="R182" s="54"/>
      <c r="S182" s="54"/>
      <c r="T182" s="54"/>
      <c r="U182" s="54"/>
    </row>
    <row r="183" spans="6:21" x14ac:dyDescent="0.3">
      <c r="F183" s="50">
        <v>42370</v>
      </c>
      <c r="G183" s="53">
        <v>76.3</v>
      </c>
      <c r="H183" s="53">
        <f t="shared" si="2"/>
        <v>-0.90000000000000568</v>
      </c>
      <c r="P183" s="54"/>
      <c r="Q183" s="54"/>
      <c r="R183" s="54"/>
      <c r="S183" s="54"/>
      <c r="T183" s="54"/>
      <c r="U183" s="54"/>
    </row>
    <row r="184" spans="6:21" x14ac:dyDescent="0.3">
      <c r="F184" s="50">
        <v>42401</v>
      </c>
      <c r="G184" s="53">
        <v>75.8</v>
      </c>
      <c r="H184" s="53">
        <f t="shared" si="2"/>
        <v>-0.5</v>
      </c>
      <c r="P184" s="54"/>
      <c r="Q184" s="54"/>
      <c r="R184" s="54"/>
      <c r="S184" s="54"/>
      <c r="T184" s="54"/>
      <c r="U184" s="54"/>
    </row>
    <row r="185" spans="6:21" x14ac:dyDescent="0.3">
      <c r="F185" s="50">
        <v>42430</v>
      </c>
      <c r="G185" s="53">
        <v>83.7</v>
      </c>
      <c r="H185" s="53">
        <f t="shared" si="2"/>
        <v>7.9000000000000057</v>
      </c>
      <c r="P185" s="54"/>
      <c r="Q185" s="54"/>
      <c r="R185" s="54"/>
      <c r="S185" s="54"/>
      <c r="T185" s="54"/>
      <c r="U185" s="54"/>
    </row>
    <row r="186" spans="6:21" x14ac:dyDescent="0.3">
      <c r="F186" s="50">
        <v>42461</v>
      </c>
      <c r="G186" s="53">
        <v>83</v>
      </c>
      <c r="H186" s="53">
        <f t="shared" si="2"/>
        <v>-0.70000000000000284</v>
      </c>
      <c r="P186" s="54"/>
      <c r="Q186" s="54"/>
      <c r="R186" s="54"/>
      <c r="S186" s="54"/>
      <c r="T186" s="54"/>
      <c r="U186" s="54"/>
    </row>
    <row r="187" spans="6:21" x14ac:dyDescent="0.3">
      <c r="F187" s="50">
        <v>42491</v>
      </c>
      <c r="G187" s="53">
        <v>86.3</v>
      </c>
      <c r="H187" s="53">
        <f t="shared" si="2"/>
        <v>3.2999999999999972</v>
      </c>
      <c r="P187" s="54"/>
      <c r="Q187" s="54"/>
      <c r="R187" s="54"/>
      <c r="S187" s="54"/>
      <c r="T187" s="54"/>
      <c r="U187" s="54"/>
    </row>
    <row r="188" spans="6:21" x14ac:dyDescent="0.3">
      <c r="F188" s="50">
        <v>42522</v>
      </c>
      <c r="G188" s="53">
        <v>87.7</v>
      </c>
      <c r="H188" s="53">
        <f t="shared" si="2"/>
        <v>1.4000000000000057</v>
      </c>
      <c r="P188" s="54"/>
      <c r="Q188" s="54"/>
      <c r="R188" s="54"/>
      <c r="S188" s="54"/>
      <c r="T188" s="54"/>
      <c r="U188" s="54"/>
    </row>
    <row r="189" spans="6:21" x14ac:dyDescent="0.3">
      <c r="F189" s="50">
        <v>42552</v>
      </c>
      <c r="G189" s="53">
        <v>89.6</v>
      </c>
      <c r="H189" s="53">
        <f t="shared" si="2"/>
        <v>1.8999999999999915</v>
      </c>
      <c r="P189" s="54"/>
      <c r="Q189" s="54"/>
      <c r="R189" s="54"/>
      <c r="S189" s="54"/>
      <c r="T189" s="54"/>
      <c r="U189" s="54"/>
    </row>
    <row r="190" spans="6:21" x14ac:dyDescent="0.3">
      <c r="F190" s="50">
        <v>42583</v>
      </c>
      <c r="G190" s="53">
        <v>93</v>
      </c>
      <c r="H190" s="53">
        <f t="shared" si="2"/>
        <v>3.4000000000000057</v>
      </c>
      <c r="P190" s="54"/>
      <c r="Q190" s="54"/>
      <c r="R190" s="54"/>
      <c r="S190" s="54"/>
      <c r="T190" s="54"/>
      <c r="U190" s="54"/>
    </row>
    <row r="191" spans="6:21" x14ac:dyDescent="0.3">
      <c r="F191" s="50">
        <v>42614</v>
      </c>
      <c r="G191" s="53">
        <v>90.7</v>
      </c>
      <c r="H191" s="53">
        <f t="shared" si="2"/>
        <v>-2.2999999999999972</v>
      </c>
      <c r="P191" s="54"/>
      <c r="Q191" s="54"/>
      <c r="R191" s="54"/>
      <c r="S191" s="54"/>
      <c r="T191" s="54"/>
      <c r="U191" s="54"/>
    </row>
    <row r="192" spans="6:21" x14ac:dyDescent="0.3">
      <c r="F192" s="50">
        <v>42644</v>
      </c>
      <c r="G192" s="53">
        <v>90.2</v>
      </c>
      <c r="H192" s="53">
        <f t="shared" si="2"/>
        <v>-0.5</v>
      </c>
      <c r="P192" s="54"/>
      <c r="Q192" s="54"/>
      <c r="R192" s="54"/>
      <c r="S192" s="54"/>
      <c r="T192" s="54"/>
      <c r="U192" s="54"/>
    </row>
    <row r="193" spans="6:21" x14ac:dyDescent="0.3">
      <c r="F193" s="50">
        <v>42675</v>
      </c>
      <c r="G193" s="53">
        <v>86.5</v>
      </c>
      <c r="H193" s="53">
        <f t="shared" si="2"/>
        <v>-3.7000000000000028</v>
      </c>
      <c r="P193" s="54"/>
      <c r="Q193" s="54"/>
      <c r="R193" s="54"/>
      <c r="S193" s="54"/>
      <c r="T193" s="54"/>
      <c r="U193" s="54"/>
    </row>
    <row r="194" spans="6:21" x14ac:dyDescent="0.3">
      <c r="F194" s="50">
        <v>42705</v>
      </c>
      <c r="G194" s="53">
        <v>77.2</v>
      </c>
      <c r="H194" s="53">
        <f t="shared" si="2"/>
        <v>-9.2999999999999972</v>
      </c>
      <c r="P194" s="54"/>
      <c r="Q194" s="54"/>
      <c r="R194" s="54"/>
      <c r="S194" s="54"/>
      <c r="T194" s="54"/>
      <c r="U194" s="54"/>
    </row>
    <row r="195" spans="6:21" x14ac:dyDescent="0.3">
      <c r="F195" s="50">
        <v>42736</v>
      </c>
      <c r="G195" s="53">
        <v>77.900000000000006</v>
      </c>
      <c r="H195" s="53">
        <f t="shared" si="2"/>
        <v>0.70000000000000284</v>
      </c>
      <c r="P195" s="54"/>
      <c r="Q195" s="54"/>
      <c r="R195" s="54"/>
      <c r="S195" s="54"/>
      <c r="T195" s="54"/>
      <c r="U195" s="54"/>
    </row>
    <row r="196" spans="6:21" x14ac:dyDescent="0.3">
      <c r="F196" s="50">
        <v>42767</v>
      </c>
      <c r="G196" s="53">
        <v>75.900000000000006</v>
      </c>
      <c r="H196" s="53">
        <f t="shared" si="2"/>
        <v>-2</v>
      </c>
      <c r="P196" s="54"/>
      <c r="Q196" s="54"/>
      <c r="R196" s="54"/>
      <c r="S196" s="54"/>
      <c r="T196" s="54"/>
      <c r="U196" s="54"/>
    </row>
    <row r="197" spans="6:21" x14ac:dyDescent="0.3">
      <c r="F197" s="50">
        <v>42795</v>
      </c>
      <c r="G197" s="53">
        <v>85.4</v>
      </c>
      <c r="H197" s="53">
        <f t="shared" si="2"/>
        <v>9.5</v>
      </c>
      <c r="P197" s="54"/>
      <c r="Q197" s="54"/>
      <c r="R197" s="54"/>
      <c r="S197" s="54"/>
      <c r="T197" s="54"/>
      <c r="U197" s="54"/>
    </row>
    <row r="198" spans="6:21" x14ac:dyDescent="0.3">
      <c r="F198" s="50">
        <v>42826</v>
      </c>
      <c r="G198" s="53">
        <v>79.3</v>
      </c>
      <c r="H198" s="53">
        <f t="shared" si="2"/>
        <v>-6.1000000000000085</v>
      </c>
      <c r="P198" s="54"/>
      <c r="Q198" s="54"/>
      <c r="R198" s="54"/>
      <c r="S198" s="54"/>
      <c r="T198" s="54"/>
      <c r="U198" s="54"/>
    </row>
    <row r="199" spans="6:21" x14ac:dyDescent="0.3">
      <c r="F199" s="50">
        <v>42856</v>
      </c>
      <c r="G199" s="53">
        <v>90.1</v>
      </c>
      <c r="H199" s="53">
        <f t="shared" si="2"/>
        <v>10.799999999999997</v>
      </c>
      <c r="P199" s="54"/>
      <c r="Q199" s="54"/>
      <c r="R199" s="54"/>
      <c r="S199" s="54"/>
      <c r="T199" s="54"/>
      <c r="U199" s="54"/>
    </row>
    <row r="200" spans="6:21" x14ac:dyDescent="0.3">
      <c r="F200" s="50">
        <v>42887</v>
      </c>
      <c r="G200" s="53">
        <v>88.4</v>
      </c>
      <c r="H200" s="53">
        <f t="shared" si="2"/>
        <v>-1.6999999999999886</v>
      </c>
      <c r="P200" s="54"/>
      <c r="Q200" s="54"/>
      <c r="R200" s="54"/>
      <c r="S200" s="54"/>
      <c r="T200" s="54"/>
      <c r="U200" s="54"/>
    </row>
    <row r="201" spans="6:21" x14ac:dyDescent="0.3">
      <c r="F201" s="50">
        <v>42917</v>
      </c>
      <c r="G201" s="53">
        <v>92.1</v>
      </c>
      <c r="H201" s="53">
        <f t="shared" si="2"/>
        <v>3.6999999999999886</v>
      </c>
      <c r="P201" s="54"/>
      <c r="Q201" s="54"/>
      <c r="R201" s="54"/>
      <c r="S201" s="54"/>
      <c r="T201" s="54"/>
      <c r="U201" s="54"/>
    </row>
    <row r="202" spans="6:21" x14ac:dyDescent="0.3">
      <c r="F202" s="50">
        <v>42948</v>
      </c>
      <c r="G202" s="53">
        <v>96.7</v>
      </c>
      <c r="H202" s="53">
        <f t="shared" si="2"/>
        <v>4.6000000000000085</v>
      </c>
      <c r="P202" s="54"/>
      <c r="Q202" s="54"/>
      <c r="R202" s="54"/>
      <c r="S202" s="54"/>
      <c r="T202" s="54"/>
      <c r="U202" s="54"/>
    </row>
    <row r="203" spans="6:21" x14ac:dyDescent="0.3">
      <c r="F203" s="50">
        <v>42979</v>
      </c>
      <c r="G203" s="53">
        <v>93</v>
      </c>
      <c r="H203" s="53">
        <f t="shared" si="2"/>
        <v>-3.7000000000000028</v>
      </c>
      <c r="P203" s="54"/>
      <c r="Q203" s="54"/>
      <c r="R203" s="54"/>
      <c r="S203" s="54"/>
      <c r="T203" s="54"/>
      <c r="U203" s="54"/>
    </row>
    <row r="204" spans="6:21" x14ac:dyDescent="0.3">
      <c r="F204" s="50">
        <v>43009</v>
      </c>
      <c r="G204" s="53">
        <v>95.1</v>
      </c>
      <c r="H204" s="53">
        <f t="shared" si="2"/>
        <v>2.0999999999999943</v>
      </c>
      <c r="P204" s="54"/>
      <c r="Q204" s="54"/>
      <c r="R204" s="54"/>
      <c r="S204" s="54"/>
      <c r="T204" s="54"/>
      <c r="U204" s="54"/>
    </row>
    <row r="205" spans="6:21" x14ac:dyDescent="0.3">
      <c r="F205" s="50">
        <v>43040</v>
      </c>
      <c r="G205" s="53">
        <v>90.6</v>
      </c>
      <c r="H205" s="53">
        <f t="shared" si="2"/>
        <v>-4.5</v>
      </c>
      <c r="P205" s="54"/>
      <c r="Q205" s="54"/>
      <c r="R205" s="54"/>
      <c r="S205" s="54"/>
      <c r="T205" s="54"/>
      <c r="U205" s="54"/>
    </row>
    <row r="206" spans="6:21" x14ac:dyDescent="0.3">
      <c r="F206" s="50">
        <v>43070</v>
      </c>
      <c r="G206" s="53">
        <v>81</v>
      </c>
      <c r="H206" s="53">
        <f t="shared" si="2"/>
        <v>-9.5999999999999943</v>
      </c>
      <c r="P206" s="54"/>
      <c r="Q206" s="54"/>
      <c r="R206" s="54"/>
      <c r="S206" s="54"/>
      <c r="T206" s="54"/>
      <c r="U206" s="54"/>
    </row>
    <row r="207" spans="6:21" x14ac:dyDescent="0.3">
      <c r="F207" s="50">
        <v>43101</v>
      </c>
      <c r="G207" s="53">
        <v>82.3</v>
      </c>
      <c r="H207" s="53">
        <f t="shared" si="2"/>
        <v>1.2999999999999972</v>
      </c>
      <c r="P207" s="54"/>
      <c r="Q207" s="54"/>
      <c r="R207" s="54"/>
      <c r="S207" s="54"/>
      <c r="T207" s="54"/>
      <c r="U207" s="54"/>
    </row>
    <row r="208" spans="6:21" x14ac:dyDescent="0.3">
      <c r="F208" s="50">
        <v>43132</v>
      </c>
      <c r="G208" s="53">
        <v>77.3</v>
      </c>
      <c r="H208" s="53">
        <f t="shared" si="2"/>
        <v>-5</v>
      </c>
      <c r="P208" s="54"/>
      <c r="Q208" s="54"/>
      <c r="R208" s="54"/>
      <c r="S208" s="54"/>
      <c r="T208" s="54"/>
      <c r="U208" s="54"/>
    </row>
    <row r="209" spans="6:21" x14ac:dyDescent="0.3">
      <c r="F209" s="50">
        <v>43160</v>
      </c>
      <c r="G209" s="53">
        <v>86.2</v>
      </c>
      <c r="H209" s="53">
        <f t="shared" ref="H209:H254" si="3">G209-G208</f>
        <v>8.9000000000000057</v>
      </c>
      <c r="P209" s="54"/>
      <c r="Q209" s="54"/>
      <c r="R209" s="54"/>
      <c r="S209" s="54"/>
      <c r="T209" s="54"/>
      <c r="U209" s="54"/>
    </row>
    <row r="210" spans="6:21" x14ac:dyDescent="0.3">
      <c r="F210" s="50">
        <v>43191</v>
      </c>
      <c r="G210" s="53">
        <v>86.5</v>
      </c>
      <c r="H210" s="53">
        <f t="shared" si="3"/>
        <v>0.29999999999999716</v>
      </c>
      <c r="P210" s="54"/>
      <c r="Q210" s="54"/>
      <c r="R210" s="54"/>
      <c r="S210" s="54"/>
      <c r="T210" s="54"/>
      <c r="U210" s="54"/>
    </row>
    <row r="211" spans="6:21" x14ac:dyDescent="0.3">
      <c r="F211" s="50">
        <v>43221</v>
      </c>
      <c r="G211" s="53">
        <v>84.4</v>
      </c>
      <c r="H211" s="53">
        <f t="shared" si="3"/>
        <v>-2.0999999999999943</v>
      </c>
      <c r="P211" s="54"/>
      <c r="Q211" s="54"/>
      <c r="R211" s="54"/>
      <c r="S211" s="54"/>
      <c r="T211" s="54"/>
      <c r="U211" s="54"/>
    </row>
    <row r="212" spans="6:21" x14ac:dyDescent="0.3">
      <c r="F212" s="50">
        <v>43252</v>
      </c>
      <c r="G212" s="53">
        <v>91.1</v>
      </c>
      <c r="H212" s="53">
        <f t="shared" si="3"/>
        <v>6.6999999999999886</v>
      </c>
      <c r="P212" s="54"/>
      <c r="Q212" s="54"/>
      <c r="R212" s="54"/>
      <c r="S212" s="54"/>
      <c r="T212" s="54"/>
      <c r="U212" s="54"/>
    </row>
    <row r="213" spans="6:21" x14ac:dyDescent="0.3">
      <c r="F213" s="50">
        <v>43282</v>
      </c>
      <c r="G213" s="53">
        <v>95.8</v>
      </c>
      <c r="H213" s="53">
        <f t="shared" si="3"/>
        <v>4.7000000000000028</v>
      </c>
      <c r="P213" s="54"/>
      <c r="Q213" s="54"/>
      <c r="R213" s="54"/>
      <c r="S213" s="54"/>
      <c r="T213" s="54"/>
      <c r="U213" s="54"/>
    </row>
    <row r="214" spans="6:21" x14ac:dyDescent="0.3">
      <c r="F214" s="50">
        <v>43313</v>
      </c>
      <c r="G214" s="53">
        <v>98.2</v>
      </c>
      <c r="H214" s="53">
        <f t="shared" si="3"/>
        <v>2.4000000000000057</v>
      </c>
      <c r="P214" s="54"/>
      <c r="Q214" s="54"/>
      <c r="R214" s="54"/>
      <c r="S214" s="54"/>
      <c r="T214" s="54"/>
      <c r="U214" s="54"/>
    </row>
    <row r="215" spans="6:21" x14ac:dyDescent="0.3">
      <c r="F215" s="50">
        <v>43344</v>
      </c>
      <c r="G215" s="53">
        <v>90.7</v>
      </c>
      <c r="H215" s="53">
        <f t="shared" si="3"/>
        <v>-7.5</v>
      </c>
      <c r="P215" s="54"/>
      <c r="Q215" s="54"/>
      <c r="R215" s="54"/>
      <c r="S215" s="54"/>
      <c r="T215" s="54"/>
      <c r="U215" s="54"/>
    </row>
    <row r="216" spans="6:21" x14ac:dyDescent="0.3">
      <c r="F216" s="50">
        <v>43374</v>
      </c>
      <c r="G216" s="53">
        <v>95.8</v>
      </c>
      <c r="H216" s="53">
        <f t="shared" si="3"/>
        <v>5.0999999999999943</v>
      </c>
      <c r="P216" s="54"/>
      <c r="Q216" s="54"/>
      <c r="R216" s="54"/>
      <c r="S216" s="54"/>
      <c r="T216" s="54"/>
      <c r="U216" s="54"/>
    </row>
    <row r="217" spans="6:21" x14ac:dyDescent="0.3">
      <c r="F217" s="50">
        <v>43405</v>
      </c>
      <c r="G217" s="53">
        <v>89.5</v>
      </c>
      <c r="H217" s="53">
        <f t="shared" si="3"/>
        <v>-6.2999999999999972</v>
      </c>
      <c r="P217" s="54"/>
      <c r="Q217" s="54"/>
      <c r="R217" s="54"/>
      <c r="S217" s="54"/>
      <c r="T217" s="54"/>
      <c r="U217" s="54"/>
    </row>
    <row r="218" spans="6:21" x14ac:dyDescent="0.3">
      <c r="F218" s="50">
        <v>43435</v>
      </c>
      <c r="G218" s="53">
        <v>78</v>
      </c>
      <c r="H218" s="53">
        <f t="shared" si="3"/>
        <v>-11.5</v>
      </c>
      <c r="P218" s="54"/>
      <c r="Q218" s="54"/>
      <c r="R218" s="54"/>
      <c r="S218" s="54"/>
      <c r="T218" s="54"/>
      <c r="U218" s="54"/>
    </row>
    <row r="219" spans="6:21" x14ac:dyDescent="0.3">
      <c r="F219" s="50">
        <v>43466</v>
      </c>
      <c r="G219" s="53">
        <v>80.7</v>
      </c>
      <c r="H219" s="53">
        <f t="shared" si="3"/>
        <v>2.7000000000000028</v>
      </c>
      <c r="P219" s="54"/>
      <c r="Q219" s="54"/>
      <c r="R219" s="54"/>
      <c r="S219" s="54"/>
      <c r="T219" s="54"/>
      <c r="U219" s="54"/>
    </row>
    <row r="220" spans="6:21" x14ac:dyDescent="0.3">
      <c r="F220" s="50">
        <v>43497</v>
      </c>
      <c r="G220" s="53">
        <v>79.099999999999994</v>
      </c>
      <c r="H220" s="53">
        <f t="shared" si="3"/>
        <v>-1.6000000000000085</v>
      </c>
      <c r="P220" s="54"/>
      <c r="Q220" s="54"/>
      <c r="R220" s="54"/>
      <c r="S220" s="54"/>
      <c r="T220" s="54"/>
      <c r="U220" s="54"/>
    </row>
    <row r="221" spans="6:21" x14ac:dyDescent="0.3">
      <c r="F221" s="50">
        <v>43525</v>
      </c>
      <c r="G221" s="53">
        <v>81</v>
      </c>
      <c r="H221" s="53">
        <f t="shared" si="3"/>
        <v>1.9000000000000057</v>
      </c>
      <c r="P221" s="54"/>
      <c r="Q221" s="54"/>
      <c r="R221" s="54"/>
      <c r="S221" s="54"/>
      <c r="T221" s="54"/>
      <c r="U221" s="54"/>
    </row>
    <row r="222" spans="6:21" x14ac:dyDescent="0.3">
      <c r="F222" s="50">
        <v>43556</v>
      </c>
      <c r="G222" s="53">
        <v>83.3</v>
      </c>
      <c r="H222" s="53">
        <f t="shared" si="3"/>
        <v>2.2999999999999972</v>
      </c>
      <c r="P222" s="54"/>
      <c r="Q222" s="54"/>
      <c r="R222" s="54"/>
      <c r="S222" s="54"/>
      <c r="T222" s="54"/>
      <c r="U222" s="54"/>
    </row>
    <row r="223" spans="6:21" x14ac:dyDescent="0.3">
      <c r="F223" s="50">
        <v>43586</v>
      </c>
      <c r="G223" s="53">
        <v>91</v>
      </c>
      <c r="H223" s="53">
        <f t="shared" si="3"/>
        <v>7.7000000000000028</v>
      </c>
      <c r="P223" s="54"/>
      <c r="Q223" s="54"/>
      <c r="R223" s="54"/>
      <c r="S223" s="54"/>
      <c r="T223" s="54"/>
      <c r="U223" s="54"/>
    </row>
    <row r="224" spans="6:21" x14ac:dyDescent="0.3">
      <c r="F224" s="50">
        <v>43617</v>
      </c>
      <c r="G224" s="53">
        <v>85.8</v>
      </c>
      <c r="H224" s="53">
        <f t="shared" si="3"/>
        <v>-5.2000000000000028</v>
      </c>
      <c r="P224" s="54"/>
      <c r="Q224" s="54"/>
      <c r="R224" s="54"/>
      <c r="S224" s="54"/>
      <c r="T224" s="54"/>
      <c r="U224" s="54"/>
    </row>
    <row r="225" spans="6:21" x14ac:dyDescent="0.3">
      <c r="F225" s="50">
        <v>43647</v>
      </c>
      <c r="G225" s="53">
        <v>93.4</v>
      </c>
      <c r="H225" s="53">
        <f t="shared" si="3"/>
        <v>7.6000000000000085</v>
      </c>
      <c r="P225" s="54"/>
      <c r="Q225" s="54"/>
      <c r="R225" s="54"/>
      <c r="S225" s="54"/>
      <c r="T225" s="54"/>
      <c r="U225" s="54"/>
    </row>
    <row r="226" spans="6:21" x14ac:dyDescent="0.3">
      <c r="F226" s="50">
        <v>43678</v>
      </c>
      <c r="G226" s="53">
        <v>96.2</v>
      </c>
      <c r="H226" s="53">
        <f t="shared" si="3"/>
        <v>2.7999999999999972</v>
      </c>
      <c r="P226" s="54"/>
      <c r="Q226" s="54"/>
      <c r="R226" s="54"/>
      <c r="S226" s="54"/>
      <c r="T226" s="54"/>
      <c r="U226" s="54"/>
    </row>
    <row r="227" spans="6:21" x14ac:dyDescent="0.3">
      <c r="F227" s="50">
        <v>43709</v>
      </c>
      <c r="G227" s="53">
        <v>91.8</v>
      </c>
      <c r="H227" s="53">
        <f t="shared" si="3"/>
        <v>-4.4000000000000057</v>
      </c>
      <c r="P227" s="54"/>
      <c r="Q227" s="54"/>
      <c r="R227" s="54"/>
      <c r="S227" s="54"/>
      <c r="T227" s="54"/>
      <c r="U227" s="54"/>
    </row>
    <row r="228" spans="6:21" x14ac:dyDescent="0.3">
      <c r="F228" s="50">
        <v>43739</v>
      </c>
      <c r="G228" s="53">
        <v>97</v>
      </c>
      <c r="H228" s="53">
        <f t="shared" si="3"/>
        <v>5.2000000000000028</v>
      </c>
      <c r="P228" s="54"/>
      <c r="Q228" s="54"/>
      <c r="R228" s="54"/>
      <c r="S228" s="54"/>
      <c r="T228" s="54"/>
      <c r="U228" s="54"/>
    </row>
    <row r="229" spans="6:21" x14ac:dyDescent="0.3">
      <c r="F229" s="50">
        <v>43770</v>
      </c>
      <c r="G229" s="53">
        <v>88</v>
      </c>
      <c r="H229" s="53">
        <f t="shared" si="3"/>
        <v>-9</v>
      </c>
      <c r="P229" s="54"/>
      <c r="Q229" s="54"/>
      <c r="R229" s="54"/>
      <c r="S229" s="54"/>
      <c r="T229" s="54"/>
      <c r="U229" s="54"/>
    </row>
    <row r="230" spans="6:21" x14ac:dyDescent="0.3">
      <c r="F230" s="50">
        <v>43800</v>
      </c>
      <c r="G230" s="53">
        <v>76.900000000000006</v>
      </c>
      <c r="H230" s="53">
        <f t="shared" si="3"/>
        <v>-11.099999999999994</v>
      </c>
      <c r="P230" s="54"/>
      <c r="Q230" s="54"/>
      <c r="R230" s="54"/>
      <c r="S230" s="54"/>
      <c r="T230" s="54"/>
      <c r="U230" s="54"/>
    </row>
    <row r="231" spans="6:21" x14ac:dyDescent="0.3">
      <c r="F231" s="50">
        <v>43831</v>
      </c>
      <c r="G231" s="53">
        <v>80</v>
      </c>
      <c r="H231" s="53">
        <f t="shared" si="3"/>
        <v>3.0999999999999943</v>
      </c>
      <c r="P231" s="54"/>
      <c r="Q231" s="54"/>
      <c r="R231" s="54"/>
      <c r="S231" s="54"/>
      <c r="T231" s="54"/>
      <c r="U231" s="54"/>
    </row>
    <row r="232" spans="6:21" x14ac:dyDescent="0.3">
      <c r="F232" s="50">
        <v>43862</v>
      </c>
      <c r="G232" s="53">
        <v>78.900000000000006</v>
      </c>
      <c r="H232" s="53">
        <f t="shared" si="3"/>
        <v>-1.0999999999999943</v>
      </c>
      <c r="P232" s="54"/>
      <c r="Q232" s="54"/>
      <c r="R232" s="54"/>
      <c r="S232" s="54"/>
      <c r="T232" s="54"/>
      <c r="U232" s="54"/>
    </row>
    <row r="233" spans="6:21" x14ac:dyDescent="0.3">
      <c r="F233" s="50">
        <v>43891</v>
      </c>
      <c r="G233" s="53">
        <v>77.900000000000006</v>
      </c>
      <c r="H233" s="53">
        <f t="shared" si="3"/>
        <v>-1</v>
      </c>
      <c r="P233" s="54"/>
      <c r="Q233" s="54"/>
      <c r="R233" s="54"/>
      <c r="S233" s="54"/>
      <c r="T233" s="54"/>
      <c r="U233" s="54"/>
    </row>
    <row r="234" spans="6:21" x14ac:dyDescent="0.3">
      <c r="F234" s="50">
        <v>43922</v>
      </c>
      <c r="G234" s="53">
        <v>60.3</v>
      </c>
      <c r="H234" s="53">
        <f t="shared" si="3"/>
        <v>-17.600000000000009</v>
      </c>
      <c r="P234" s="54"/>
      <c r="Q234" s="54"/>
      <c r="R234" s="54"/>
      <c r="S234" s="54"/>
      <c r="T234" s="54"/>
      <c r="U234" s="54"/>
    </row>
    <row r="235" spans="6:21" x14ac:dyDescent="0.3">
      <c r="F235" s="50">
        <v>43952</v>
      </c>
      <c r="G235" s="53">
        <v>71.2</v>
      </c>
      <c r="H235" s="53">
        <f t="shared" si="3"/>
        <v>10.900000000000006</v>
      </c>
      <c r="P235" s="54"/>
      <c r="Q235" s="54"/>
      <c r="R235" s="54"/>
      <c r="S235" s="54"/>
      <c r="T235" s="54"/>
      <c r="U235" s="54"/>
    </row>
    <row r="236" spans="6:21" x14ac:dyDescent="0.3">
      <c r="F236" s="50">
        <v>43983</v>
      </c>
      <c r="G236" s="53">
        <v>78.400000000000006</v>
      </c>
      <c r="H236" s="53">
        <f t="shared" si="3"/>
        <v>7.2000000000000028</v>
      </c>
      <c r="P236" s="54"/>
      <c r="Q236" s="54"/>
      <c r="R236" s="54"/>
      <c r="S236" s="54"/>
      <c r="T236" s="54"/>
      <c r="U236" s="54"/>
    </row>
    <row r="237" spans="6:21" x14ac:dyDescent="0.3">
      <c r="F237" s="50">
        <v>44013</v>
      </c>
      <c r="G237" s="53">
        <v>91</v>
      </c>
      <c r="H237" s="53">
        <f t="shared" si="3"/>
        <v>12.599999999999994</v>
      </c>
      <c r="P237" s="54"/>
      <c r="Q237" s="54"/>
      <c r="R237" s="54"/>
      <c r="S237" s="54"/>
      <c r="T237" s="54"/>
      <c r="U237" s="54"/>
    </row>
    <row r="238" spans="6:21" x14ac:dyDescent="0.3">
      <c r="F238" s="50">
        <v>44044</v>
      </c>
      <c r="G238" s="53">
        <v>93.9</v>
      </c>
      <c r="H238" s="53">
        <f t="shared" si="3"/>
        <v>2.9000000000000057</v>
      </c>
      <c r="P238" s="54"/>
      <c r="Q238" s="54"/>
      <c r="R238" s="54"/>
      <c r="S238" s="54"/>
      <c r="T238" s="54"/>
      <c r="U238" s="54"/>
    </row>
    <row r="239" spans="6:21" x14ac:dyDescent="0.3">
      <c r="F239" s="50">
        <v>44075</v>
      </c>
      <c r="G239" s="53">
        <v>95.4</v>
      </c>
      <c r="H239" s="53">
        <f t="shared" si="3"/>
        <v>1.5</v>
      </c>
      <c r="P239" s="54"/>
      <c r="Q239" s="54"/>
      <c r="R239" s="54"/>
      <c r="S239" s="54"/>
      <c r="T239" s="54"/>
      <c r="U239" s="54"/>
    </row>
    <row r="240" spans="6:21" x14ac:dyDescent="0.3">
      <c r="F240" s="50">
        <v>44105</v>
      </c>
      <c r="G240" s="53">
        <v>97.3</v>
      </c>
      <c r="H240" s="53">
        <f t="shared" si="3"/>
        <v>1.8999999999999915</v>
      </c>
      <c r="P240" s="54"/>
      <c r="Q240" s="54"/>
      <c r="R240" s="54"/>
      <c r="S240" s="54"/>
      <c r="T240" s="54"/>
      <c r="U240" s="54"/>
    </row>
    <row r="241" spans="6:21" x14ac:dyDescent="0.3">
      <c r="F241" s="50">
        <v>44136</v>
      </c>
      <c r="G241" s="53">
        <v>90.2</v>
      </c>
      <c r="H241" s="53">
        <f t="shared" si="3"/>
        <v>-7.0999999999999943</v>
      </c>
      <c r="P241" s="54"/>
      <c r="Q241" s="54"/>
      <c r="R241" s="54"/>
      <c r="S241" s="54"/>
      <c r="T241" s="54"/>
      <c r="U241" s="54"/>
    </row>
    <row r="242" spans="6:21" x14ac:dyDescent="0.3">
      <c r="F242" s="50">
        <v>44166</v>
      </c>
      <c r="G242" s="53">
        <v>83.3</v>
      </c>
      <c r="H242" s="53">
        <f t="shared" si="3"/>
        <v>-6.9000000000000057</v>
      </c>
      <c r="P242" s="54"/>
      <c r="Q242" s="54"/>
      <c r="R242" s="54"/>
      <c r="S242" s="54"/>
      <c r="T242" s="54"/>
      <c r="U242" s="54"/>
    </row>
    <row r="243" spans="6:21" x14ac:dyDescent="0.3">
      <c r="F243" s="50">
        <v>44197</v>
      </c>
      <c r="G243" s="53">
        <v>81.900000000000006</v>
      </c>
      <c r="H243" s="53">
        <f t="shared" si="3"/>
        <v>-1.3999999999999915</v>
      </c>
      <c r="P243" s="54"/>
      <c r="Q243" s="54"/>
      <c r="R243" s="54"/>
      <c r="S243" s="54"/>
      <c r="T243" s="54"/>
      <c r="U243" s="54"/>
    </row>
    <row r="244" spans="6:21" x14ac:dyDescent="0.3">
      <c r="F244" s="50">
        <v>44228</v>
      </c>
      <c r="G244" s="53">
        <v>79.099999999999994</v>
      </c>
      <c r="H244" s="53">
        <f t="shared" si="3"/>
        <v>-2.8000000000000114</v>
      </c>
      <c r="P244" s="54"/>
      <c r="Q244" s="54"/>
      <c r="R244" s="54"/>
      <c r="S244" s="54"/>
      <c r="T244" s="54"/>
      <c r="U244" s="54"/>
    </row>
    <row r="245" spans="6:21" x14ac:dyDescent="0.3">
      <c r="F245" s="50">
        <v>44256</v>
      </c>
      <c r="G245" s="53">
        <v>86.1</v>
      </c>
      <c r="H245" s="53">
        <f t="shared" si="3"/>
        <v>7</v>
      </c>
      <c r="P245" s="54"/>
      <c r="Q245" s="54"/>
      <c r="R245" s="54"/>
      <c r="S245" s="54"/>
      <c r="T245" s="54"/>
      <c r="U245" s="54"/>
    </row>
    <row r="246" spans="6:21" x14ac:dyDescent="0.3">
      <c r="F246" s="50">
        <v>44287</v>
      </c>
      <c r="G246" s="53">
        <v>81.3</v>
      </c>
      <c r="H246" s="53">
        <f t="shared" si="3"/>
        <v>-4.7999999999999972</v>
      </c>
      <c r="P246" s="54"/>
      <c r="Q246" s="54"/>
      <c r="R246" s="54"/>
      <c r="S246" s="54"/>
      <c r="T246" s="54"/>
      <c r="U246" s="54"/>
    </row>
    <row r="247" spans="6:21" x14ac:dyDescent="0.3">
      <c r="F247" s="50">
        <v>44317</v>
      </c>
      <c r="G247" s="53">
        <v>88.4</v>
      </c>
      <c r="H247" s="53">
        <f t="shared" si="3"/>
        <v>7.1000000000000085</v>
      </c>
      <c r="P247" s="54"/>
      <c r="Q247" s="54"/>
      <c r="R247" s="54"/>
      <c r="S247" s="54"/>
      <c r="T247" s="54"/>
      <c r="U247" s="54"/>
    </row>
    <row r="248" spans="6:21" x14ac:dyDescent="0.3">
      <c r="F248" s="50">
        <v>44348</v>
      </c>
      <c r="G248" s="53">
        <v>87.9</v>
      </c>
      <c r="H248" s="53">
        <f t="shared" si="3"/>
        <v>-0.5</v>
      </c>
      <c r="P248" s="54"/>
      <c r="Q248" s="54"/>
      <c r="R248" s="54"/>
      <c r="S248" s="54"/>
      <c r="T248" s="54"/>
      <c r="U248" s="54"/>
    </row>
    <row r="249" spans="6:21" x14ac:dyDescent="0.3">
      <c r="F249" s="50">
        <v>44378</v>
      </c>
      <c r="G249" s="53">
        <v>92.2</v>
      </c>
      <c r="H249" s="53">
        <f t="shared" si="3"/>
        <v>4.2999999999999972</v>
      </c>
      <c r="P249" s="54"/>
      <c r="Q249" s="54"/>
      <c r="R249" s="54"/>
      <c r="S249" s="54"/>
      <c r="T249" s="54"/>
      <c r="U249" s="54"/>
    </row>
    <row r="250" spans="6:21" x14ac:dyDescent="0.3">
      <c r="F250" s="50">
        <v>44409</v>
      </c>
      <c r="G250" s="53">
        <v>93.4</v>
      </c>
      <c r="H250" s="53">
        <f t="shared" si="3"/>
        <v>1.2000000000000028</v>
      </c>
      <c r="P250" s="54"/>
      <c r="Q250" s="54"/>
      <c r="R250" s="54"/>
      <c r="S250" s="54"/>
      <c r="T250" s="54"/>
      <c r="U250" s="54"/>
    </row>
    <row r="251" spans="6:21" x14ac:dyDescent="0.3">
      <c r="F251" s="50">
        <v>44440</v>
      </c>
      <c r="G251" s="53">
        <v>91.5</v>
      </c>
      <c r="H251" s="53">
        <f t="shared" si="3"/>
        <v>-1.9000000000000057</v>
      </c>
      <c r="P251" s="54"/>
      <c r="Q251" s="54"/>
      <c r="R251" s="54"/>
      <c r="S251" s="54"/>
      <c r="T251" s="54"/>
      <c r="U251" s="54"/>
    </row>
    <row r="252" spans="6:21" x14ac:dyDescent="0.3">
      <c r="F252" s="50">
        <v>44470</v>
      </c>
      <c r="G252" s="53">
        <v>89.7</v>
      </c>
      <c r="H252" s="53">
        <f t="shared" si="3"/>
        <v>-1.7999999999999972</v>
      </c>
      <c r="P252" s="54"/>
      <c r="Q252" s="54"/>
      <c r="R252" s="54"/>
      <c r="S252" s="54"/>
      <c r="T252" s="54"/>
      <c r="U252" s="54"/>
    </row>
    <row r="253" spans="6:21" x14ac:dyDescent="0.3">
      <c r="F253" s="50">
        <v>44501</v>
      </c>
      <c r="G253" s="53">
        <v>86.3</v>
      </c>
      <c r="H253" s="53">
        <f t="shared" si="3"/>
        <v>-3.4000000000000057</v>
      </c>
      <c r="P253" s="54"/>
      <c r="Q253" s="54"/>
      <c r="R253" s="54"/>
      <c r="S253" s="54"/>
      <c r="T253" s="54"/>
      <c r="U253" s="54"/>
    </row>
    <row r="254" spans="6:21" x14ac:dyDescent="0.3">
      <c r="F254" s="50">
        <v>44531</v>
      </c>
      <c r="G254" s="53">
        <v>79.2</v>
      </c>
      <c r="H254" s="53">
        <f t="shared" si="3"/>
        <v>-7.0999999999999943</v>
      </c>
      <c r="P254" s="54"/>
      <c r="Q254" s="54"/>
      <c r="R254" s="54"/>
      <c r="S254" s="54"/>
      <c r="T254" s="54"/>
      <c r="U254" s="54"/>
    </row>
    <row r="255" spans="6:21" x14ac:dyDescent="0.3">
      <c r="P255" s="27"/>
      <c r="Q255" s="27"/>
      <c r="R255" s="27"/>
      <c r="S255" s="27"/>
      <c r="T255" s="27"/>
      <c r="U255" s="27"/>
    </row>
    <row r="256" spans="6:21" x14ac:dyDescent="0.3">
      <c r="P256" s="27"/>
      <c r="Q256" s="27"/>
      <c r="R256" s="27"/>
      <c r="S256" s="27"/>
      <c r="T256" s="27"/>
      <c r="U256" s="27"/>
    </row>
    <row r="257" spans="16:21" x14ac:dyDescent="0.3">
      <c r="P257" s="27"/>
      <c r="Q257" s="27"/>
      <c r="R257" s="27"/>
      <c r="S257" s="27"/>
      <c r="T257" s="27"/>
      <c r="U257" s="27"/>
    </row>
    <row r="258" spans="16:21" x14ac:dyDescent="0.3">
      <c r="P258" s="27"/>
      <c r="Q258" s="27"/>
      <c r="R258" s="27"/>
      <c r="S258" s="27"/>
      <c r="T258" s="27"/>
      <c r="U258" s="27"/>
    </row>
    <row r="259" spans="16:21" x14ac:dyDescent="0.3">
      <c r="P259" s="27"/>
      <c r="Q259" s="27"/>
      <c r="R259" s="27"/>
      <c r="S259" s="27"/>
      <c r="T259" s="27"/>
      <c r="U259" s="27"/>
    </row>
    <row r="260" spans="16:21" x14ac:dyDescent="0.3">
      <c r="P260" s="27"/>
      <c r="Q260" s="27"/>
      <c r="R260" s="27"/>
      <c r="S260" s="27"/>
      <c r="T260" s="27"/>
      <c r="U260" s="27"/>
    </row>
    <row r="261" spans="16:21" x14ac:dyDescent="0.3">
      <c r="P261" s="27"/>
      <c r="Q261" s="27"/>
      <c r="R261" s="27"/>
      <c r="S261" s="27"/>
      <c r="T261" s="27"/>
      <c r="U261" s="27"/>
    </row>
    <row r="262" spans="16:21" x14ac:dyDescent="0.3">
      <c r="P262" s="27"/>
      <c r="Q262" s="27"/>
      <c r="R262" s="27"/>
      <c r="S262" s="27"/>
      <c r="T262" s="27"/>
      <c r="U262" s="27"/>
    </row>
    <row r="263" spans="16:21" x14ac:dyDescent="0.3">
      <c r="P263" s="27"/>
      <c r="Q263" s="27"/>
      <c r="R263" s="27"/>
      <c r="S263" s="27"/>
      <c r="T263" s="27"/>
      <c r="U263" s="27"/>
    </row>
    <row r="264" spans="16:21" x14ac:dyDescent="0.3">
      <c r="P264" s="27"/>
      <c r="Q264" s="27"/>
      <c r="R264" s="27"/>
      <c r="S264" s="27"/>
      <c r="T264" s="27"/>
      <c r="U264" s="27"/>
    </row>
    <row r="265" spans="16:21" x14ac:dyDescent="0.3">
      <c r="P265" s="27"/>
      <c r="Q265" s="27"/>
      <c r="R265" s="27"/>
      <c r="S265" s="27"/>
      <c r="T265" s="27"/>
      <c r="U265" s="27"/>
    </row>
    <row r="266" spans="16:21" x14ac:dyDescent="0.3">
      <c r="P266" s="27"/>
      <c r="Q266" s="27"/>
      <c r="R266" s="27"/>
      <c r="S266" s="27"/>
      <c r="T266" s="27"/>
      <c r="U266" s="27"/>
    </row>
    <row r="267" spans="16:21" x14ac:dyDescent="0.3">
      <c r="P267" s="27"/>
      <c r="Q267" s="27"/>
      <c r="R267" s="27"/>
      <c r="S267" s="27"/>
      <c r="T267" s="27"/>
      <c r="U267" s="27"/>
    </row>
    <row r="268" spans="16:21" x14ac:dyDescent="0.3">
      <c r="P268" s="27"/>
      <c r="Q268" s="27"/>
      <c r="R268" s="27"/>
      <c r="S268" s="27"/>
      <c r="T268" s="27"/>
      <c r="U268" s="27"/>
    </row>
    <row r="269" spans="16:21" x14ac:dyDescent="0.3">
      <c r="P269" s="27"/>
      <c r="Q269" s="27"/>
      <c r="R269" s="27"/>
      <c r="S269" s="27"/>
      <c r="T269" s="27"/>
      <c r="U269" s="27"/>
    </row>
    <row r="270" spans="16:21" x14ac:dyDescent="0.3">
      <c r="P270" s="27"/>
      <c r="Q270" s="27"/>
      <c r="R270" s="27"/>
      <c r="S270" s="27"/>
      <c r="T270" s="27"/>
      <c r="U270" s="27"/>
    </row>
    <row r="271" spans="16:21" x14ac:dyDescent="0.3">
      <c r="P271" s="27"/>
      <c r="Q271" s="27"/>
      <c r="R271" s="27"/>
      <c r="S271" s="27"/>
      <c r="T271" s="27"/>
      <c r="U271" s="27"/>
    </row>
    <row r="272" spans="16:21" x14ac:dyDescent="0.3">
      <c r="P272" s="27"/>
      <c r="Q272" s="27"/>
      <c r="R272" s="27"/>
      <c r="S272" s="27"/>
      <c r="T272" s="27"/>
      <c r="U272" s="27"/>
    </row>
    <row r="273" spans="16:21" x14ac:dyDescent="0.3">
      <c r="P273" s="27"/>
      <c r="Q273" s="27"/>
      <c r="R273" s="27"/>
      <c r="S273" s="27"/>
      <c r="T273" s="27"/>
      <c r="U273" s="27"/>
    </row>
    <row r="274" spans="16:21" x14ac:dyDescent="0.3">
      <c r="P274" s="27"/>
      <c r="Q274" s="27"/>
      <c r="R274" s="27"/>
      <c r="S274" s="27"/>
      <c r="T274" s="27"/>
      <c r="U274" s="27"/>
    </row>
    <row r="275" spans="16:21" x14ac:dyDescent="0.3">
      <c r="P275" s="27"/>
      <c r="Q275" s="27"/>
      <c r="R275" s="27"/>
      <c r="S275" s="27"/>
      <c r="T275" s="27"/>
      <c r="U275" s="27"/>
    </row>
    <row r="276" spans="16:21" x14ac:dyDescent="0.3">
      <c r="P276" s="27"/>
      <c r="Q276" s="27"/>
      <c r="R276" s="27"/>
      <c r="S276" s="27"/>
      <c r="T276" s="27"/>
      <c r="U276" s="27"/>
    </row>
    <row r="277" spans="16:21" x14ac:dyDescent="0.3">
      <c r="P277" s="27"/>
      <c r="Q277" s="27"/>
      <c r="R277" s="27"/>
      <c r="S277" s="27"/>
      <c r="T277" s="27"/>
      <c r="U277" s="27"/>
    </row>
    <row r="278" spans="16:21" x14ac:dyDescent="0.3">
      <c r="P278" s="27"/>
      <c r="Q278" s="27"/>
      <c r="R278" s="27"/>
      <c r="S278" s="27"/>
      <c r="T278" s="27"/>
      <c r="U278" s="27"/>
    </row>
    <row r="279" spans="16:21" x14ac:dyDescent="0.3">
      <c r="P279" s="27"/>
      <c r="Q279" s="27"/>
      <c r="R279" s="27"/>
      <c r="S279" s="27"/>
      <c r="T279" s="27"/>
      <c r="U279" s="27"/>
    </row>
    <row r="280" spans="16:21" x14ac:dyDescent="0.3">
      <c r="P280" s="27"/>
      <c r="Q280" s="27"/>
      <c r="R280" s="27"/>
      <c r="S280" s="27"/>
      <c r="T280" s="27"/>
      <c r="U280" s="27"/>
    </row>
    <row r="281" spans="16:21" x14ac:dyDescent="0.3">
      <c r="P281" s="27"/>
      <c r="Q281" s="27"/>
      <c r="R281" s="27"/>
      <c r="S281" s="27"/>
      <c r="T281" s="27"/>
      <c r="U281" s="27"/>
    </row>
    <row r="282" spans="16:21" x14ac:dyDescent="0.3">
      <c r="P282" s="27"/>
      <c r="Q282" s="27"/>
      <c r="R282" s="27"/>
      <c r="S282" s="27"/>
      <c r="T282" s="27"/>
      <c r="U282" s="27"/>
    </row>
    <row r="283" spans="16:21" x14ac:dyDescent="0.3">
      <c r="P283" s="27"/>
      <c r="Q283" s="27"/>
      <c r="R283" s="27"/>
      <c r="S283" s="27"/>
      <c r="T283" s="27"/>
      <c r="U283" s="27"/>
    </row>
    <row r="284" spans="16:21" x14ac:dyDescent="0.3">
      <c r="P284" s="27"/>
      <c r="Q284" s="27"/>
      <c r="R284" s="27"/>
      <c r="S284" s="27"/>
      <c r="T284" s="27"/>
      <c r="U284" s="27"/>
    </row>
    <row r="285" spans="16:21" x14ac:dyDescent="0.3">
      <c r="P285" s="27"/>
      <c r="Q285" s="27"/>
      <c r="R285" s="27"/>
      <c r="S285" s="27"/>
      <c r="T285" s="27"/>
      <c r="U285" s="27"/>
    </row>
    <row r="286" spans="16:21" x14ac:dyDescent="0.3">
      <c r="P286" s="27"/>
      <c r="Q286" s="27"/>
      <c r="R286" s="27"/>
      <c r="S286" s="27"/>
      <c r="T286" s="27"/>
      <c r="U286" s="27"/>
    </row>
    <row r="287" spans="16:21" x14ac:dyDescent="0.3">
      <c r="P287" s="27"/>
      <c r="Q287" s="27"/>
      <c r="R287" s="27"/>
      <c r="S287" s="27"/>
      <c r="T287" s="27"/>
      <c r="U287" s="27"/>
    </row>
    <row r="288" spans="16:21" x14ac:dyDescent="0.3">
      <c r="P288" s="27"/>
      <c r="Q288" s="27"/>
      <c r="R288" s="27"/>
      <c r="S288" s="27"/>
      <c r="T288" s="27"/>
      <c r="U288" s="27"/>
    </row>
    <row r="289" spans="16:21" x14ac:dyDescent="0.3">
      <c r="P289" s="27"/>
      <c r="Q289" s="27"/>
      <c r="R289" s="27"/>
      <c r="S289" s="27"/>
      <c r="T289" s="27"/>
      <c r="U289" s="27"/>
    </row>
    <row r="290" spans="16:21" x14ac:dyDescent="0.3">
      <c r="P290" s="27"/>
      <c r="Q290" s="27"/>
      <c r="R290" s="27"/>
      <c r="S290" s="27"/>
      <c r="T290" s="27"/>
      <c r="U290" s="27"/>
    </row>
    <row r="291" spans="16:21" x14ac:dyDescent="0.3">
      <c r="P291" s="27"/>
      <c r="Q291" s="27"/>
      <c r="R291" s="27"/>
      <c r="S291" s="27"/>
      <c r="T291" s="27"/>
      <c r="U291" s="27"/>
    </row>
    <row r="292" spans="16:21" x14ac:dyDescent="0.3">
      <c r="P292" s="27"/>
      <c r="Q292" s="27"/>
      <c r="R292" s="27"/>
      <c r="S292" s="27"/>
      <c r="T292" s="27"/>
      <c r="U292" s="27"/>
    </row>
    <row r="293" spans="16:21" x14ac:dyDescent="0.3">
      <c r="P293" s="27"/>
      <c r="Q293" s="27"/>
      <c r="R293" s="27"/>
      <c r="S293" s="27"/>
      <c r="T293" s="27"/>
      <c r="U293" s="27"/>
    </row>
    <row r="294" spans="16:21" x14ac:dyDescent="0.3">
      <c r="P294" s="27"/>
      <c r="Q294" s="27"/>
      <c r="R294" s="27"/>
      <c r="S294" s="27"/>
      <c r="T294" s="27"/>
      <c r="U294" s="27"/>
    </row>
    <row r="295" spans="16:21" x14ac:dyDescent="0.3">
      <c r="P295" s="27"/>
      <c r="Q295" s="27"/>
      <c r="R295" s="27"/>
      <c r="S295" s="27"/>
      <c r="T295" s="27"/>
      <c r="U295" s="27"/>
    </row>
    <row r="296" spans="16:21" x14ac:dyDescent="0.3">
      <c r="P296" s="27"/>
      <c r="Q296" s="27"/>
      <c r="R296" s="27"/>
      <c r="S296" s="27"/>
      <c r="T296" s="27"/>
      <c r="U296" s="27"/>
    </row>
    <row r="297" spans="16:21" x14ac:dyDescent="0.3">
      <c r="P297" s="27"/>
      <c r="Q297" s="27"/>
      <c r="R297" s="27"/>
      <c r="S297" s="27"/>
      <c r="T297" s="27"/>
      <c r="U297" s="27"/>
    </row>
    <row r="298" spans="16:21" x14ac:dyDescent="0.3">
      <c r="P298" s="27"/>
      <c r="Q298" s="27"/>
      <c r="R298" s="27"/>
      <c r="S298" s="27"/>
      <c r="T298" s="27"/>
      <c r="U298" s="27"/>
    </row>
    <row r="299" spans="16:21" x14ac:dyDescent="0.3">
      <c r="P299" s="27"/>
      <c r="Q299" s="27"/>
      <c r="R299" s="27"/>
      <c r="S299" s="27"/>
      <c r="T299" s="27"/>
      <c r="U299" s="27"/>
    </row>
    <row r="300" spans="16:21" x14ac:dyDescent="0.3">
      <c r="P300" s="27"/>
      <c r="Q300" s="27"/>
      <c r="R300" s="27"/>
      <c r="S300" s="27"/>
      <c r="T300" s="27"/>
      <c r="U300" s="27"/>
    </row>
    <row r="301" spans="16:21" x14ac:dyDescent="0.3">
      <c r="P301" s="27"/>
      <c r="Q301" s="27"/>
      <c r="R301" s="27"/>
      <c r="S301" s="27"/>
      <c r="T301" s="27"/>
      <c r="U301" s="27"/>
    </row>
  </sheetData>
  <pageMargins left="0.511811024" right="0.511811024" top="0.78740157499999996" bottom="0.78740157499999996" header="0.31496062000000002" footer="0.31496062000000002"/>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69348E-C369-4655-86E8-A60A204138F0}">
  <sheetPr>
    <tabColor theme="9" tint="0.59999389629810485"/>
  </sheetPr>
  <dimension ref="A1:AH300"/>
  <sheetViews>
    <sheetView showGridLines="0" workbookViewId="0">
      <selection activeCell="P6" sqref="P6"/>
    </sheetView>
  </sheetViews>
  <sheetFormatPr defaultColWidth="8.85546875" defaultRowHeight="18.75" x14ac:dyDescent="0.3"/>
  <cols>
    <col min="1" max="1" width="12.7109375" style="17" customWidth="1"/>
    <col min="2" max="2" width="26.140625" customWidth="1"/>
    <col min="4" max="4" width="4.5703125" customWidth="1"/>
    <col min="5" max="5" width="4" bestFit="1" customWidth="1"/>
    <col min="6" max="11" width="7.140625" bestFit="1" customWidth="1"/>
    <col min="12" max="17" width="12.42578125" bestFit="1" customWidth="1"/>
    <col min="19" max="19" width="12.42578125" style="15" bestFit="1" customWidth="1"/>
    <col min="20" max="23" width="9" style="15" customWidth="1"/>
    <col min="24" max="24" width="9.5703125" style="15" customWidth="1"/>
    <col min="25" max="26" width="12.42578125" style="15" bestFit="1" customWidth="1"/>
    <col min="27" max="34" width="8.85546875" style="15"/>
  </cols>
  <sheetData>
    <row r="1" spans="1:34" x14ac:dyDescent="0.3">
      <c r="A1" s="84" t="s">
        <v>475</v>
      </c>
      <c r="S1" s="14"/>
      <c r="T1" s="14"/>
      <c r="U1" s="14"/>
      <c r="V1" s="14"/>
      <c r="W1" s="14"/>
      <c r="X1" s="14"/>
      <c r="Y1" s="14"/>
      <c r="Z1" s="14"/>
      <c r="AA1" s="14"/>
      <c r="AB1" s="14"/>
      <c r="AC1" s="14"/>
      <c r="AD1" s="14"/>
      <c r="AE1" s="14"/>
      <c r="AF1" s="14"/>
      <c r="AG1" s="14"/>
      <c r="AH1" s="14"/>
    </row>
    <row r="2" spans="1:34" x14ac:dyDescent="0.3">
      <c r="A2" s="17" t="s">
        <v>476</v>
      </c>
      <c r="S2" s="14"/>
      <c r="T2" s="14"/>
      <c r="U2" s="14"/>
      <c r="V2" s="14"/>
      <c r="W2" s="14"/>
      <c r="X2" s="14"/>
      <c r="Y2" s="14"/>
      <c r="Z2" s="14"/>
      <c r="AA2" s="14"/>
      <c r="AB2" s="14"/>
      <c r="AC2" s="14"/>
      <c r="AD2" s="14"/>
      <c r="AE2" s="14"/>
      <c r="AF2" s="14"/>
      <c r="AG2" s="14"/>
      <c r="AH2" s="14"/>
    </row>
    <row r="4" spans="1:34" ht="15.75" x14ac:dyDescent="0.25">
      <c r="A4" s="2" t="s">
        <v>15</v>
      </c>
      <c r="B4" s="2" t="s">
        <v>16</v>
      </c>
    </row>
    <row r="5" spans="1:34" ht="15.75" x14ac:dyDescent="0.25">
      <c r="A5" s="23" t="s">
        <v>169</v>
      </c>
      <c r="B5" s="24" t="s">
        <v>171</v>
      </c>
    </row>
    <row r="6" spans="1:34" ht="126" x14ac:dyDescent="0.25">
      <c r="A6" s="23" t="s">
        <v>371</v>
      </c>
      <c r="B6" s="24" t="s">
        <v>372</v>
      </c>
    </row>
    <row r="7" spans="1:34" ht="47.25" x14ac:dyDescent="0.25">
      <c r="A7" s="23" t="s">
        <v>215</v>
      </c>
      <c r="B7" s="24" t="s">
        <v>375</v>
      </c>
    </row>
    <row r="8" spans="1:34" ht="15.75" x14ac:dyDescent="0.25">
      <c r="A8" s="23" t="s">
        <v>263</v>
      </c>
      <c r="B8" s="24" t="s">
        <v>351</v>
      </c>
    </row>
    <row r="9" spans="1:34" ht="15" x14ac:dyDescent="0.25">
      <c r="A9"/>
    </row>
    <row r="10" spans="1:34" ht="15" x14ac:dyDescent="0.25">
      <c r="A10"/>
      <c r="X10" s="61" t="s">
        <v>366</v>
      </c>
    </row>
    <row r="11" spans="1:34" ht="15.75" x14ac:dyDescent="0.25">
      <c r="A11" s="23"/>
      <c r="B11" s="26"/>
      <c r="X11" s="54" t="b" cm="1">
        <f t="array" ref="X11">ISSTATIONARY(F14:F34,$L$14,$M$14,$N$14,$O$14,$P$14)</f>
        <v>0</v>
      </c>
      <c r="Y11" s="54" t="b" cm="1">
        <f t="array" ref="Y11">ISSTATIONARY(G14:G34,$L$14,$M$14,$N$14,$O$14,$P$14)</f>
        <v>1</v>
      </c>
      <c r="Z11" s="54" t="b" cm="1">
        <f t="array" ref="Z11">ISSTATIONARY(H14:H34,$L$14,$M$14,$N$14,$O$14,$P$14)</f>
        <v>0</v>
      </c>
      <c r="AA11" s="54" t="b" cm="1">
        <f t="array" ref="AA11">ISSTATIONARY(I14:I34,$L$14,$M$14,$N$14,$O$14,$P$14)</f>
        <v>0</v>
      </c>
      <c r="AB11" s="54" t="b" cm="1">
        <f t="array" ref="AB11">ISSTATIONARY(J14:J34,$L$14,$M$14,$N$14,$O$14,$P$14)</f>
        <v>0</v>
      </c>
      <c r="AC11" s="54" t="b" cm="1">
        <f t="array" ref="AC11">ISSTATIONARY(K14:K34,$L$14,$M$14,$N$14,$O$14,$P$14)</f>
        <v>1</v>
      </c>
    </row>
    <row r="12" spans="1:34" ht="15.75" x14ac:dyDescent="0.25">
      <c r="A12" s="23"/>
      <c r="B12" s="26"/>
      <c r="F12" t="s">
        <v>359</v>
      </c>
      <c r="G12" t="s">
        <v>360</v>
      </c>
      <c r="H12" t="s">
        <v>361</v>
      </c>
      <c r="I12" t="s">
        <v>477</v>
      </c>
      <c r="J12" t="s">
        <v>478</v>
      </c>
      <c r="K12" t="s">
        <v>479</v>
      </c>
    </row>
    <row r="13" spans="1:34" x14ac:dyDescent="0.3">
      <c r="E13" t="s">
        <v>208</v>
      </c>
      <c r="F13" s="13" t="s">
        <v>169</v>
      </c>
      <c r="G13" s="13" t="s">
        <v>169</v>
      </c>
      <c r="H13" s="13" t="s">
        <v>169</v>
      </c>
      <c r="I13" s="13" t="s">
        <v>169</v>
      </c>
      <c r="J13" s="13" t="s">
        <v>169</v>
      </c>
      <c r="K13" s="13" t="s">
        <v>169</v>
      </c>
      <c r="L13" s="13" t="s">
        <v>373</v>
      </c>
      <c r="M13" s="13" t="s">
        <v>219</v>
      </c>
      <c r="N13" s="13" t="s">
        <v>267</v>
      </c>
      <c r="O13" s="13" t="s">
        <v>346</v>
      </c>
      <c r="P13" s="13" t="s">
        <v>209</v>
      </c>
      <c r="Q13" s="13" t="s">
        <v>358</v>
      </c>
      <c r="S13" s="61" t="s">
        <v>259</v>
      </c>
      <c r="X13" s="90" t="s">
        <v>260</v>
      </c>
    </row>
    <row r="14" spans="1:34" ht="18.75" customHeight="1" x14ac:dyDescent="0.3">
      <c r="E14" s="95">
        <v>0</v>
      </c>
      <c r="F14" s="53">
        <v>72.400000000000006</v>
      </c>
      <c r="G14" s="102"/>
      <c r="H14" s="53" cm="1">
        <f t="array" ref="H14:H34">_xlfn.BYROW(ADDTREND(F14:F34,1,3),_xlfn.LAMBDA(_xlpm.row,SUM(_xlpm.row)))</f>
        <v>73.400000000000006</v>
      </c>
      <c r="I14" s="102"/>
      <c r="J14" s="102"/>
      <c r="K14" s="102"/>
      <c r="L14" s="93" t="b">
        <v>0</v>
      </c>
      <c r="M14" s="55">
        <v>3</v>
      </c>
      <c r="N14" s="93">
        <v>0.01</v>
      </c>
      <c r="O14" s="103" t="b">
        <v>0</v>
      </c>
      <c r="P14" s="103" t="b">
        <v>0</v>
      </c>
      <c r="Q14" s="55">
        <v>4</v>
      </c>
      <c r="R14" s="96"/>
      <c r="S14" s="28" cm="1">
        <f t="array" ref="S14">_xlfn.LAMBDA(_xlpm.values,_xlop.automatic,_xlop.nLags,_xlop.significance,_xlop.maxDiffs,
_xlfn.LET(
_xlpm.automatic, IF(_xlfn.ISOMITTED(_xlpm.automatic), FALSE, _xlpm.automatic),
_xlpm.nLags,IF(_xlfn.ISOMITTED(_xlpm.nLags), 0, _xlpm.nLags),
_xlpm.significance, IF(_xlfn.ISOMITTED(_xlpm.significance), FALSE, _xlpm.significance),
_xlpm.constant, FALSE,
_xlpm.trend, FALSE,
_xlpm.maxDiffs, IF(OR( _xlfn.ISOMITTED(_xlpm.maxDiffs), ISBLANK(_xlpm.maxDiffs)), 2, _xlpm.maxDiffs ),
IF(ISSTATIONARY(_xlpm.values, _xlpm.automatic, _xlpm.nLags, _xlpm.significance, _xlpm.constant, _xlpm.trend), 0,
IF(_xlpm.maxDiffs = 0, NA(),
1 + IORDER( DIFF(_xlpm.values,1,1), _xlpm.automatic, _xlpm.nLags, _xlpm.significance, _xlpm.maxDiffs - 1)
))
))($F$14:$F$34,$L$14,$M$14,$N$14,$Q$14)</f>
        <v>1</v>
      </c>
      <c r="T14" s="28"/>
      <c r="U14" s="28"/>
      <c r="V14" s="28"/>
      <c r="W14" s="28"/>
      <c r="X14" s="28" cm="1">
        <f t="array" ref="X14">IORDER(F$14:F$34,$L$14,$M$14,$N$14,$Q$14)</f>
        <v>1</v>
      </c>
      <c r="Y14" s="28" cm="1">
        <f t="array" ref="Y14">IORDER(G$14:G$34,$L$14,$M$14,$N$14,$Q$14)</f>
        <v>0</v>
      </c>
      <c r="Z14" s="28" cm="1">
        <f t="array" ref="Z14">IORDER(H$14:H$34,$L$14,$M$14,$N$14,$Q$14)</f>
        <v>3</v>
      </c>
      <c r="AA14" s="28" cm="1">
        <f t="array" ref="AA14">IORDER(I$14:I$34,$L$14,$M$14,$N$14,$Q$14)</f>
        <v>2</v>
      </c>
      <c r="AB14" s="28" cm="1">
        <f t="array" ref="AB14">IORDER(J$14:J$34,$L$14,$M$14,$N$14,$Q$14)</f>
        <v>1</v>
      </c>
      <c r="AC14" s="28" cm="1">
        <f t="array" ref="AC14">IORDER(K$14:K$34,$L$14,$M$14,$N$14,$Q$14)</f>
        <v>0</v>
      </c>
    </row>
    <row r="15" spans="1:34" x14ac:dyDescent="0.3">
      <c r="E15" s="95">
        <v>1</v>
      </c>
      <c r="F15" s="53">
        <v>69.7</v>
      </c>
      <c r="G15" s="53" cm="1">
        <f t="array" ref="G15:G34">DIFF($F$14:$F$34,1,1)</f>
        <v>-2.7000000000000028</v>
      </c>
      <c r="H15" s="53">
        <v>77.7</v>
      </c>
      <c r="I15" s="53" cm="1">
        <f t="array" ref="I15:I34">DIFF(_xlfn.ANCHORARRAY(H14),1,1)</f>
        <v>4.2999999999999972</v>
      </c>
      <c r="J15" s="102"/>
      <c r="K15" s="102"/>
      <c r="R15" s="96"/>
      <c r="S15" s="54"/>
      <c r="T15" s="54"/>
      <c r="U15" s="54"/>
      <c r="V15" s="54"/>
      <c r="W15" s="54"/>
      <c r="X15" s="54"/>
      <c r="Y15" s="27"/>
      <c r="Z15" s="27"/>
    </row>
    <row r="16" spans="1:34" x14ac:dyDescent="0.3">
      <c r="E16" s="95">
        <v>2</v>
      </c>
      <c r="F16" s="53">
        <v>77.400000000000006</v>
      </c>
      <c r="G16" s="53">
        <v>7.7000000000000028</v>
      </c>
      <c r="H16" s="53">
        <v>104.4</v>
      </c>
      <c r="I16" s="53">
        <v>26.700000000000003</v>
      </c>
      <c r="J16" s="53" cm="1">
        <f t="array" ref="J16:J34">DIFF(_xlfn.ANCHORARRAY($I$15),1,1)</f>
        <v>22.400000000000006</v>
      </c>
      <c r="K16" s="102"/>
      <c r="R16" s="96"/>
      <c r="S16" s="54"/>
      <c r="T16" s="54"/>
      <c r="U16" s="54"/>
      <c r="V16" s="54"/>
      <c r="W16" s="54"/>
      <c r="X16" s="54"/>
      <c r="Y16" s="27"/>
      <c r="Z16" s="27"/>
    </row>
    <row r="17" spans="5:26" x14ac:dyDescent="0.3">
      <c r="E17" s="95">
        <v>3</v>
      </c>
      <c r="F17" s="53">
        <v>79.599999999999994</v>
      </c>
      <c r="G17" s="53">
        <v>2.1999999999999886</v>
      </c>
      <c r="H17" s="53">
        <v>143.6</v>
      </c>
      <c r="I17" s="53">
        <v>39.199999999999989</v>
      </c>
      <c r="J17" s="53">
        <v>12.499999999999986</v>
      </c>
      <c r="K17" s="53" cm="1">
        <f t="array" ref="K17:K34">DIFF(_xlfn.ANCHORARRAY(J16),1,1)</f>
        <v>-9.9000000000000199</v>
      </c>
      <c r="R17" s="96"/>
      <c r="S17" s="54"/>
      <c r="T17" s="54"/>
      <c r="U17" s="54"/>
      <c r="V17" s="54"/>
      <c r="W17" s="54"/>
      <c r="X17" s="54"/>
      <c r="Y17" s="27"/>
      <c r="Z17" s="27"/>
    </row>
    <row r="18" spans="5:26" x14ac:dyDescent="0.3">
      <c r="E18" s="95">
        <v>4</v>
      </c>
      <c r="F18" s="53">
        <v>80.400000000000006</v>
      </c>
      <c r="G18" s="53">
        <v>0.80000000000001137</v>
      </c>
      <c r="H18" s="53">
        <v>205.4</v>
      </c>
      <c r="I18" s="53">
        <v>61.800000000000011</v>
      </c>
      <c r="J18" s="53">
        <v>22.600000000000023</v>
      </c>
      <c r="K18" s="53">
        <v>10.100000000000037</v>
      </c>
      <c r="R18" s="96"/>
      <c r="S18" s="54"/>
      <c r="T18" s="54"/>
      <c r="U18" s="54"/>
      <c r="V18" s="54"/>
      <c r="W18" s="54"/>
      <c r="X18" s="54"/>
      <c r="Y18" s="27"/>
      <c r="Z18" s="27"/>
    </row>
    <row r="19" spans="5:26" x14ac:dyDescent="0.3">
      <c r="E19" s="95">
        <v>5</v>
      </c>
      <c r="F19" s="53">
        <v>77.5</v>
      </c>
      <c r="G19" s="53">
        <v>-2.9000000000000057</v>
      </c>
      <c r="H19" s="53">
        <v>293.5</v>
      </c>
      <c r="I19" s="53">
        <v>88.1</v>
      </c>
      <c r="J19" s="53">
        <v>26.299999999999983</v>
      </c>
      <c r="K19" s="53">
        <v>3.6999999999999602</v>
      </c>
      <c r="R19" s="96"/>
      <c r="S19" s="54"/>
      <c r="T19" s="54"/>
      <c r="U19" s="54"/>
      <c r="V19" s="54"/>
      <c r="W19" s="54"/>
      <c r="X19" s="54"/>
      <c r="Y19" s="27"/>
      <c r="Z19" s="27"/>
    </row>
    <row r="20" spans="5:26" x14ac:dyDescent="0.3">
      <c r="E20" s="95">
        <v>6</v>
      </c>
      <c r="F20" s="53">
        <v>83.3</v>
      </c>
      <c r="G20" s="53">
        <v>5.7999999999999972</v>
      </c>
      <c r="H20" s="53">
        <v>426.3</v>
      </c>
      <c r="I20" s="53">
        <v>132.80000000000001</v>
      </c>
      <c r="J20" s="53">
        <v>44.700000000000017</v>
      </c>
      <c r="K20" s="53">
        <v>18.400000000000034</v>
      </c>
      <c r="R20" s="96"/>
      <c r="S20" s="54"/>
      <c r="T20" s="54"/>
      <c r="U20" s="54"/>
      <c r="V20" s="54"/>
      <c r="W20" s="54"/>
      <c r="X20" s="54"/>
      <c r="Y20" s="27"/>
      <c r="Z20" s="27"/>
    </row>
    <row r="21" spans="5:26" x14ac:dyDescent="0.3">
      <c r="E21" s="95">
        <v>7</v>
      </c>
      <c r="F21" s="53">
        <v>83.6</v>
      </c>
      <c r="G21" s="53">
        <v>0.29999999999999716</v>
      </c>
      <c r="H21" s="53">
        <v>595.6</v>
      </c>
      <c r="I21" s="53">
        <v>169.3</v>
      </c>
      <c r="J21" s="53">
        <v>36.5</v>
      </c>
      <c r="K21" s="53">
        <v>-8.2000000000000171</v>
      </c>
      <c r="R21" s="96"/>
      <c r="S21" s="54"/>
      <c r="T21" s="54"/>
      <c r="U21" s="54"/>
      <c r="V21" s="54"/>
      <c r="W21" s="54"/>
      <c r="X21" s="54"/>
      <c r="Y21" s="27"/>
      <c r="Z21" s="27"/>
    </row>
    <row r="22" spans="5:26" x14ac:dyDescent="0.3">
      <c r="E22" s="95">
        <v>8</v>
      </c>
      <c r="F22" s="53">
        <v>82.1</v>
      </c>
      <c r="G22" s="53">
        <v>-1.5</v>
      </c>
      <c r="H22" s="53">
        <v>811.1</v>
      </c>
      <c r="I22" s="53">
        <v>215.5</v>
      </c>
      <c r="J22" s="53">
        <v>46.199999999999989</v>
      </c>
      <c r="K22" s="53">
        <v>9.6999999999999886</v>
      </c>
      <c r="R22" s="96"/>
      <c r="S22" s="54"/>
      <c r="T22" s="54"/>
      <c r="U22" s="54"/>
      <c r="V22" s="54"/>
      <c r="W22" s="54"/>
      <c r="X22" s="54"/>
      <c r="Y22" s="27"/>
      <c r="Z22" s="27"/>
    </row>
    <row r="23" spans="5:26" x14ac:dyDescent="0.3">
      <c r="E23" s="95">
        <v>9</v>
      </c>
      <c r="F23" s="53">
        <v>89.2</v>
      </c>
      <c r="G23" s="53">
        <v>7.1000000000000085</v>
      </c>
      <c r="H23" s="53">
        <v>1089.2</v>
      </c>
      <c r="I23" s="53">
        <v>278.10000000000002</v>
      </c>
      <c r="J23" s="53">
        <v>62.600000000000023</v>
      </c>
      <c r="K23" s="53">
        <v>16.400000000000034</v>
      </c>
      <c r="R23" s="96"/>
      <c r="S23" s="54"/>
      <c r="T23" s="54"/>
      <c r="U23" s="54"/>
      <c r="V23" s="54"/>
      <c r="W23" s="54"/>
      <c r="X23" s="54"/>
      <c r="Y23" s="27"/>
      <c r="Z23" s="27"/>
    </row>
    <row r="24" spans="5:26" x14ac:dyDescent="0.3">
      <c r="E24" s="95">
        <v>10</v>
      </c>
      <c r="F24" s="53">
        <v>83.9</v>
      </c>
      <c r="G24" s="53">
        <v>-5.2999999999999972</v>
      </c>
      <c r="H24" s="53">
        <v>1414.9</v>
      </c>
      <c r="I24" s="53">
        <v>325.70000000000005</v>
      </c>
      <c r="J24" s="53">
        <v>47.600000000000023</v>
      </c>
      <c r="K24" s="53">
        <v>-15</v>
      </c>
      <c r="R24" s="96"/>
      <c r="S24" s="54"/>
      <c r="T24" s="54"/>
      <c r="U24" s="54"/>
      <c r="V24" s="54"/>
      <c r="W24" s="54"/>
      <c r="X24" s="54"/>
      <c r="Y24" s="27"/>
      <c r="Z24" s="27"/>
    </row>
    <row r="25" spans="5:26" x14ac:dyDescent="0.3">
      <c r="E25" s="95">
        <v>11</v>
      </c>
      <c r="F25" s="53">
        <v>74.599999999999994</v>
      </c>
      <c r="G25" s="53">
        <v>-9.3000000000000114</v>
      </c>
      <c r="H25" s="53">
        <v>1802.6</v>
      </c>
      <c r="I25" s="53">
        <v>387.69999999999982</v>
      </c>
      <c r="J25" s="53">
        <v>61.999999999999773</v>
      </c>
      <c r="K25" s="53">
        <v>14.39999999999975</v>
      </c>
      <c r="R25" s="96"/>
      <c r="S25" s="54"/>
      <c r="T25" s="54"/>
      <c r="U25" s="54"/>
      <c r="V25" s="54"/>
      <c r="W25" s="54"/>
      <c r="X25" s="54"/>
      <c r="Y25" s="27"/>
      <c r="Z25" s="27"/>
    </row>
    <row r="26" spans="5:26" x14ac:dyDescent="0.3">
      <c r="E26" s="95">
        <v>12</v>
      </c>
      <c r="F26" s="53">
        <v>74</v>
      </c>
      <c r="G26" s="53">
        <v>-0.59999999999999432</v>
      </c>
      <c r="H26" s="53">
        <v>2271</v>
      </c>
      <c r="I26" s="53">
        <v>468.40000000000009</v>
      </c>
      <c r="J26" s="53">
        <v>80.700000000000273</v>
      </c>
      <c r="K26" s="53">
        <v>18.7000000000005</v>
      </c>
      <c r="R26" s="96"/>
      <c r="S26" s="54"/>
      <c r="T26" s="54"/>
      <c r="U26" s="54"/>
      <c r="V26" s="54"/>
      <c r="W26" s="54"/>
      <c r="X26" s="54"/>
      <c r="Y26" s="27"/>
      <c r="Z26" s="27"/>
    </row>
    <row r="27" spans="5:26" x14ac:dyDescent="0.3">
      <c r="E27" s="95">
        <v>13</v>
      </c>
      <c r="F27" s="53">
        <v>71.8</v>
      </c>
      <c r="G27" s="53">
        <v>-2.2000000000000028</v>
      </c>
      <c r="H27" s="53">
        <v>2815.8</v>
      </c>
      <c r="I27" s="53">
        <v>544.80000000000018</v>
      </c>
      <c r="J27" s="53">
        <v>76.400000000000091</v>
      </c>
      <c r="K27" s="53">
        <v>-4.3000000000001819</v>
      </c>
      <c r="R27" s="96"/>
      <c r="S27" s="54"/>
      <c r="T27" s="54"/>
      <c r="U27" s="54"/>
      <c r="V27" s="54"/>
      <c r="W27" s="54"/>
      <c r="X27" s="54"/>
      <c r="Y27" s="27"/>
      <c r="Z27" s="27"/>
    </row>
    <row r="28" spans="5:26" x14ac:dyDescent="0.3">
      <c r="E28" s="95">
        <v>14</v>
      </c>
      <c r="F28" s="53">
        <v>77.400000000000006</v>
      </c>
      <c r="G28" s="53">
        <v>5.6000000000000085</v>
      </c>
      <c r="H28" s="53">
        <v>3452.4</v>
      </c>
      <c r="I28" s="53">
        <v>636.59999999999991</v>
      </c>
      <c r="J28" s="53">
        <v>91.799999999999727</v>
      </c>
      <c r="K28" s="53">
        <v>15.399999999999636</v>
      </c>
      <c r="R28" s="96"/>
      <c r="S28" s="54"/>
      <c r="T28" s="54"/>
      <c r="U28" s="54"/>
      <c r="V28" s="54"/>
      <c r="W28" s="54"/>
      <c r="X28" s="54"/>
      <c r="Y28" s="27"/>
      <c r="Z28" s="27"/>
    </row>
    <row r="29" spans="5:26" x14ac:dyDescent="0.3">
      <c r="E29" s="95">
        <v>15</v>
      </c>
      <c r="F29" s="53">
        <v>76.5</v>
      </c>
      <c r="G29" s="53">
        <v>-0.90000000000000568</v>
      </c>
      <c r="H29" s="53">
        <v>4172.5</v>
      </c>
      <c r="I29" s="53">
        <v>720.09999999999991</v>
      </c>
      <c r="J29" s="53">
        <v>83.5</v>
      </c>
      <c r="K29" s="53">
        <v>-8.2999999999997272</v>
      </c>
      <c r="R29" s="96"/>
      <c r="S29" s="54"/>
      <c r="T29" s="54"/>
      <c r="U29" s="54"/>
      <c r="V29" s="54"/>
      <c r="W29" s="54"/>
      <c r="X29" s="54"/>
      <c r="Y29" s="27"/>
      <c r="Z29" s="27"/>
    </row>
    <row r="30" spans="5:26" x14ac:dyDescent="0.3">
      <c r="E30" s="95">
        <v>16</v>
      </c>
      <c r="F30" s="53">
        <v>79.7</v>
      </c>
      <c r="G30" s="53">
        <v>3.2000000000000028</v>
      </c>
      <c r="H30" s="53">
        <v>4992.7</v>
      </c>
      <c r="I30" s="53">
        <v>820.19999999999982</v>
      </c>
      <c r="J30" s="53">
        <v>100.09999999999991</v>
      </c>
      <c r="K30" s="53">
        <v>16.599999999999909</v>
      </c>
      <c r="R30" s="96"/>
      <c r="S30" s="54"/>
      <c r="T30" s="54"/>
      <c r="U30" s="54"/>
      <c r="V30" s="54"/>
      <c r="W30" s="54"/>
      <c r="X30" s="54"/>
      <c r="Y30" s="27"/>
      <c r="Z30" s="27"/>
    </row>
    <row r="31" spans="5:26" x14ac:dyDescent="0.3">
      <c r="E31" s="95">
        <v>17</v>
      </c>
      <c r="F31" s="53">
        <v>76.3</v>
      </c>
      <c r="G31" s="53">
        <v>-3.4000000000000057</v>
      </c>
      <c r="H31" s="53">
        <v>5908.3</v>
      </c>
      <c r="I31" s="53">
        <v>915.60000000000036</v>
      </c>
      <c r="J31" s="53">
        <v>95.400000000000546</v>
      </c>
      <c r="K31" s="53">
        <v>-4.6999999999993634</v>
      </c>
      <c r="R31" s="96"/>
      <c r="S31" s="54"/>
      <c r="T31" s="54"/>
      <c r="U31" s="54"/>
      <c r="V31" s="54"/>
      <c r="W31" s="54"/>
      <c r="X31" s="54"/>
      <c r="Y31" s="27"/>
      <c r="Z31" s="27"/>
    </row>
    <row r="32" spans="5:26" x14ac:dyDescent="0.3">
      <c r="E32" s="95">
        <v>18</v>
      </c>
      <c r="F32" s="53">
        <v>81.3</v>
      </c>
      <c r="G32" s="53">
        <v>5</v>
      </c>
      <c r="H32" s="53">
        <v>6940.3</v>
      </c>
      <c r="I32" s="53">
        <v>1032</v>
      </c>
      <c r="J32" s="53">
        <v>116.39999999999964</v>
      </c>
      <c r="K32" s="53">
        <v>20.999999999999091</v>
      </c>
      <c r="R32" s="96"/>
      <c r="S32" s="54"/>
      <c r="T32" s="54"/>
      <c r="U32" s="54"/>
      <c r="V32" s="54"/>
      <c r="W32" s="54"/>
      <c r="X32" s="54"/>
      <c r="Y32" s="27"/>
      <c r="Z32" s="27"/>
    </row>
    <row r="33" spans="5:26" x14ac:dyDescent="0.3">
      <c r="E33" s="95">
        <v>19</v>
      </c>
      <c r="F33" s="53">
        <v>81.599999999999994</v>
      </c>
      <c r="G33" s="53">
        <v>0.29999999999999716</v>
      </c>
      <c r="H33" s="53">
        <v>8081.6</v>
      </c>
      <c r="I33" s="53">
        <v>1141.3000000000002</v>
      </c>
      <c r="J33" s="53">
        <v>109.30000000000018</v>
      </c>
      <c r="K33" s="53">
        <v>-7.0999999999994543</v>
      </c>
      <c r="R33" s="96"/>
      <c r="S33" s="54"/>
      <c r="T33" s="54"/>
      <c r="U33" s="54"/>
      <c r="V33" s="54"/>
      <c r="W33" s="54"/>
      <c r="X33" s="54"/>
      <c r="Y33" s="27"/>
      <c r="Z33" s="27"/>
    </row>
    <row r="34" spans="5:26" x14ac:dyDescent="0.3">
      <c r="E34" s="95">
        <v>20</v>
      </c>
      <c r="F34" s="53">
        <v>85.7</v>
      </c>
      <c r="G34" s="53">
        <v>4.1000000000000085</v>
      </c>
      <c r="H34" s="53">
        <v>9346.7000000000007</v>
      </c>
      <c r="I34" s="53">
        <v>1265.1000000000004</v>
      </c>
      <c r="J34" s="53">
        <v>123.80000000000018</v>
      </c>
      <c r="K34" s="53">
        <v>14.5</v>
      </c>
      <c r="R34" s="96"/>
      <c r="S34" s="54"/>
      <c r="T34" s="54"/>
      <c r="U34" s="54"/>
      <c r="V34" s="54"/>
      <c r="W34" s="54"/>
      <c r="X34" s="54"/>
      <c r="Y34" s="27"/>
      <c r="Z34" s="27"/>
    </row>
    <row r="35" spans="5:26" x14ac:dyDescent="0.3">
      <c r="R35" s="96"/>
      <c r="S35" s="54"/>
      <c r="T35" s="54"/>
      <c r="U35" s="54"/>
      <c r="V35" s="54"/>
      <c r="W35" s="54"/>
      <c r="X35" s="54"/>
      <c r="Y35" s="27"/>
      <c r="Z35" s="27"/>
    </row>
    <row r="36" spans="5:26" x14ac:dyDescent="0.3">
      <c r="R36" s="96"/>
      <c r="S36" s="54"/>
      <c r="T36" s="54"/>
      <c r="U36" s="54"/>
      <c r="V36" s="54"/>
      <c r="W36" s="54"/>
      <c r="X36" s="54"/>
      <c r="Y36" s="27"/>
      <c r="Z36" s="27"/>
    </row>
    <row r="37" spans="5:26" x14ac:dyDescent="0.3">
      <c r="R37" s="96"/>
      <c r="S37" s="54"/>
      <c r="T37" s="54"/>
      <c r="U37" s="54"/>
      <c r="V37" s="54"/>
      <c r="W37" s="54"/>
      <c r="X37" s="54"/>
      <c r="Y37" s="27"/>
      <c r="Z37" s="27"/>
    </row>
    <row r="38" spans="5:26" x14ac:dyDescent="0.3">
      <c r="R38" s="96"/>
      <c r="S38" s="54"/>
      <c r="T38" s="54"/>
      <c r="U38" s="54"/>
      <c r="V38" s="54"/>
      <c r="W38" s="54"/>
      <c r="X38" s="54"/>
      <c r="Y38" s="27"/>
      <c r="Z38" s="27"/>
    </row>
    <row r="39" spans="5:26" x14ac:dyDescent="0.3">
      <c r="R39" s="96"/>
      <c r="S39" s="54"/>
      <c r="T39" s="54"/>
      <c r="U39" s="54"/>
      <c r="V39" s="54"/>
      <c r="W39" s="54"/>
      <c r="X39" s="54"/>
      <c r="Y39" s="27"/>
      <c r="Z39" s="27"/>
    </row>
    <row r="40" spans="5:26" x14ac:dyDescent="0.3">
      <c r="R40" s="96"/>
      <c r="S40" s="54"/>
      <c r="T40" s="54"/>
      <c r="U40" s="54"/>
      <c r="V40" s="54"/>
      <c r="W40" s="54"/>
      <c r="X40" s="54"/>
      <c r="Y40" s="27"/>
      <c r="Z40" s="27"/>
    </row>
    <row r="41" spans="5:26" x14ac:dyDescent="0.3">
      <c r="R41" s="96"/>
      <c r="S41" s="54"/>
      <c r="T41" s="54"/>
      <c r="U41" s="54"/>
      <c r="V41" s="54"/>
      <c r="W41" s="54"/>
      <c r="X41" s="54"/>
      <c r="Y41" s="27"/>
      <c r="Z41" s="27"/>
    </row>
    <row r="42" spans="5:26" x14ac:dyDescent="0.3">
      <c r="R42" s="96"/>
      <c r="S42" s="54"/>
      <c r="T42" s="54"/>
      <c r="U42" s="54"/>
      <c r="V42" s="54"/>
      <c r="W42" s="54"/>
      <c r="X42" s="54"/>
      <c r="Y42" s="27"/>
      <c r="Z42" s="27"/>
    </row>
    <row r="43" spans="5:26" x14ac:dyDescent="0.3">
      <c r="R43" s="96"/>
      <c r="S43" s="54"/>
      <c r="T43" s="54"/>
      <c r="U43" s="54"/>
      <c r="V43" s="54"/>
      <c r="W43" s="54"/>
      <c r="X43" s="54"/>
      <c r="Y43" s="27"/>
      <c r="Z43" s="27"/>
    </row>
    <row r="44" spans="5:26" x14ac:dyDescent="0.3">
      <c r="R44" s="96"/>
      <c r="S44" s="54"/>
      <c r="T44" s="54"/>
      <c r="U44" s="54"/>
      <c r="V44" s="54"/>
      <c r="W44" s="54"/>
      <c r="X44" s="54"/>
      <c r="Y44" s="27"/>
      <c r="Z44" s="27"/>
    </row>
    <row r="45" spans="5:26" x14ac:dyDescent="0.3">
      <c r="R45" s="96"/>
      <c r="S45" s="54"/>
      <c r="T45" s="54"/>
      <c r="U45" s="54"/>
      <c r="V45" s="54"/>
      <c r="W45" s="54"/>
      <c r="X45" s="54"/>
      <c r="Y45" s="27"/>
      <c r="Z45" s="27"/>
    </row>
    <row r="46" spans="5:26" x14ac:dyDescent="0.3">
      <c r="R46" s="96"/>
      <c r="S46" s="54"/>
      <c r="T46" s="54"/>
      <c r="U46" s="54"/>
      <c r="V46" s="54"/>
      <c r="W46" s="54"/>
      <c r="X46" s="54"/>
      <c r="Y46" s="27"/>
      <c r="Z46" s="27"/>
    </row>
    <row r="47" spans="5:26" x14ac:dyDescent="0.3">
      <c r="R47" s="96"/>
      <c r="S47" s="54"/>
      <c r="T47" s="54"/>
      <c r="U47" s="54"/>
      <c r="V47" s="54"/>
      <c r="W47" s="54"/>
      <c r="X47" s="54"/>
      <c r="Y47" s="27"/>
      <c r="Z47" s="27"/>
    </row>
    <row r="48" spans="5:26" x14ac:dyDescent="0.3">
      <c r="R48" s="96"/>
      <c r="S48" s="54"/>
      <c r="T48" s="54"/>
      <c r="U48" s="54"/>
      <c r="V48" s="54"/>
      <c r="W48" s="54"/>
      <c r="X48" s="54"/>
      <c r="Y48" s="27"/>
      <c r="Z48" s="27"/>
    </row>
    <row r="49" spans="18:26" x14ac:dyDescent="0.3">
      <c r="R49" s="96"/>
      <c r="S49" s="54"/>
      <c r="T49" s="54"/>
      <c r="U49" s="54"/>
      <c r="V49" s="54"/>
      <c r="W49" s="54"/>
      <c r="X49" s="54"/>
      <c r="Y49" s="27"/>
      <c r="Z49" s="27"/>
    </row>
    <row r="50" spans="18:26" x14ac:dyDescent="0.3">
      <c r="R50" s="96"/>
      <c r="S50" s="54"/>
      <c r="T50" s="54"/>
      <c r="U50" s="54"/>
      <c r="V50" s="54"/>
      <c r="W50" s="54"/>
      <c r="X50" s="54"/>
      <c r="Y50" s="27"/>
      <c r="Z50" s="27"/>
    </row>
    <row r="51" spans="18:26" x14ac:dyDescent="0.3">
      <c r="R51" s="96"/>
      <c r="S51" s="54"/>
      <c r="T51" s="54"/>
      <c r="U51" s="54"/>
      <c r="V51" s="54"/>
      <c r="W51" s="54"/>
      <c r="X51" s="54"/>
      <c r="Y51" s="27"/>
      <c r="Z51" s="27"/>
    </row>
    <row r="52" spans="18:26" x14ac:dyDescent="0.3">
      <c r="R52" s="96"/>
      <c r="S52" s="54"/>
      <c r="T52" s="54"/>
      <c r="U52" s="54"/>
      <c r="V52" s="54"/>
      <c r="W52" s="54"/>
      <c r="X52" s="54"/>
      <c r="Y52" s="27"/>
      <c r="Z52" s="27"/>
    </row>
    <row r="53" spans="18:26" x14ac:dyDescent="0.3">
      <c r="R53" s="96"/>
      <c r="S53" s="54"/>
      <c r="T53" s="54"/>
      <c r="U53" s="54"/>
      <c r="V53" s="54"/>
      <c r="W53" s="54"/>
      <c r="X53" s="54"/>
      <c r="Y53" s="27"/>
      <c r="Z53" s="27"/>
    </row>
    <row r="54" spans="18:26" x14ac:dyDescent="0.3">
      <c r="R54" s="96"/>
      <c r="S54" s="54"/>
      <c r="T54" s="54"/>
      <c r="U54" s="54"/>
      <c r="V54" s="54"/>
      <c r="W54" s="54"/>
      <c r="X54" s="54"/>
      <c r="Y54" s="27"/>
      <c r="Z54" s="27"/>
    </row>
    <row r="55" spans="18:26" x14ac:dyDescent="0.3">
      <c r="R55" s="96"/>
      <c r="S55" s="54"/>
      <c r="T55" s="54"/>
      <c r="U55" s="54"/>
      <c r="V55" s="54"/>
      <c r="W55" s="54"/>
      <c r="X55" s="54"/>
      <c r="Y55" s="27"/>
      <c r="Z55" s="27"/>
    </row>
    <row r="56" spans="18:26" x14ac:dyDescent="0.3">
      <c r="R56" s="96"/>
      <c r="S56" s="54"/>
      <c r="T56" s="54"/>
      <c r="U56" s="54"/>
      <c r="V56" s="54"/>
      <c r="W56" s="54"/>
      <c r="X56" s="54"/>
      <c r="Y56" s="27"/>
      <c r="Z56" s="27"/>
    </row>
    <row r="57" spans="18:26" x14ac:dyDescent="0.3">
      <c r="R57" s="96"/>
      <c r="S57" s="54"/>
      <c r="T57" s="54"/>
      <c r="U57" s="54"/>
      <c r="V57" s="54"/>
      <c r="W57" s="54"/>
      <c r="X57" s="54"/>
      <c r="Y57" s="27"/>
      <c r="Z57" s="27"/>
    </row>
    <row r="58" spans="18:26" x14ac:dyDescent="0.3">
      <c r="R58" s="96"/>
      <c r="S58" s="54"/>
      <c r="T58" s="54"/>
      <c r="U58" s="54"/>
      <c r="V58" s="54"/>
      <c r="W58" s="54"/>
      <c r="X58" s="54"/>
      <c r="Y58" s="27"/>
      <c r="Z58" s="27"/>
    </row>
    <row r="59" spans="18:26" x14ac:dyDescent="0.3">
      <c r="R59" s="96"/>
      <c r="S59" s="54"/>
      <c r="T59" s="54"/>
      <c r="U59" s="54"/>
      <c r="V59" s="54"/>
      <c r="W59" s="54"/>
      <c r="X59" s="54"/>
      <c r="Y59" s="27"/>
      <c r="Z59" s="27"/>
    </row>
    <row r="60" spans="18:26" x14ac:dyDescent="0.3">
      <c r="R60" s="96"/>
      <c r="S60" s="54"/>
      <c r="T60" s="54"/>
      <c r="U60" s="54"/>
      <c r="V60" s="54"/>
      <c r="W60" s="54"/>
      <c r="X60" s="54"/>
      <c r="Y60" s="27"/>
      <c r="Z60" s="27"/>
    </row>
    <row r="61" spans="18:26" x14ac:dyDescent="0.3">
      <c r="R61" s="96"/>
      <c r="S61" s="54"/>
      <c r="T61" s="54"/>
      <c r="U61" s="54"/>
      <c r="V61" s="54"/>
      <c r="W61" s="54"/>
      <c r="X61" s="54"/>
      <c r="Y61" s="27"/>
      <c r="Z61" s="27"/>
    </row>
    <row r="62" spans="18:26" x14ac:dyDescent="0.3">
      <c r="R62" s="96"/>
      <c r="S62" s="54"/>
      <c r="T62" s="54"/>
      <c r="U62" s="54"/>
      <c r="V62" s="54"/>
      <c r="W62" s="54"/>
      <c r="X62" s="54"/>
      <c r="Y62" s="27"/>
      <c r="Z62" s="27"/>
    </row>
    <row r="63" spans="18:26" x14ac:dyDescent="0.3">
      <c r="R63" s="96"/>
      <c r="S63" s="54"/>
      <c r="T63" s="54"/>
      <c r="U63" s="54"/>
      <c r="V63" s="54"/>
      <c r="W63" s="54"/>
      <c r="X63" s="54"/>
      <c r="Y63" s="27"/>
      <c r="Z63" s="27"/>
    </row>
    <row r="64" spans="18:26" x14ac:dyDescent="0.3">
      <c r="R64" s="96"/>
      <c r="S64" s="54"/>
      <c r="T64" s="54"/>
      <c r="U64" s="54"/>
      <c r="V64" s="54"/>
      <c r="W64" s="54"/>
      <c r="X64" s="54"/>
      <c r="Y64" s="27"/>
      <c r="Z64" s="27"/>
    </row>
    <row r="65" spans="18:26" x14ac:dyDescent="0.3">
      <c r="R65" s="96"/>
      <c r="S65" s="54"/>
      <c r="T65" s="54"/>
      <c r="U65" s="54"/>
      <c r="V65" s="54"/>
      <c r="W65" s="54"/>
      <c r="X65" s="54"/>
      <c r="Y65" s="27"/>
      <c r="Z65" s="27"/>
    </row>
    <row r="66" spans="18:26" x14ac:dyDescent="0.3">
      <c r="R66" s="96"/>
      <c r="S66" s="54"/>
      <c r="T66" s="54"/>
      <c r="U66" s="54"/>
      <c r="V66" s="54"/>
      <c r="W66" s="54"/>
      <c r="X66" s="54"/>
      <c r="Y66" s="27"/>
      <c r="Z66" s="27"/>
    </row>
    <row r="67" spans="18:26" x14ac:dyDescent="0.3">
      <c r="R67" s="96"/>
      <c r="S67" s="54"/>
      <c r="T67" s="54"/>
      <c r="U67" s="54"/>
      <c r="V67" s="54"/>
      <c r="W67" s="54"/>
      <c r="X67" s="54"/>
      <c r="Y67" s="27"/>
      <c r="Z67" s="27"/>
    </row>
    <row r="68" spans="18:26" x14ac:dyDescent="0.3">
      <c r="R68" s="96"/>
      <c r="S68" s="54"/>
      <c r="T68" s="54"/>
      <c r="U68" s="54"/>
      <c r="V68" s="54"/>
      <c r="W68" s="54"/>
      <c r="X68" s="54"/>
      <c r="Y68" s="27"/>
      <c r="Z68" s="27"/>
    </row>
    <row r="69" spans="18:26" x14ac:dyDescent="0.3">
      <c r="R69" s="96"/>
      <c r="S69" s="54"/>
      <c r="T69" s="54"/>
      <c r="U69" s="54"/>
      <c r="V69" s="54"/>
      <c r="W69" s="54"/>
      <c r="X69" s="54"/>
      <c r="Y69" s="27"/>
      <c r="Z69" s="27"/>
    </row>
    <row r="70" spans="18:26" x14ac:dyDescent="0.3">
      <c r="R70" s="96"/>
      <c r="S70" s="54"/>
      <c r="T70" s="54"/>
      <c r="U70" s="54"/>
      <c r="V70" s="54"/>
      <c r="W70" s="54"/>
      <c r="X70" s="54"/>
      <c r="Y70" s="27"/>
      <c r="Z70" s="27"/>
    </row>
    <row r="71" spans="18:26" x14ac:dyDescent="0.3">
      <c r="R71" s="96"/>
      <c r="S71" s="54"/>
      <c r="T71" s="54"/>
      <c r="U71" s="54"/>
      <c r="V71" s="54"/>
      <c r="W71" s="54"/>
      <c r="X71" s="54"/>
      <c r="Y71" s="27"/>
      <c r="Z71" s="27"/>
    </row>
    <row r="72" spans="18:26" x14ac:dyDescent="0.3">
      <c r="R72" s="96"/>
      <c r="S72" s="54"/>
      <c r="T72" s="54"/>
      <c r="U72" s="54"/>
      <c r="V72" s="54"/>
      <c r="W72" s="54"/>
      <c r="X72" s="54"/>
      <c r="Y72" s="27"/>
      <c r="Z72" s="27"/>
    </row>
    <row r="73" spans="18:26" x14ac:dyDescent="0.3">
      <c r="R73" s="96"/>
      <c r="S73" s="54"/>
      <c r="T73" s="54"/>
      <c r="U73" s="54"/>
      <c r="V73" s="54"/>
      <c r="W73" s="54"/>
      <c r="X73" s="54"/>
      <c r="Y73" s="27"/>
      <c r="Z73" s="27"/>
    </row>
    <row r="74" spans="18:26" x14ac:dyDescent="0.3">
      <c r="R74" s="96"/>
      <c r="S74" s="54"/>
      <c r="T74" s="54"/>
      <c r="U74" s="54"/>
      <c r="V74" s="54"/>
      <c r="W74" s="54"/>
      <c r="X74" s="54"/>
      <c r="Y74" s="27"/>
      <c r="Z74" s="27"/>
    </row>
    <row r="75" spans="18:26" x14ac:dyDescent="0.3">
      <c r="R75" s="96"/>
      <c r="S75" s="54"/>
      <c r="T75" s="54"/>
      <c r="U75" s="54"/>
      <c r="V75" s="54"/>
      <c r="W75" s="54"/>
      <c r="X75" s="54"/>
      <c r="Y75" s="27"/>
      <c r="Z75" s="27"/>
    </row>
    <row r="76" spans="18:26" x14ac:dyDescent="0.3">
      <c r="R76" s="96"/>
      <c r="S76" s="54"/>
      <c r="T76" s="54"/>
      <c r="U76" s="54"/>
      <c r="V76" s="54"/>
      <c r="W76" s="54"/>
      <c r="X76" s="54"/>
      <c r="Y76" s="27"/>
      <c r="Z76" s="27"/>
    </row>
    <row r="77" spans="18:26" x14ac:dyDescent="0.3">
      <c r="R77" s="96"/>
      <c r="S77" s="54"/>
      <c r="T77" s="54"/>
      <c r="U77" s="54"/>
      <c r="V77" s="54"/>
      <c r="W77" s="54"/>
      <c r="X77" s="54"/>
      <c r="Y77" s="27"/>
      <c r="Z77" s="27"/>
    </row>
    <row r="78" spans="18:26" x14ac:dyDescent="0.3">
      <c r="R78" s="96"/>
      <c r="S78" s="54"/>
      <c r="T78" s="54"/>
      <c r="U78" s="54"/>
      <c r="V78" s="54"/>
      <c r="W78" s="54"/>
      <c r="X78" s="54"/>
      <c r="Y78" s="27"/>
      <c r="Z78" s="27"/>
    </row>
    <row r="79" spans="18:26" x14ac:dyDescent="0.3">
      <c r="R79" s="96"/>
      <c r="S79" s="54"/>
      <c r="T79" s="54"/>
      <c r="U79" s="54"/>
      <c r="V79" s="54"/>
      <c r="W79" s="54"/>
      <c r="X79" s="54"/>
      <c r="Y79" s="27"/>
      <c r="Z79" s="27"/>
    </row>
    <row r="80" spans="18:26" x14ac:dyDescent="0.3">
      <c r="R80" s="96"/>
      <c r="S80" s="54"/>
      <c r="T80" s="54"/>
      <c r="U80" s="54"/>
      <c r="V80" s="54"/>
      <c r="W80" s="54"/>
      <c r="X80" s="54"/>
      <c r="Y80" s="27"/>
      <c r="Z80" s="27"/>
    </row>
    <row r="81" spans="18:26" x14ac:dyDescent="0.3">
      <c r="R81" s="96"/>
      <c r="S81" s="54"/>
      <c r="T81" s="54"/>
      <c r="U81" s="54"/>
      <c r="V81" s="54"/>
      <c r="W81" s="54"/>
      <c r="X81" s="54"/>
      <c r="Y81" s="27"/>
      <c r="Z81" s="27"/>
    </row>
    <row r="82" spans="18:26" x14ac:dyDescent="0.3">
      <c r="R82" s="96"/>
      <c r="S82" s="54"/>
      <c r="T82" s="54"/>
      <c r="U82" s="54"/>
      <c r="V82" s="54"/>
      <c r="W82" s="54"/>
      <c r="X82" s="54"/>
      <c r="Y82" s="27"/>
      <c r="Z82" s="27"/>
    </row>
    <row r="83" spans="18:26" x14ac:dyDescent="0.3">
      <c r="R83" s="96"/>
      <c r="S83" s="54"/>
      <c r="T83" s="54"/>
      <c r="U83" s="54"/>
      <c r="V83" s="54"/>
      <c r="W83" s="54"/>
      <c r="X83" s="54"/>
      <c r="Y83" s="27"/>
      <c r="Z83" s="27"/>
    </row>
    <row r="84" spans="18:26" x14ac:dyDescent="0.3">
      <c r="R84" s="96"/>
      <c r="S84" s="54"/>
      <c r="T84" s="54"/>
      <c r="U84" s="54"/>
      <c r="V84" s="54"/>
      <c r="W84" s="54"/>
      <c r="X84" s="54"/>
      <c r="Y84" s="27"/>
      <c r="Z84" s="27"/>
    </row>
    <row r="85" spans="18:26" x14ac:dyDescent="0.3">
      <c r="R85" s="96"/>
      <c r="S85" s="54"/>
      <c r="T85" s="54"/>
      <c r="U85" s="54"/>
      <c r="V85" s="54"/>
      <c r="W85" s="54"/>
      <c r="X85" s="54"/>
      <c r="Y85" s="27"/>
      <c r="Z85" s="27"/>
    </row>
    <row r="86" spans="18:26" x14ac:dyDescent="0.3">
      <c r="R86" s="96"/>
      <c r="S86" s="54"/>
      <c r="T86" s="54"/>
      <c r="U86" s="54"/>
      <c r="V86" s="54"/>
      <c r="W86" s="54"/>
      <c r="X86" s="54"/>
      <c r="Y86" s="27"/>
      <c r="Z86" s="27"/>
    </row>
    <row r="87" spans="18:26" x14ac:dyDescent="0.3">
      <c r="R87" s="96"/>
      <c r="S87" s="54"/>
      <c r="T87" s="54"/>
      <c r="U87" s="54"/>
      <c r="V87" s="54"/>
      <c r="W87" s="54"/>
      <c r="X87" s="54"/>
      <c r="Y87" s="27"/>
      <c r="Z87" s="27"/>
    </row>
    <row r="88" spans="18:26" x14ac:dyDescent="0.3">
      <c r="R88" s="96"/>
      <c r="S88" s="54"/>
      <c r="T88" s="54"/>
      <c r="U88" s="54"/>
      <c r="V88" s="54"/>
      <c r="W88" s="54"/>
      <c r="X88" s="54"/>
      <c r="Y88" s="27"/>
      <c r="Z88" s="27"/>
    </row>
    <row r="89" spans="18:26" x14ac:dyDescent="0.3">
      <c r="R89" s="96"/>
      <c r="S89" s="54"/>
      <c r="T89" s="54"/>
      <c r="U89" s="54"/>
      <c r="V89" s="54"/>
      <c r="W89" s="54"/>
      <c r="X89" s="54"/>
      <c r="Y89" s="27"/>
      <c r="Z89" s="27"/>
    </row>
    <row r="90" spans="18:26" x14ac:dyDescent="0.3">
      <c r="R90" s="96"/>
      <c r="S90" s="54"/>
      <c r="T90" s="54"/>
      <c r="U90" s="54"/>
      <c r="V90" s="54"/>
      <c r="W90" s="54"/>
      <c r="X90" s="54"/>
      <c r="Y90" s="27"/>
      <c r="Z90" s="27"/>
    </row>
    <row r="91" spans="18:26" x14ac:dyDescent="0.3">
      <c r="R91" s="96"/>
      <c r="S91" s="54"/>
      <c r="T91" s="54"/>
      <c r="U91" s="54"/>
      <c r="V91" s="54"/>
      <c r="W91" s="54"/>
      <c r="X91" s="54"/>
      <c r="Y91" s="27"/>
      <c r="Z91" s="27"/>
    </row>
    <row r="92" spans="18:26" x14ac:dyDescent="0.3">
      <c r="R92" s="96"/>
      <c r="S92" s="54"/>
      <c r="T92" s="54"/>
      <c r="U92" s="54"/>
      <c r="V92" s="54"/>
      <c r="W92" s="54"/>
      <c r="X92" s="54"/>
      <c r="Y92" s="27"/>
      <c r="Z92" s="27"/>
    </row>
    <row r="93" spans="18:26" x14ac:dyDescent="0.3">
      <c r="R93" s="96"/>
      <c r="S93" s="54"/>
      <c r="T93" s="54"/>
      <c r="U93" s="54"/>
      <c r="V93" s="54"/>
      <c r="W93" s="54"/>
      <c r="X93" s="54"/>
      <c r="Y93" s="27"/>
      <c r="Z93" s="27"/>
    </row>
    <row r="94" spans="18:26" x14ac:dyDescent="0.3">
      <c r="R94" s="96"/>
      <c r="S94" s="54"/>
      <c r="T94" s="54"/>
      <c r="U94" s="54"/>
      <c r="V94" s="54"/>
      <c r="W94" s="54"/>
      <c r="X94" s="54"/>
      <c r="Y94" s="27"/>
      <c r="Z94" s="27"/>
    </row>
    <row r="95" spans="18:26" x14ac:dyDescent="0.3">
      <c r="R95" s="96"/>
      <c r="S95" s="54"/>
      <c r="T95" s="54"/>
      <c r="U95" s="54"/>
      <c r="V95" s="54"/>
      <c r="W95" s="54"/>
      <c r="X95" s="54"/>
      <c r="Y95" s="27"/>
      <c r="Z95" s="27"/>
    </row>
    <row r="96" spans="18:26" x14ac:dyDescent="0.3">
      <c r="R96" s="96"/>
      <c r="S96" s="54"/>
      <c r="T96" s="54"/>
      <c r="U96" s="54"/>
      <c r="V96" s="54"/>
      <c r="W96" s="54"/>
      <c r="X96" s="54"/>
      <c r="Y96" s="27"/>
      <c r="Z96" s="27"/>
    </row>
    <row r="97" spans="18:26" x14ac:dyDescent="0.3">
      <c r="R97" s="96"/>
      <c r="S97" s="54"/>
      <c r="T97" s="54"/>
      <c r="U97" s="54"/>
      <c r="V97" s="54"/>
      <c r="W97" s="54"/>
      <c r="X97" s="54"/>
      <c r="Y97" s="27"/>
      <c r="Z97" s="27"/>
    </row>
    <row r="98" spans="18:26" x14ac:dyDescent="0.3">
      <c r="R98" s="96"/>
      <c r="S98" s="54"/>
      <c r="T98" s="54"/>
      <c r="U98" s="54"/>
      <c r="V98" s="54"/>
      <c r="W98" s="54"/>
      <c r="X98" s="54"/>
      <c r="Y98" s="27"/>
      <c r="Z98" s="27"/>
    </row>
    <row r="99" spans="18:26" x14ac:dyDescent="0.3">
      <c r="R99" s="96"/>
      <c r="S99" s="54"/>
      <c r="T99" s="54"/>
      <c r="U99" s="54"/>
      <c r="V99" s="54"/>
      <c r="W99" s="54"/>
      <c r="X99" s="54"/>
      <c r="Y99" s="27"/>
      <c r="Z99" s="27"/>
    </row>
    <row r="100" spans="18:26" x14ac:dyDescent="0.3">
      <c r="R100" s="96"/>
      <c r="S100" s="54"/>
      <c r="T100" s="54"/>
      <c r="U100" s="54"/>
      <c r="V100" s="54"/>
      <c r="W100" s="54"/>
      <c r="X100" s="54"/>
      <c r="Y100" s="27"/>
      <c r="Z100" s="27"/>
    </row>
    <row r="101" spans="18:26" x14ac:dyDescent="0.3">
      <c r="R101" s="96"/>
      <c r="S101" s="54"/>
      <c r="T101" s="54"/>
      <c r="U101" s="54"/>
      <c r="V101" s="54"/>
      <c r="W101" s="54"/>
      <c r="X101" s="54"/>
      <c r="Y101" s="27"/>
      <c r="Z101" s="27"/>
    </row>
    <row r="102" spans="18:26" x14ac:dyDescent="0.3">
      <c r="R102" s="96"/>
      <c r="S102" s="54"/>
      <c r="T102" s="54"/>
      <c r="U102" s="54"/>
      <c r="V102" s="54"/>
      <c r="W102" s="54"/>
      <c r="X102" s="54"/>
      <c r="Y102" s="27"/>
      <c r="Z102" s="27"/>
    </row>
    <row r="103" spans="18:26" x14ac:dyDescent="0.3">
      <c r="R103" s="96"/>
      <c r="S103" s="54"/>
      <c r="T103" s="54"/>
      <c r="U103" s="54"/>
      <c r="V103" s="54"/>
      <c r="W103" s="54"/>
      <c r="X103" s="54"/>
      <c r="Y103" s="27"/>
      <c r="Z103" s="27"/>
    </row>
    <row r="104" spans="18:26" x14ac:dyDescent="0.3">
      <c r="R104" s="96"/>
      <c r="S104" s="54"/>
      <c r="T104" s="54"/>
      <c r="U104" s="54"/>
      <c r="V104" s="54"/>
      <c r="W104" s="54"/>
      <c r="X104" s="54"/>
      <c r="Y104" s="27"/>
      <c r="Z104" s="27"/>
    </row>
    <row r="105" spans="18:26" x14ac:dyDescent="0.3">
      <c r="R105" s="96"/>
      <c r="S105" s="54"/>
      <c r="T105" s="54"/>
      <c r="U105" s="54"/>
      <c r="V105" s="54"/>
      <c r="W105" s="54"/>
      <c r="X105" s="54"/>
      <c r="Y105" s="27"/>
      <c r="Z105" s="27"/>
    </row>
    <row r="106" spans="18:26" x14ac:dyDescent="0.3">
      <c r="R106" s="96"/>
      <c r="S106" s="54"/>
      <c r="T106" s="54"/>
      <c r="U106" s="54"/>
      <c r="V106" s="54"/>
      <c r="W106" s="54"/>
      <c r="X106" s="54"/>
      <c r="Y106" s="27"/>
      <c r="Z106" s="27"/>
    </row>
    <row r="107" spans="18:26" x14ac:dyDescent="0.3">
      <c r="R107" s="96"/>
      <c r="S107" s="54"/>
      <c r="T107" s="54"/>
      <c r="U107" s="54"/>
      <c r="V107" s="54"/>
      <c r="W107" s="54"/>
      <c r="X107" s="54"/>
      <c r="Y107" s="27"/>
      <c r="Z107" s="27"/>
    </row>
    <row r="108" spans="18:26" x14ac:dyDescent="0.3">
      <c r="R108" s="96"/>
      <c r="S108" s="54"/>
      <c r="T108" s="54"/>
      <c r="U108" s="54"/>
      <c r="V108" s="54"/>
      <c r="W108" s="54"/>
      <c r="X108" s="54"/>
      <c r="Y108" s="27"/>
      <c r="Z108" s="27"/>
    </row>
    <row r="109" spans="18:26" x14ac:dyDescent="0.3">
      <c r="R109" s="96"/>
      <c r="S109" s="54"/>
      <c r="T109" s="54"/>
      <c r="U109" s="54"/>
      <c r="V109" s="54"/>
      <c r="W109" s="54"/>
      <c r="X109" s="54"/>
      <c r="Y109" s="27"/>
      <c r="Z109" s="27"/>
    </row>
    <row r="110" spans="18:26" x14ac:dyDescent="0.3">
      <c r="R110" s="96"/>
      <c r="S110" s="54"/>
      <c r="T110" s="54"/>
      <c r="U110" s="54"/>
      <c r="V110" s="54"/>
      <c r="W110" s="54"/>
      <c r="X110" s="54"/>
      <c r="Y110" s="27"/>
      <c r="Z110" s="27"/>
    </row>
    <row r="111" spans="18:26" x14ac:dyDescent="0.3">
      <c r="R111" s="96"/>
      <c r="S111" s="54"/>
      <c r="T111" s="54"/>
      <c r="U111" s="54"/>
      <c r="V111" s="54"/>
      <c r="W111" s="54"/>
      <c r="X111" s="54"/>
      <c r="Y111" s="27"/>
      <c r="Z111" s="27"/>
    </row>
    <row r="112" spans="18:26" x14ac:dyDescent="0.3">
      <c r="R112" s="96"/>
      <c r="S112" s="54"/>
      <c r="T112" s="54"/>
      <c r="U112" s="54"/>
      <c r="V112" s="54"/>
      <c r="W112" s="54"/>
      <c r="X112" s="54"/>
      <c r="Y112" s="27"/>
      <c r="Z112" s="27"/>
    </row>
    <row r="113" spans="18:26" x14ac:dyDescent="0.3">
      <c r="R113" s="96"/>
      <c r="S113" s="54"/>
      <c r="T113" s="54"/>
      <c r="U113" s="54"/>
      <c r="V113" s="54"/>
      <c r="W113" s="54"/>
      <c r="X113" s="54"/>
      <c r="Y113" s="27"/>
      <c r="Z113" s="27"/>
    </row>
    <row r="114" spans="18:26" x14ac:dyDescent="0.3">
      <c r="R114" s="96"/>
      <c r="S114" s="54"/>
      <c r="T114" s="54"/>
      <c r="U114" s="54"/>
      <c r="V114" s="54"/>
      <c r="W114" s="54"/>
      <c r="X114" s="54"/>
      <c r="Y114" s="27"/>
      <c r="Z114" s="27"/>
    </row>
    <row r="115" spans="18:26" x14ac:dyDescent="0.3">
      <c r="R115" s="96"/>
      <c r="S115" s="54"/>
      <c r="T115" s="54"/>
      <c r="U115" s="54"/>
      <c r="V115" s="54"/>
      <c r="W115" s="54"/>
      <c r="X115" s="54"/>
      <c r="Y115" s="27"/>
      <c r="Z115" s="27"/>
    </row>
    <row r="116" spans="18:26" x14ac:dyDescent="0.3">
      <c r="R116" s="96"/>
      <c r="S116" s="54"/>
      <c r="T116" s="54"/>
      <c r="U116" s="54"/>
      <c r="V116" s="54"/>
      <c r="W116" s="54"/>
      <c r="X116" s="54"/>
      <c r="Y116" s="27"/>
      <c r="Z116" s="27"/>
    </row>
    <row r="117" spans="18:26" x14ac:dyDescent="0.3">
      <c r="R117" s="96"/>
      <c r="S117" s="54"/>
      <c r="T117" s="54"/>
      <c r="U117" s="54"/>
      <c r="V117" s="54"/>
      <c r="W117" s="54"/>
      <c r="X117" s="54"/>
      <c r="Y117" s="27"/>
      <c r="Z117" s="27"/>
    </row>
    <row r="118" spans="18:26" x14ac:dyDescent="0.3">
      <c r="R118" s="96"/>
      <c r="S118" s="54"/>
      <c r="T118" s="54"/>
      <c r="U118" s="54"/>
      <c r="V118" s="54"/>
      <c r="W118" s="54"/>
      <c r="X118" s="54"/>
      <c r="Y118" s="27"/>
      <c r="Z118" s="27"/>
    </row>
    <row r="119" spans="18:26" x14ac:dyDescent="0.3">
      <c r="R119" s="96"/>
      <c r="S119" s="54"/>
      <c r="T119" s="54"/>
      <c r="U119" s="54"/>
      <c r="V119" s="54"/>
      <c r="W119" s="54"/>
      <c r="X119" s="54"/>
      <c r="Y119" s="27"/>
      <c r="Z119" s="27"/>
    </row>
    <row r="120" spans="18:26" x14ac:dyDescent="0.3">
      <c r="R120" s="96"/>
      <c r="S120" s="54"/>
      <c r="T120" s="54"/>
      <c r="U120" s="54"/>
      <c r="V120" s="54"/>
      <c r="W120" s="54"/>
      <c r="X120" s="54"/>
      <c r="Y120" s="27"/>
      <c r="Z120" s="27"/>
    </row>
    <row r="121" spans="18:26" x14ac:dyDescent="0.3">
      <c r="R121" s="96"/>
      <c r="S121" s="54"/>
      <c r="T121" s="54"/>
      <c r="U121" s="54"/>
      <c r="V121" s="54"/>
      <c r="W121" s="54"/>
      <c r="X121" s="54"/>
      <c r="Y121" s="27"/>
      <c r="Z121" s="27"/>
    </row>
    <row r="122" spans="18:26" x14ac:dyDescent="0.3">
      <c r="R122" s="96"/>
      <c r="S122" s="54"/>
      <c r="T122" s="54"/>
      <c r="U122" s="54"/>
      <c r="V122" s="54"/>
      <c r="W122" s="54"/>
      <c r="X122" s="54"/>
      <c r="Y122" s="27"/>
      <c r="Z122" s="27"/>
    </row>
    <row r="123" spans="18:26" x14ac:dyDescent="0.3">
      <c r="R123" s="96"/>
      <c r="S123" s="54"/>
      <c r="T123" s="54"/>
      <c r="U123" s="54"/>
      <c r="V123" s="54"/>
      <c r="W123" s="54"/>
      <c r="X123" s="54"/>
      <c r="Y123" s="27"/>
      <c r="Z123" s="27"/>
    </row>
    <row r="124" spans="18:26" x14ac:dyDescent="0.3">
      <c r="R124" s="96"/>
      <c r="S124" s="54"/>
      <c r="T124" s="54"/>
      <c r="U124" s="54"/>
      <c r="V124" s="54"/>
      <c r="W124" s="54"/>
      <c r="X124" s="54"/>
      <c r="Y124" s="27"/>
      <c r="Z124" s="27"/>
    </row>
    <row r="125" spans="18:26" x14ac:dyDescent="0.3">
      <c r="R125" s="96"/>
      <c r="S125" s="54"/>
      <c r="T125" s="54"/>
      <c r="U125" s="54"/>
      <c r="V125" s="54"/>
      <c r="W125" s="54"/>
      <c r="X125" s="54"/>
      <c r="Y125" s="27"/>
      <c r="Z125" s="27"/>
    </row>
    <row r="126" spans="18:26" x14ac:dyDescent="0.3">
      <c r="R126" s="96"/>
      <c r="S126" s="54"/>
      <c r="T126" s="54"/>
      <c r="U126" s="54"/>
      <c r="V126" s="54"/>
      <c r="W126" s="54"/>
      <c r="X126" s="54"/>
      <c r="Y126" s="27"/>
      <c r="Z126" s="27"/>
    </row>
    <row r="127" spans="18:26" x14ac:dyDescent="0.3">
      <c r="R127" s="96"/>
      <c r="S127" s="54"/>
      <c r="T127" s="54"/>
      <c r="U127" s="54"/>
      <c r="V127" s="54"/>
      <c r="W127" s="54"/>
      <c r="X127" s="54"/>
      <c r="Y127" s="27"/>
      <c r="Z127" s="27"/>
    </row>
    <row r="128" spans="18:26" x14ac:dyDescent="0.3">
      <c r="R128" s="96"/>
      <c r="S128" s="54"/>
      <c r="T128" s="54"/>
      <c r="U128" s="54"/>
      <c r="V128" s="54"/>
      <c r="W128" s="54"/>
      <c r="X128" s="54"/>
      <c r="Y128" s="27"/>
      <c r="Z128" s="27"/>
    </row>
    <row r="129" spans="18:26" x14ac:dyDescent="0.3">
      <c r="R129" s="96"/>
      <c r="S129" s="54"/>
      <c r="T129" s="54"/>
      <c r="U129" s="54"/>
      <c r="V129" s="54"/>
      <c r="W129" s="54"/>
      <c r="X129" s="54"/>
      <c r="Y129" s="27"/>
      <c r="Z129" s="27"/>
    </row>
    <row r="130" spans="18:26" x14ac:dyDescent="0.3">
      <c r="R130" s="96"/>
      <c r="S130" s="54"/>
      <c r="T130" s="54"/>
      <c r="U130" s="54"/>
      <c r="V130" s="54"/>
      <c r="W130" s="54"/>
      <c r="X130" s="54"/>
      <c r="Y130" s="27"/>
      <c r="Z130" s="27"/>
    </row>
    <row r="131" spans="18:26" x14ac:dyDescent="0.3">
      <c r="R131" s="96"/>
      <c r="S131" s="54"/>
      <c r="T131" s="54"/>
      <c r="U131" s="54"/>
      <c r="V131" s="54"/>
      <c r="W131" s="54"/>
      <c r="X131" s="54"/>
      <c r="Y131" s="27"/>
      <c r="Z131" s="27"/>
    </row>
    <row r="132" spans="18:26" x14ac:dyDescent="0.3">
      <c r="R132" s="96"/>
      <c r="S132" s="54"/>
      <c r="T132" s="54"/>
      <c r="U132" s="54"/>
      <c r="V132" s="54"/>
      <c r="W132" s="54"/>
      <c r="X132" s="54"/>
      <c r="Y132" s="27"/>
      <c r="Z132" s="27"/>
    </row>
    <row r="133" spans="18:26" x14ac:dyDescent="0.3">
      <c r="R133" s="96"/>
      <c r="S133" s="54"/>
      <c r="T133" s="54"/>
      <c r="U133" s="54"/>
      <c r="V133" s="54"/>
      <c r="W133" s="54"/>
      <c r="X133" s="54"/>
      <c r="Y133" s="27"/>
      <c r="Z133" s="27"/>
    </row>
    <row r="134" spans="18:26" x14ac:dyDescent="0.3">
      <c r="R134" s="96"/>
      <c r="S134" s="54"/>
      <c r="T134" s="54"/>
      <c r="U134" s="54"/>
      <c r="V134" s="54"/>
      <c r="W134" s="54"/>
      <c r="X134" s="54"/>
      <c r="Y134" s="27"/>
      <c r="Z134" s="27"/>
    </row>
    <row r="135" spans="18:26" x14ac:dyDescent="0.3">
      <c r="R135" s="96"/>
      <c r="S135" s="54"/>
      <c r="T135" s="54"/>
      <c r="U135" s="54"/>
      <c r="V135" s="54"/>
      <c r="W135" s="54"/>
      <c r="X135" s="54"/>
      <c r="Y135" s="27"/>
      <c r="Z135" s="27"/>
    </row>
    <row r="136" spans="18:26" x14ac:dyDescent="0.3">
      <c r="R136" s="96"/>
      <c r="S136" s="54"/>
      <c r="T136" s="54"/>
      <c r="U136" s="54"/>
      <c r="V136" s="54"/>
      <c r="W136" s="54"/>
      <c r="X136" s="54"/>
      <c r="Y136" s="27"/>
      <c r="Z136" s="27"/>
    </row>
    <row r="137" spans="18:26" x14ac:dyDescent="0.3">
      <c r="R137" s="96"/>
      <c r="S137" s="54"/>
      <c r="T137" s="54"/>
      <c r="U137" s="54"/>
      <c r="V137" s="54"/>
      <c r="W137" s="54"/>
      <c r="X137" s="54"/>
      <c r="Y137" s="27"/>
      <c r="Z137" s="27"/>
    </row>
    <row r="138" spans="18:26" x14ac:dyDescent="0.3">
      <c r="R138" s="96"/>
      <c r="S138" s="54"/>
      <c r="T138" s="54"/>
      <c r="U138" s="54"/>
      <c r="V138" s="54"/>
      <c r="W138" s="54"/>
      <c r="X138" s="54"/>
      <c r="Y138" s="27"/>
      <c r="Z138" s="27"/>
    </row>
    <row r="139" spans="18:26" x14ac:dyDescent="0.3">
      <c r="R139" s="96"/>
      <c r="S139" s="54"/>
      <c r="T139" s="54"/>
      <c r="U139" s="54"/>
      <c r="V139" s="54"/>
      <c r="W139" s="54"/>
      <c r="X139" s="54"/>
      <c r="Y139" s="27"/>
      <c r="Z139" s="27"/>
    </row>
    <row r="140" spans="18:26" x14ac:dyDescent="0.3">
      <c r="R140" s="96"/>
      <c r="S140" s="54"/>
      <c r="T140" s="54"/>
      <c r="U140" s="54"/>
      <c r="V140" s="54"/>
      <c r="W140" s="54"/>
      <c r="X140" s="54"/>
      <c r="Y140" s="27"/>
      <c r="Z140" s="27"/>
    </row>
    <row r="141" spans="18:26" x14ac:dyDescent="0.3">
      <c r="R141" s="96"/>
      <c r="S141" s="54"/>
      <c r="T141" s="54"/>
      <c r="U141" s="54"/>
      <c r="V141" s="54"/>
      <c r="W141" s="54"/>
      <c r="X141" s="54"/>
      <c r="Y141" s="27"/>
      <c r="Z141" s="27"/>
    </row>
    <row r="142" spans="18:26" x14ac:dyDescent="0.3">
      <c r="R142" s="96"/>
      <c r="S142" s="54"/>
      <c r="T142" s="54"/>
      <c r="U142" s="54"/>
      <c r="V142" s="54"/>
      <c r="W142" s="54"/>
      <c r="X142" s="54"/>
      <c r="Y142" s="27"/>
      <c r="Z142" s="27"/>
    </row>
    <row r="143" spans="18:26" x14ac:dyDescent="0.3">
      <c r="R143" s="96"/>
      <c r="S143" s="54"/>
      <c r="T143" s="54"/>
      <c r="U143" s="54"/>
      <c r="V143" s="54"/>
      <c r="W143" s="54"/>
      <c r="X143" s="54"/>
      <c r="Y143" s="27"/>
      <c r="Z143" s="27"/>
    </row>
    <row r="144" spans="18:26" x14ac:dyDescent="0.3">
      <c r="R144" s="96"/>
      <c r="S144" s="54"/>
      <c r="T144" s="54"/>
      <c r="U144" s="54"/>
      <c r="V144" s="54"/>
      <c r="W144" s="54"/>
      <c r="X144" s="54"/>
      <c r="Y144" s="27"/>
      <c r="Z144" s="27"/>
    </row>
    <row r="145" spans="18:26" x14ac:dyDescent="0.3">
      <c r="R145" s="96"/>
      <c r="S145" s="54"/>
      <c r="T145" s="54"/>
      <c r="U145" s="54"/>
      <c r="V145" s="54"/>
      <c r="W145" s="54"/>
      <c r="X145" s="54"/>
      <c r="Y145" s="27"/>
      <c r="Z145" s="27"/>
    </row>
    <row r="146" spans="18:26" x14ac:dyDescent="0.3">
      <c r="R146" s="96"/>
      <c r="S146" s="54"/>
      <c r="T146" s="54"/>
      <c r="U146" s="54"/>
      <c r="V146" s="54"/>
      <c r="W146" s="54"/>
      <c r="X146" s="54"/>
      <c r="Y146" s="27"/>
      <c r="Z146" s="27"/>
    </row>
    <row r="147" spans="18:26" x14ac:dyDescent="0.3">
      <c r="R147" s="96"/>
      <c r="S147" s="54"/>
      <c r="T147" s="54"/>
      <c r="U147" s="54"/>
      <c r="V147" s="54"/>
      <c r="W147" s="54"/>
      <c r="X147" s="54"/>
      <c r="Y147" s="27"/>
      <c r="Z147" s="27"/>
    </row>
    <row r="148" spans="18:26" x14ac:dyDescent="0.3">
      <c r="R148" s="96"/>
      <c r="S148" s="54"/>
      <c r="T148" s="54"/>
      <c r="U148" s="54"/>
      <c r="V148" s="54"/>
      <c r="W148" s="54"/>
      <c r="X148" s="54"/>
      <c r="Y148" s="27"/>
      <c r="Z148" s="27"/>
    </row>
    <row r="149" spans="18:26" x14ac:dyDescent="0.3">
      <c r="R149" s="96"/>
      <c r="S149" s="54"/>
      <c r="T149" s="54"/>
      <c r="U149" s="54"/>
      <c r="V149" s="54"/>
      <c r="W149" s="54"/>
      <c r="X149" s="54"/>
      <c r="Y149" s="27"/>
      <c r="Z149" s="27"/>
    </row>
    <row r="150" spans="18:26" x14ac:dyDescent="0.3">
      <c r="R150" s="96"/>
      <c r="S150" s="54"/>
      <c r="T150" s="54"/>
      <c r="U150" s="54"/>
      <c r="V150" s="54"/>
      <c r="W150" s="54"/>
      <c r="X150" s="54"/>
      <c r="Y150" s="27"/>
      <c r="Z150" s="27"/>
    </row>
    <row r="151" spans="18:26" x14ac:dyDescent="0.3">
      <c r="R151" s="96"/>
      <c r="S151" s="54"/>
      <c r="T151" s="54"/>
      <c r="U151" s="54"/>
      <c r="V151" s="54"/>
      <c r="W151" s="54"/>
      <c r="X151" s="54"/>
      <c r="Y151" s="27"/>
      <c r="Z151" s="27"/>
    </row>
    <row r="152" spans="18:26" x14ac:dyDescent="0.3">
      <c r="R152" s="96"/>
      <c r="S152" s="54"/>
      <c r="T152" s="54"/>
      <c r="U152" s="54"/>
      <c r="V152" s="54"/>
      <c r="W152" s="54"/>
      <c r="X152" s="54"/>
      <c r="Y152" s="27"/>
      <c r="Z152" s="27"/>
    </row>
    <row r="153" spans="18:26" x14ac:dyDescent="0.3">
      <c r="R153" s="96"/>
      <c r="S153" s="54"/>
      <c r="T153" s="54"/>
      <c r="U153" s="54"/>
      <c r="V153" s="54"/>
      <c r="W153" s="54"/>
      <c r="X153" s="54"/>
      <c r="Y153" s="27"/>
      <c r="Z153" s="27"/>
    </row>
    <row r="154" spans="18:26" x14ac:dyDescent="0.3">
      <c r="R154" s="96"/>
      <c r="S154" s="54"/>
      <c r="T154" s="54"/>
      <c r="U154" s="54"/>
      <c r="V154" s="54"/>
      <c r="W154" s="54"/>
      <c r="X154" s="54"/>
      <c r="Y154" s="27"/>
      <c r="Z154" s="27"/>
    </row>
    <row r="155" spans="18:26" x14ac:dyDescent="0.3">
      <c r="R155" s="96"/>
      <c r="S155" s="54"/>
      <c r="T155" s="54"/>
      <c r="U155" s="54"/>
      <c r="V155" s="54"/>
      <c r="W155" s="54"/>
      <c r="X155" s="54"/>
      <c r="Y155" s="27"/>
      <c r="Z155" s="27"/>
    </row>
    <row r="156" spans="18:26" x14ac:dyDescent="0.3">
      <c r="R156" s="96"/>
      <c r="S156" s="54"/>
      <c r="T156" s="54"/>
      <c r="U156" s="54"/>
      <c r="V156" s="54"/>
      <c r="W156" s="54"/>
      <c r="X156" s="54"/>
      <c r="Y156" s="27"/>
      <c r="Z156" s="27"/>
    </row>
    <row r="157" spans="18:26" x14ac:dyDescent="0.3">
      <c r="R157" s="96"/>
      <c r="S157" s="54"/>
      <c r="T157" s="54"/>
      <c r="U157" s="54"/>
      <c r="V157" s="54"/>
      <c r="W157" s="54"/>
      <c r="X157" s="54"/>
      <c r="Y157" s="27"/>
      <c r="Z157" s="27"/>
    </row>
    <row r="158" spans="18:26" x14ac:dyDescent="0.3">
      <c r="R158" s="96"/>
      <c r="S158" s="54"/>
      <c r="T158" s="54"/>
      <c r="U158" s="54"/>
      <c r="V158" s="54"/>
      <c r="W158" s="54"/>
      <c r="X158" s="54"/>
      <c r="Y158" s="27"/>
      <c r="Z158" s="27"/>
    </row>
    <row r="159" spans="18:26" x14ac:dyDescent="0.3">
      <c r="R159" s="96"/>
      <c r="S159" s="54"/>
      <c r="T159" s="54"/>
      <c r="U159" s="54"/>
      <c r="V159" s="54"/>
      <c r="W159" s="54"/>
      <c r="X159" s="54"/>
      <c r="Y159" s="27"/>
      <c r="Z159" s="27"/>
    </row>
    <row r="160" spans="18:26" x14ac:dyDescent="0.3">
      <c r="R160" s="96"/>
      <c r="S160" s="54"/>
      <c r="T160" s="54"/>
      <c r="U160" s="54"/>
      <c r="V160" s="54"/>
      <c r="W160" s="54"/>
      <c r="X160" s="54"/>
      <c r="Y160" s="27"/>
      <c r="Z160" s="27"/>
    </row>
    <row r="161" spans="18:26" x14ac:dyDescent="0.3">
      <c r="R161" s="96"/>
      <c r="S161" s="54"/>
      <c r="T161" s="54"/>
      <c r="U161" s="54"/>
      <c r="V161" s="54"/>
      <c r="W161" s="54"/>
      <c r="X161" s="54"/>
      <c r="Y161" s="27"/>
      <c r="Z161" s="27"/>
    </row>
    <row r="162" spans="18:26" x14ac:dyDescent="0.3">
      <c r="R162" s="96"/>
      <c r="S162" s="54"/>
      <c r="T162" s="54"/>
      <c r="U162" s="54"/>
      <c r="V162" s="54"/>
      <c r="W162" s="54"/>
      <c r="X162" s="54"/>
      <c r="Y162" s="27"/>
      <c r="Z162" s="27"/>
    </row>
    <row r="163" spans="18:26" x14ac:dyDescent="0.3">
      <c r="R163" s="96"/>
      <c r="S163" s="54"/>
      <c r="T163" s="54"/>
      <c r="U163" s="54"/>
      <c r="V163" s="54"/>
      <c r="W163" s="54"/>
      <c r="X163" s="54"/>
      <c r="Y163" s="27"/>
      <c r="Z163" s="27"/>
    </row>
    <row r="164" spans="18:26" x14ac:dyDescent="0.3">
      <c r="R164" s="96"/>
      <c r="S164" s="54"/>
      <c r="T164" s="54"/>
      <c r="U164" s="54"/>
      <c r="V164" s="54"/>
      <c r="W164" s="54"/>
      <c r="X164" s="54"/>
      <c r="Y164" s="27"/>
      <c r="Z164" s="27"/>
    </row>
    <row r="165" spans="18:26" x14ac:dyDescent="0.3">
      <c r="R165" s="96"/>
      <c r="S165" s="54"/>
      <c r="T165" s="54"/>
      <c r="U165" s="54"/>
      <c r="V165" s="54"/>
      <c r="W165" s="54"/>
      <c r="X165" s="54"/>
      <c r="Y165" s="27"/>
      <c r="Z165" s="27"/>
    </row>
    <row r="166" spans="18:26" x14ac:dyDescent="0.3">
      <c r="R166" s="96"/>
      <c r="S166" s="54"/>
      <c r="T166" s="54"/>
      <c r="U166" s="54"/>
      <c r="V166" s="54"/>
      <c r="W166" s="54"/>
      <c r="X166" s="54"/>
      <c r="Y166" s="27"/>
      <c r="Z166" s="27"/>
    </row>
    <row r="167" spans="18:26" x14ac:dyDescent="0.3">
      <c r="R167" s="96"/>
      <c r="S167" s="54"/>
      <c r="T167" s="54"/>
      <c r="U167" s="54"/>
      <c r="V167" s="54"/>
      <c r="W167" s="54"/>
      <c r="X167" s="54"/>
      <c r="Y167" s="27"/>
      <c r="Z167" s="27"/>
    </row>
    <row r="168" spans="18:26" x14ac:dyDescent="0.3">
      <c r="R168" s="96"/>
      <c r="S168" s="54"/>
      <c r="T168" s="54"/>
      <c r="U168" s="54"/>
      <c r="V168" s="54"/>
      <c r="W168" s="54"/>
      <c r="X168" s="54"/>
      <c r="Y168" s="27"/>
      <c r="Z168" s="27"/>
    </row>
    <row r="169" spans="18:26" x14ac:dyDescent="0.3">
      <c r="R169" s="96"/>
      <c r="S169" s="54"/>
      <c r="T169" s="54"/>
      <c r="U169" s="54"/>
      <c r="V169" s="54"/>
      <c r="W169" s="54"/>
      <c r="X169" s="54"/>
      <c r="Y169" s="27"/>
      <c r="Z169" s="27"/>
    </row>
    <row r="170" spans="18:26" x14ac:dyDescent="0.3">
      <c r="R170" s="96"/>
      <c r="S170" s="54"/>
      <c r="T170" s="54"/>
      <c r="U170" s="54"/>
      <c r="V170" s="54"/>
      <c r="W170" s="54"/>
      <c r="X170" s="54"/>
      <c r="Y170" s="27"/>
      <c r="Z170" s="27"/>
    </row>
    <row r="171" spans="18:26" x14ac:dyDescent="0.3">
      <c r="R171" s="96"/>
      <c r="S171" s="54"/>
      <c r="T171" s="54"/>
      <c r="U171" s="54"/>
      <c r="V171" s="54"/>
      <c r="W171" s="54"/>
      <c r="X171" s="54"/>
      <c r="Y171" s="27"/>
      <c r="Z171" s="27"/>
    </row>
    <row r="172" spans="18:26" x14ac:dyDescent="0.3">
      <c r="R172" s="96"/>
      <c r="S172" s="54"/>
      <c r="T172" s="54"/>
      <c r="U172" s="54"/>
      <c r="V172" s="54"/>
      <c r="W172" s="54"/>
      <c r="X172" s="54"/>
      <c r="Y172" s="27"/>
      <c r="Z172" s="27"/>
    </row>
    <row r="173" spans="18:26" x14ac:dyDescent="0.3">
      <c r="R173" s="96"/>
      <c r="S173" s="54"/>
      <c r="T173" s="54"/>
      <c r="U173" s="54"/>
      <c r="V173" s="54"/>
      <c r="W173" s="54"/>
      <c r="X173" s="54"/>
      <c r="Y173" s="27"/>
      <c r="Z173" s="27"/>
    </row>
    <row r="174" spans="18:26" x14ac:dyDescent="0.3">
      <c r="R174" s="96"/>
      <c r="S174" s="54"/>
      <c r="T174" s="54"/>
      <c r="U174" s="54"/>
      <c r="V174" s="54"/>
      <c r="W174" s="54"/>
      <c r="X174" s="54"/>
      <c r="Y174" s="27"/>
      <c r="Z174" s="27"/>
    </row>
    <row r="175" spans="18:26" x14ac:dyDescent="0.3">
      <c r="R175" s="96"/>
      <c r="S175" s="54"/>
      <c r="T175" s="54"/>
      <c r="U175" s="54"/>
      <c r="V175" s="54"/>
      <c r="W175" s="54"/>
      <c r="X175" s="54"/>
      <c r="Y175" s="27"/>
      <c r="Z175" s="27"/>
    </row>
    <row r="176" spans="18:26" x14ac:dyDescent="0.3">
      <c r="R176" s="96"/>
      <c r="S176" s="54"/>
      <c r="T176" s="54"/>
      <c r="U176" s="54"/>
      <c r="V176" s="54"/>
      <c r="W176" s="54"/>
      <c r="X176" s="54"/>
      <c r="Y176" s="27"/>
      <c r="Z176" s="27"/>
    </row>
    <row r="177" spans="18:26" x14ac:dyDescent="0.3">
      <c r="R177" s="96"/>
      <c r="S177" s="54"/>
      <c r="T177" s="54"/>
      <c r="U177" s="54"/>
      <c r="V177" s="54"/>
      <c r="W177" s="54"/>
      <c r="X177" s="54"/>
      <c r="Y177" s="27"/>
      <c r="Z177" s="27"/>
    </row>
    <row r="178" spans="18:26" x14ac:dyDescent="0.3">
      <c r="R178" s="96"/>
      <c r="S178" s="54"/>
      <c r="T178" s="54"/>
      <c r="U178" s="54"/>
      <c r="V178" s="54"/>
      <c r="W178" s="54"/>
      <c r="X178" s="54"/>
      <c r="Y178" s="27"/>
      <c r="Z178" s="27"/>
    </row>
    <row r="179" spans="18:26" x14ac:dyDescent="0.3">
      <c r="R179" s="96"/>
      <c r="S179" s="54"/>
      <c r="T179" s="54"/>
      <c r="U179" s="54"/>
      <c r="V179" s="54"/>
      <c r="W179" s="54"/>
      <c r="X179" s="54"/>
      <c r="Y179" s="27"/>
      <c r="Z179" s="27"/>
    </row>
    <row r="180" spans="18:26" x14ac:dyDescent="0.3">
      <c r="R180" s="96"/>
      <c r="S180" s="54"/>
      <c r="T180" s="54"/>
      <c r="U180" s="54"/>
      <c r="V180" s="54"/>
      <c r="W180" s="54"/>
      <c r="X180" s="54"/>
      <c r="Y180" s="27"/>
      <c r="Z180" s="27"/>
    </row>
    <row r="181" spans="18:26" x14ac:dyDescent="0.3">
      <c r="R181" s="96"/>
      <c r="S181" s="54"/>
      <c r="T181" s="54"/>
      <c r="U181" s="54"/>
      <c r="V181" s="54"/>
      <c r="W181" s="54"/>
      <c r="X181" s="54"/>
      <c r="Y181" s="27"/>
      <c r="Z181" s="27"/>
    </row>
    <row r="182" spans="18:26" x14ac:dyDescent="0.3">
      <c r="R182" s="96"/>
      <c r="S182" s="54"/>
      <c r="T182" s="54"/>
      <c r="U182" s="54"/>
      <c r="V182" s="54"/>
      <c r="W182" s="54"/>
      <c r="X182" s="54"/>
      <c r="Y182" s="27"/>
      <c r="Z182" s="27"/>
    </row>
    <row r="183" spans="18:26" x14ac:dyDescent="0.3">
      <c r="R183" s="96"/>
      <c r="S183" s="54"/>
      <c r="T183" s="54"/>
      <c r="U183" s="54"/>
      <c r="V183" s="54"/>
      <c r="W183" s="54"/>
      <c r="X183" s="54"/>
      <c r="Y183" s="27"/>
      <c r="Z183" s="27"/>
    </row>
    <row r="184" spans="18:26" x14ac:dyDescent="0.3">
      <c r="R184" s="96"/>
      <c r="S184" s="54"/>
      <c r="T184" s="54"/>
      <c r="U184" s="54"/>
      <c r="V184" s="54"/>
      <c r="W184" s="54"/>
      <c r="X184" s="54"/>
      <c r="Y184" s="27"/>
      <c r="Z184" s="27"/>
    </row>
    <row r="185" spans="18:26" x14ac:dyDescent="0.3">
      <c r="R185" s="96"/>
      <c r="S185" s="54"/>
      <c r="T185" s="54"/>
      <c r="U185" s="54"/>
      <c r="V185" s="54"/>
      <c r="W185" s="54"/>
      <c r="X185" s="54"/>
      <c r="Y185" s="27"/>
      <c r="Z185" s="27"/>
    </row>
    <row r="186" spans="18:26" x14ac:dyDescent="0.3">
      <c r="R186" s="96"/>
      <c r="S186" s="54"/>
      <c r="T186" s="54"/>
      <c r="U186" s="54"/>
      <c r="V186" s="54"/>
      <c r="W186" s="54"/>
      <c r="X186" s="54"/>
      <c r="Y186" s="27"/>
      <c r="Z186" s="27"/>
    </row>
    <row r="187" spans="18:26" x14ac:dyDescent="0.3">
      <c r="R187" s="96"/>
      <c r="S187" s="54"/>
      <c r="T187" s="54"/>
      <c r="U187" s="54"/>
      <c r="V187" s="54"/>
      <c r="W187" s="54"/>
      <c r="X187" s="54"/>
      <c r="Y187" s="27"/>
      <c r="Z187" s="27"/>
    </row>
    <row r="188" spans="18:26" x14ac:dyDescent="0.3">
      <c r="R188" s="96"/>
      <c r="S188" s="54"/>
      <c r="T188" s="54"/>
      <c r="U188" s="54"/>
      <c r="V188" s="54"/>
      <c r="W188" s="54"/>
      <c r="X188" s="54"/>
      <c r="Y188" s="27"/>
      <c r="Z188" s="27"/>
    </row>
    <row r="189" spans="18:26" x14ac:dyDescent="0.3">
      <c r="R189" s="96"/>
      <c r="S189" s="54"/>
      <c r="T189" s="54"/>
      <c r="U189" s="54"/>
      <c r="V189" s="54"/>
      <c r="W189" s="54"/>
      <c r="X189" s="54"/>
      <c r="Y189" s="27"/>
      <c r="Z189" s="27"/>
    </row>
    <row r="190" spans="18:26" x14ac:dyDescent="0.3">
      <c r="R190" s="96"/>
      <c r="S190" s="54"/>
      <c r="T190" s="54"/>
      <c r="U190" s="54"/>
      <c r="V190" s="54"/>
      <c r="W190" s="54"/>
      <c r="X190" s="54"/>
      <c r="Y190" s="27"/>
      <c r="Z190" s="27"/>
    </row>
    <row r="191" spans="18:26" x14ac:dyDescent="0.3">
      <c r="R191" s="96"/>
      <c r="S191" s="54"/>
      <c r="T191" s="54"/>
      <c r="U191" s="54"/>
      <c r="V191" s="54"/>
      <c r="W191" s="54"/>
      <c r="X191" s="54"/>
      <c r="Y191" s="27"/>
      <c r="Z191" s="27"/>
    </row>
    <row r="192" spans="18:26" x14ac:dyDescent="0.3">
      <c r="R192" s="96"/>
      <c r="S192" s="54"/>
      <c r="T192" s="54"/>
      <c r="U192" s="54"/>
      <c r="V192" s="54"/>
      <c r="W192" s="54"/>
      <c r="X192" s="54"/>
      <c r="Y192" s="27"/>
      <c r="Z192" s="27"/>
    </row>
    <row r="193" spans="18:26" x14ac:dyDescent="0.3">
      <c r="R193" s="96"/>
      <c r="S193" s="54"/>
      <c r="T193" s="54"/>
      <c r="U193" s="54"/>
      <c r="V193" s="54"/>
      <c r="W193" s="54"/>
      <c r="X193" s="54"/>
      <c r="Y193" s="27"/>
      <c r="Z193" s="27"/>
    </row>
    <row r="194" spans="18:26" x14ac:dyDescent="0.3">
      <c r="R194" s="96"/>
      <c r="S194" s="54"/>
      <c r="T194" s="54"/>
      <c r="U194" s="54"/>
      <c r="V194" s="54"/>
      <c r="W194" s="54"/>
      <c r="X194" s="54"/>
      <c r="Y194" s="27"/>
      <c r="Z194" s="27"/>
    </row>
    <row r="195" spans="18:26" x14ac:dyDescent="0.3">
      <c r="R195" s="96"/>
      <c r="S195" s="54"/>
      <c r="T195" s="54"/>
      <c r="U195" s="54"/>
      <c r="V195" s="54"/>
      <c r="W195" s="54"/>
      <c r="X195" s="54"/>
      <c r="Y195" s="27"/>
      <c r="Z195" s="27"/>
    </row>
    <row r="196" spans="18:26" x14ac:dyDescent="0.3">
      <c r="R196" s="96"/>
      <c r="S196" s="54"/>
      <c r="T196" s="54"/>
      <c r="U196" s="54"/>
      <c r="V196" s="54"/>
      <c r="W196" s="54"/>
      <c r="X196" s="54"/>
      <c r="Y196" s="27"/>
      <c r="Z196" s="27"/>
    </row>
    <row r="197" spans="18:26" x14ac:dyDescent="0.3">
      <c r="R197" s="96"/>
      <c r="S197" s="54"/>
      <c r="T197" s="54"/>
      <c r="U197" s="54"/>
      <c r="V197" s="54"/>
      <c r="W197" s="54"/>
      <c r="X197" s="54"/>
      <c r="Y197" s="27"/>
      <c r="Z197" s="27"/>
    </row>
    <row r="198" spans="18:26" x14ac:dyDescent="0.3">
      <c r="R198" s="96"/>
      <c r="S198" s="54"/>
      <c r="T198" s="54"/>
      <c r="U198" s="54"/>
      <c r="V198" s="54"/>
      <c r="W198" s="54"/>
      <c r="X198" s="54"/>
      <c r="Y198" s="27"/>
      <c r="Z198" s="27"/>
    </row>
    <row r="199" spans="18:26" x14ac:dyDescent="0.3">
      <c r="R199" s="96"/>
      <c r="S199" s="54"/>
      <c r="T199" s="54"/>
      <c r="U199" s="54"/>
      <c r="V199" s="54"/>
      <c r="W199" s="54"/>
      <c r="X199" s="54"/>
      <c r="Y199" s="27"/>
      <c r="Z199" s="27"/>
    </row>
    <row r="200" spans="18:26" x14ac:dyDescent="0.3">
      <c r="R200" s="96"/>
      <c r="S200" s="54"/>
      <c r="T200" s="54"/>
      <c r="U200" s="54"/>
      <c r="V200" s="54"/>
      <c r="W200" s="54"/>
      <c r="X200" s="54"/>
      <c r="Y200" s="27"/>
      <c r="Z200" s="27"/>
    </row>
    <row r="201" spans="18:26" x14ac:dyDescent="0.3">
      <c r="R201" s="96"/>
      <c r="S201" s="54"/>
      <c r="T201" s="54"/>
      <c r="U201" s="54"/>
      <c r="V201" s="54"/>
      <c r="W201" s="54"/>
      <c r="X201" s="54"/>
      <c r="Y201" s="27"/>
      <c r="Z201" s="27"/>
    </row>
    <row r="202" spans="18:26" x14ac:dyDescent="0.3">
      <c r="R202" s="96"/>
      <c r="S202" s="54"/>
      <c r="T202" s="54"/>
      <c r="U202" s="54"/>
      <c r="V202" s="54"/>
      <c r="W202" s="54"/>
      <c r="X202" s="54"/>
      <c r="Y202" s="27"/>
      <c r="Z202" s="27"/>
    </row>
    <row r="203" spans="18:26" x14ac:dyDescent="0.3">
      <c r="R203" s="96"/>
      <c r="S203" s="54"/>
      <c r="T203" s="54"/>
      <c r="U203" s="54"/>
      <c r="V203" s="54"/>
      <c r="W203" s="54"/>
      <c r="X203" s="54"/>
      <c r="Y203" s="27"/>
      <c r="Z203" s="27"/>
    </row>
    <row r="204" spans="18:26" x14ac:dyDescent="0.3">
      <c r="R204" s="96"/>
      <c r="S204" s="54"/>
      <c r="T204" s="54"/>
      <c r="U204" s="54"/>
      <c r="V204" s="54"/>
      <c r="W204" s="54"/>
      <c r="X204" s="54"/>
      <c r="Y204" s="27"/>
      <c r="Z204" s="27"/>
    </row>
    <row r="205" spans="18:26" x14ac:dyDescent="0.3">
      <c r="R205" s="96"/>
      <c r="S205" s="54"/>
      <c r="T205" s="54"/>
      <c r="U205" s="54"/>
      <c r="V205" s="54"/>
      <c r="W205" s="54"/>
      <c r="X205" s="54"/>
      <c r="Y205" s="27"/>
      <c r="Z205" s="27"/>
    </row>
    <row r="206" spans="18:26" x14ac:dyDescent="0.3">
      <c r="R206" s="96"/>
      <c r="S206" s="54"/>
      <c r="T206" s="54"/>
      <c r="U206" s="54"/>
      <c r="V206" s="54"/>
      <c r="W206" s="54"/>
      <c r="X206" s="54"/>
      <c r="Y206" s="27"/>
      <c r="Z206" s="27"/>
    </row>
    <row r="207" spans="18:26" x14ac:dyDescent="0.3">
      <c r="R207" s="96"/>
      <c r="S207" s="54"/>
      <c r="T207" s="54"/>
      <c r="U207" s="54"/>
      <c r="V207" s="54"/>
      <c r="W207" s="54"/>
      <c r="X207" s="54"/>
      <c r="Y207" s="27"/>
      <c r="Z207" s="27"/>
    </row>
    <row r="208" spans="18:26" x14ac:dyDescent="0.3">
      <c r="R208" s="96"/>
      <c r="S208" s="54"/>
      <c r="T208" s="54"/>
      <c r="U208" s="54"/>
      <c r="V208" s="54"/>
      <c r="W208" s="54"/>
      <c r="X208" s="54"/>
      <c r="Y208" s="27"/>
      <c r="Z208" s="27"/>
    </row>
    <row r="209" spans="18:26" x14ac:dyDescent="0.3">
      <c r="R209" s="96"/>
      <c r="S209" s="54"/>
      <c r="T209" s="54"/>
      <c r="U209" s="54"/>
      <c r="V209" s="54"/>
      <c r="W209" s="54"/>
      <c r="X209" s="54"/>
      <c r="Y209" s="27"/>
      <c r="Z209" s="27"/>
    </row>
    <row r="210" spans="18:26" x14ac:dyDescent="0.3">
      <c r="R210" s="96"/>
      <c r="S210" s="54"/>
      <c r="T210" s="54"/>
      <c r="U210" s="54"/>
      <c r="V210" s="54"/>
      <c r="W210" s="54"/>
      <c r="X210" s="54"/>
      <c r="Y210" s="27"/>
      <c r="Z210" s="27"/>
    </row>
    <row r="211" spans="18:26" x14ac:dyDescent="0.3">
      <c r="R211" s="96"/>
      <c r="S211" s="54"/>
      <c r="T211" s="54"/>
      <c r="U211" s="54"/>
      <c r="V211" s="54"/>
      <c r="W211" s="54"/>
      <c r="X211" s="54"/>
      <c r="Y211" s="27"/>
      <c r="Z211" s="27"/>
    </row>
    <row r="212" spans="18:26" x14ac:dyDescent="0.3">
      <c r="R212" s="96"/>
      <c r="S212" s="54"/>
      <c r="T212" s="54"/>
      <c r="U212" s="54"/>
      <c r="V212" s="54"/>
      <c r="W212" s="54"/>
      <c r="X212" s="54"/>
      <c r="Y212" s="27"/>
      <c r="Z212" s="27"/>
    </row>
    <row r="213" spans="18:26" x14ac:dyDescent="0.3">
      <c r="R213" s="96"/>
      <c r="S213" s="54"/>
      <c r="T213" s="54"/>
      <c r="U213" s="54"/>
      <c r="V213" s="54"/>
      <c r="W213" s="54"/>
      <c r="X213" s="54"/>
      <c r="Y213" s="27"/>
      <c r="Z213" s="27"/>
    </row>
    <row r="214" spans="18:26" x14ac:dyDescent="0.3">
      <c r="R214" s="96"/>
      <c r="S214" s="54"/>
      <c r="T214" s="54"/>
      <c r="U214" s="54"/>
      <c r="V214" s="54"/>
      <c r="W214" s="54"/>
      <c r="X214" s="54"/>
      <c r="Y214" s="27"/>
      <c r="Z214" s="27"/>
    </row>
    <row r="215" spans="18:26" x14ac:dyDescent="0.3">
      <c r="R215" s="96"/>
      <c r="S215" s="54"/>
      <c r="T215" s="54"/>
      <c r="U215" s="54"/>
      <c r="V215" s="54"/>
      <c r="W215" s="54"/>
      <c r="X215" s="54"/>
      <c r="Y215" s="27"/>
      <c r="Z215" s="27"/>
    </row>
    <row r="216" spans="18:26" x14ac:dyDescent="0.3">
      <c r="R216" s="96"/>
      <c r="S216" s="54"/>
      <c r="T216" s="54"/>
      <c r="U216" s="54"/>
      <c r="V216" s="54"/>
      <c r="W216" s="54"/>
      <c r="X216" s="54"/>
      <c r="Y216" s="27"/>
      <c r="Z216" s="27"/>
    </row>
    <row r="217" spans="18:26" x14ac:dyDescent="0.3">
      <c r="R217" s="96"/>
      <c r="S217" s="54"/>
      <c r="T217" s="54"/>
      <c r="U217" s="54"/>
      <c r="V217" s="54"/>
      <c r="W217" s="54"/>
      <c r="X217" s="54"/>
      <c r="Y217" s="27"/>
      <c r="Z217" s="27"/>
    </row>
    <row r="218" spans="18:26" x14ac:dyDescent="0.3">
      <c r="R218" s="96"/>
      <c r="S218" s="54"/>
      <c r="T218" s="54"/>
      <c r="U218" s="54"/>
      <c r="V218" s="54"/>
      <c r="W218" s="54"/>
      <c r="X218" s="54"/>
      <c r="Y218" s="27"/>
      <c r="Z218" s="27"/>
    </row>
    <row r="219" spans="18:26" x14ac:dyDescent="0.3">
      <c r="R219" s="96"/>
      <c r="S219" s="54"/>
      <c r="T219" s="54"/>
      <c r="U219" s="54"/>
      <c r="V219" s="54"/>
      <c r="W219" s="54"/>
      <c r="X219" s="54"/>
      <c r="Y219" s="27"/>
      <c r="Z219" s="27"/>
    </row>
    <row r="220" spans="18:26" x14ac:dyDescent="0.3">
      <c r="R220" s="96"/>
      <c r="S220" s="54"/>
      <c r="T220" s="54"/>
      <c r="U220" s="54"/>
      <c r="V220" s="54"/>
      <c r="W220" s="54"/>
      <c r="X220" s="54"/>
      <c r="Y220" s="27"/>
      <c r="Z220" s="27"/>
    </row>
    <row r="221" spans="18:26" x14ac:dyDescent="0.3">
      <c r="R221" s="96"/>
      <c r="S221" s="54"/>
      <c r="T221" s="54"/>
      <c r="U221" s="54"/>
      <c r="V221" s="54"/>
      <c r="W221" s="54"/>
      <c r="X221" s="54"/>
      <c r="Y221" s="27"/>
      <c r="Z221" s="27"/>
    </row>
    <row r="222" spans="18:26" x14ac:dyDescent="0.3">
      <c r="R222" s="96"/>
      <c r="S222" s="54"/>
      <c r="T222" s="54"/>
      <c r="U222" s="54"/>
      <c r="V222" s="54"/>
      <c r="W222" s="54"/>
      <c r="X222" s="54"/>
      <c r="Y222" s="27"/>
      <c r="Z222" s="27"/>
    </row>
    <row r="223" spans="18:26" x14ac:dyDescent="0.3">
      <c r="R223" s="96"/>
      <c r="S223" s="54"/>
      <c r="T223" s="54"/>
      <c r="U223" s="54"/>
      <c r="V223" s="54"/>
      <c r="W223" s="54"/>
      <c r="X223" s="54"/>
      <c r="Y223" s="27"/>
      <c r="Z223" s="27"/>
    </row>
    <row r="224" spans="18:26" x14ac:dyDescent="0.3">
      <c r="R224" s="96"/>
      <c r="S224" s="54"/>
      <c r="T224" s="54"/>
      <c r="U224" s="54"/>
      <c r="V224" s="54"/>
      <c r="W224" s="54"/>
      <c r="X224" s="54"/>
      <c r="Y224" s="27"/>
      <c r="Z224" s="27"/>
    </row>
    <row r="225" spans="18:26" x14ac:dyDescent="0.3">
      <c r="R225" s="96"/>
      <c r="S225" s="54"/>
      <c r="T225" s="54"/>
      <c r="U225" s="54"/>
      <c r="V225" s="54"/>
      <c r="W225" s="54"/>
      <c r="X225" s="54"/>
      <c r="Y225" s="27"/>
      <c r="Z225" s="27"/>
    </row>
    <row r="226" spans="18:26" x14ac:dyDescent="0.3">
      <c r="R226" s="96"/>
      <c r="S226" s="54"/>
      <c r="T226" s="54"/>
      <c r="U226" s="54"/>
      <c r="V226" s="54"/>
      <c r="W226" s="54"/>
      <c r="X226" s="54"/>
      <c r="Y226" s="27"/>
      <c r="Z226" s="27"/>
    </row>
    <row r="227" spans="18:26" x14ac:dyDescent="0.3">
      <c r="R227" s="96"/>
      <c r="S227" s="54"/>
      <c r="T227" s="54"/>
      <c r="U227" s="54"/>
      <c r="V227" s="54"/>
      <c r="W227" s="54"/>
      <c r="X227" s="54"/>
      <c r="Y227" s="27"/>
      <c r="Z227" s="27"/>
    </row>
    <row r="228" spans="18:26" x14ac:dyDescent="0.3">
      <c r="R228" s="96"/>
      <c r="S228" s="54"/>
      <c r="T228" s="54"/>
      <c r="U228" s="54"/>
      <c r="V228" s="54"/>
      <c r="W228" s="54"/>
      <c r="X228" s="54"/>
      <c r="Y228" s="27"/>
      <c r="Z228" s="27"/>
    </row>
    <row r="229" spans="18:26" x14ac:dyDescent="0.3">
      <c r="R229" s="96"/>
      <c r="S229" s="54"/>
      <c r="T229" s="54"/>
      <c r="U229" s="54"/>
      <c r="V229" s="54"/>
      <c r="W229" s="54"/>
      <c r="X229" s="54"/>
      <c r="Y229" s="27"/>
      <c r="Z229" s="27"/>
    </row>
    <row r="230" spans="18:26" x14ac:dyDescent="0.3">
      <c r="R230" s="96"/>
      <c r="S230" s="54"/>
      <c r="T230" s="54"/>
      <c r="U230" s="54"/>
      <c r="V230" s="54"/>
      <c r="W230" s="54"/>
      <c r="X230" s="54"/>
      <c r="Y230" s="27"/>
      <c r="Z230" s="27"/>
    </row>
    <row r="231" spans="18:26" x14ac:dyDescent="0.3">
      <c r="R231" s="96"/>
      <c r="S231" s="54"/>
      <c r="T231" s="54"/>
      <c r="U231" s="54"/>
      <c r="V231" s="54"/>
      <c r="W231" s="54"/>
      <c r="X231" s="54"/>
      <c r="Y231" s="27"/>
      <c r="Z231" s="27"/>
    </row>
    <row r="232" spans="18:26" x14ac:dyDescent="0.3">
      <c r="R232" s="96"/>
      <c r="S232" s="54"/>
      <c r="T232" s="54"/>
      <c r="U232" s="54"/>
      <c r="V232" s="54"/>
      <c r="W232" s="54"/>
      <c r="X232" s="54"/>
      <c r="Y232" s="27"/>
      <c r="Z232" s="27"/>
    </row>
    <row r="233" spans="18:26" x14ac:dyDescent="0.3">
      <c r="R233" s="96"/>
      <c r="S233" s="54"/>
      <c r="T233" s="54"/>
      <c r="U233" s="54"/>
      <c r="V233" s="54"/>
      <c r="W233" s="54"/>
      <c r="X233" s="54"/>
      <c r="Y233" s="27"/>
      <c r="Z233" s="27"/>
    </row>
    <row r="234" spans="18:26" x14ac:dyDescent="0.3">
      <c r="R234" s="96"/>
      <c r="S234" s="54"/>
      <c r="T234" s="54"/>
      <c r="U234" s="54"/>
      <c r="V234" s="54"/>
      <c r="W234" s="54"/>
      <c r="X234" s="54"/>
      <c r="Y234" s="27"/>
      <c r="Z234" s="27"/>
    </row>
    <row r="235" spans="18:26" x14ac:dyDescent="0.3">
      <c r="R235" s="96"/>
      <c r="S235" s="54"/>
      <c r="T235" s="54"/>
      <c r="U235" s="54"/>
      <c r="V235" s="54"/>
      <c r="W235" s="54"/>
      <c r="X235" s="54"/>
      <c r="Y235" s="27"/>
      <c r="Z235" s="27"/>
    </row>
    <row r="236" spans="18:26" x14ac:dyDescent="0.3">
      <c r="R236" s="96"/>
      <c r="S236" s="54"/>
      <c r="T236" s="54"/>
      <c r="U236" s="54"/>
      <c r="V236" s="54"/>
      <c r="W236" s="54"/>
      <c r="X236" s="54"/>
      <c r="Y236" s="27"/>
      <c r="Z236" s="27"/>
    </row>
    <row r="237" spans="18:26" x14ac:dyDescent="0.3">
      <c r="R237" s="96"/>
      <c r="S237" s="54"/>
      <c r="T237" s="54"/>
      <c r="U237" s="54"/>
      <c r="V237" s="54"/>
      <c r="W237" s="54"/>
      <c r="X237" s="54"/>
      <c r="Y237" s="27"/>
      <c r="Z237" s="27"/>
    </row>
    <row r="238" spans="18:26" x14ac:dyDescent="0.3">
      <c r="R238" s="96"/>
      <c r="S238" s="54"/>
      <c r="T238" s="54"/>
      <c r="U238" s="54"/>
      <c r="V238" s="54"/>
      <c r="W238" s="54"/>
      <c r="X238" s="54"/>
      <c r="Y238" s="27"/>
      <c r="Z238" s="27"/>
    </row>
    <row r="239" spans="18:26" x14ac:dyDescent="0.3">
      <c r="R239" s="96"/>
      <c r="S239" s="54"/>
      <c r="T239" s="54"/>
      <c r="U239" s="54"/>
      <c r="V239" s="54"/>
      <c r="W239" s="54"/>
      <c r="X239" s="54"/>
      <c r="Y239" s="27"/>
      <c r="Z239" s="27"/>
    </row>
    <row r="240" spans="18:26" x14ac:dyDescent="0.3">
      <c r="R240" s="96"/>
      <c r="S240" s="54"/>
      <c r="T240" s="54"/>
      <c r="U240" s="54"/>
      <c r="V240" s="54"/>
      <c r="W240" s="54"/>
      <c r="X240" s="54"/>
      <c r="Y240" s="27"/>
      <c r="Z240" s="27"/>
    </row>
    <row r="241" spans="18:26" x14ac:dyDescent="0.3">
      <c r="R241" s="96"/>
      <c r="S241" s="54"/>
      <c r="T241" s="54"/>
      <c r="U241" s="54"/>
      <c r="V241" s="54"/>
      <c r="W241" s="54"/>
      <c r="X241" s="54"/>
      <c r="Y241" s="27"/>
      <c r="Z241" s="27"/>
    </row>
    <row r="242" spans="18:26" x14ac:dyDescent="0.3">
      <c r="R242" s="96"/>
      <c r="S242" s="54"/>
      <c r="T242" s="54"/>
      <c r="U242" s="54"/>
      <c r="V242" s="54"/>
      <c r="W242" s="54"/>
      <c r="X242" s="54"/>
      <c r="Y242" s="27"/>
      <c r="Z242" s="27"/>
    </row>
    <row r="243" spans="18:26" x14ac:dyDescent="0.3">
      <c r="R243" s="96"/>
      <c r="S243" s="54"/>
      <c r="T243" s="54"/>
      <c r="U243" s="54"/>
      <c r="V243" s="54"/>
      <c r="W243" s="54"/>
      <c r="X243" s="54"/>
      <c r="Y243" s="27"/>
      <c r="Z243" s="27"/>
    </row>
    <row r="244" spans="18:26" x14ac:dyDescent="0.3">
      <c r="R244" s="96"/>
      <c r="S244" s="54"/>
      <c r="T244" s="54"/>
      <c r="U244" s="54"/>
      <c r="V244" s="54"/>
      <c r="W244" s="54"/>
      <c r="X244" s="54"/>
      <c r="Y244" s="27"/>
      <c r="Z244" s="27"/>
    </row>
    <row r="245" spans="18:26" x14ac:dyDescent="0.3">
      <c r="R245" s="96"/>
      <c r="S245" s="54"/>
      <c r="T245" s="54"/>
      <c r="U245" s="54"/>
      <c r="V245" s="54"/>
      <c r="W245" s="54"/>
      <c r="X245" s="54"/>
      <c r="Y245" s="27"/>
      <c r="Z245" s="27"/>
    </row>
    <row r="246" spans="18:26" x14ac:dyDescent="0.3">
      <c r="R246" s="96"/>
      <c r="S246" s="54"/>
      <c r="T246" s="54"/>
      <c r="U246" s="54"/>
      <c r="V246" s="54"/>
      <c r="W246" s="54"/>
      <c r="X246" s="54"/>
      <c r="Y246" s="27"/>
      <c r="Z246" s="27"/>
    </row>
    <row r="247" spans="18:26" x14ac:dyDescent="0.3">
      <c r="R247" s="96"/>
      <c r="S247" s="54"/>
      <c r="T247" s="54"/>
      <c r="U247" s="54"/>
      <c r="V247" s="54"/>
      <c r="W247" s="54"/>
      <c r="X247" s="54"/>
      <c r="Y247" s="27"/>
      <c r="Z247" s="27"/>
    </row>
    <row r="248" spans="18:26" x14ac:dyDescent="0.3">
      <c r="R248" s="96"/>
      <c r="S248" s="54"/>
      <c r="T248" s="54"/>
      <c r="U248" s="54"/>
      <c r="V248" s="54"/>
      <c r="W248" s="54"/>
      <c r="X248" s="54"/>
      <c r="Y248" s="27"/>
      <c r="Z248" s="27"/>
    </row>
    <row r="249" spans="18:26" x14ac:dyDescent="0.3">
      <c r="R249" s="96"/>
      <c r="S249" s="54"/>
      <c r="T249" s="54"/>
      <c r="U249" s="54"/>
      <c r="V249" s="54"/>
      <c r="W249" s="54"/>
      <c r="X249" s="54"/>
      <c r="Y249" s="27"/>
      <c r="Z249" s="27"/>
    </row>
    <row r="250" spans="18:26" x14ac:dyDescent="0.3">
      <c r="R250" s="96"/>
      <c r="S250" s="54"/>
      <c r="T250" s="54"/>
      <c r="U250" s="54"/>
      <c r="V250" s="54"/>
      <c r="W250" s="54"/>
      <c r="X250" s="54"/>
      <c r="Y250" s="27"/>
      <c r="Z250" s="27"/>
    </row>
    <row r="251" spans="18:26" x14ac:dyDescent="0.3">
      <c r="R251" s="96"/>
      <c r="S251" s="54"/>
      <c r="T251" s="54"/>
      <c r="U251" s="54"/>
      <c r="V251" s="54"/>
      <c r="W251" s="54"/>
      <c r="X251" s="54"/>
      <c r="Y251" s="27"/>
      <c r="Z251" s="27"/>
    </row>
    <row r="252" spans="18:26" x14ac:dyDescent="0.3">
      <c r="R252" s="96"/>
      <c r="S252" s="54"/>
      <c r="T252" s="54"/>
      <c r="U252" s="54"/>
      <c r="V252" s="54"/>
      <c r="W252" s="54"/>
      <c r="X252" s="54"/>
      <c r="Y252" s="27"/>
      <c r="Z252" s="27"/>
    </row>
    <row r="253" spans="18:26" x14ac:dyDescent="0.3">
      <c r="S253" s="54"/>
      <c r="T253" s="54"/>
      <c r="U253" s="54"/>
      <c r="V253" s="54"/>
      <c r="W253" s="54"/>
      <c r="X253" s="54"/>
      <c r="Y253" s="27"/>
      <c r="Z253" s="27"/>
    </row>
    <row r="254" spans="18:26" x14ac:dyDescent="0.3">
      <c r="S254" s="27"/>
      <c r="T254" s="27"/>
      <c r="U254" s="27"/>
      <c r="V254" s="27"/>
      <c r="W254" s="27"/>
      <c r="X254" s="27"/>
    </row>
    <row r="255" spans="18:26" x14ac:dyDescent="0.3">
      <c r="S255" s="27"/>
      <c r="T255" s="27"/>
      <c r="U255" s="27"/>
      <c r="V255" s="27"/>
      <c r="W255" s="27"/>
      <c r="X255" s="27"/>
    </row>
    <row r="256" spans="18:26" x14ac:dyDescent="0.3">
      <c r="S256" s="27"/>
      <c r="T256" s="27"/>
      <c r="U256" s="27"/>
      <c r="V256" s="27"/>
      <c r="W256" s="27"/>
      <c r="X256" s="27"/>
    </row>
    <row r="257" spans="19:24" x14ac:dyDescent="0.3">
      <c r="S257" s="27"/>
      <c r="T257" s="27"/>
      <c r="U257" s="27"/>
      <c r="V257" s="27"/>
      <c r="W257" s="27"/>
      <c r="X257" s="27"/>
    </row>
    <row r="258" spans="19:24" x14ac:dyDescent="0.3">
      <c r="S258" s="27"/>
      <c r="T258" s="27"/>
      <c r="U258" s="27"/>
      <c r="V258" s="27"/>
      <c r="W258" s="27"/>
      <c r="X258" s="27"/>
    </row>
    <row r="259" spans="19:24" x14ac:dyDescent="0.3">
      <c r="S259" s="27"/>
      <c r="T259" s="27"/>
      <c r="U259" s="27"/>
      <c r="V259" s="27"/>
      <c r="W259" s="27"/>
      <c r="X259" s="27"/>
    </row>
    <row r="260" spans="19:24" x14ac:dyDescent="0.3">
      <c r="S260" s="27"/>
      <c r="T260" s="27"/>
      <c r="U260" s="27"/>
      <c r="V260" s="27"/>
      <c r="W260" s="27"/>
      <c r="X260" s="27"/>
    </row>
    <row r="261" spans="19:24" x14ac:dyDescent="0.3">
      <c r="S261" s="27"/>
      <c r="T261" s="27"/>
      <c r="U261" s="27"/>
      <c r="V261" s="27"/>
      <c r="W261" s="27"/>
      <c r="X261" s="27"/>
    </row>
    <row r="262" spans="19:24" x14ac:dyDescent="0.3">
      <c r="S262" s="27"/>
      <c r="T262" s="27"/>
      <c r="U262" s="27"/>
      <c r="V262" s="27"/>
      <c r="W262" s="27"/>
      <c r="X262" s="27"/>
    </row>
    <row r="263" spans="19:24" x14ac:dyDescent="0.3">
      <c r="S263" s="27"/>
      <c r="T263" s="27"/>
      <c r="U263" s="27"/>
      <c r="V263" s="27"/>
      <c r="W263" s="27"/>
      <c r="X263" s="27"/>
    </row>
    <row r="264" spans="19:24" x14ac:dyDescent="0.3">
      <c r="S264" s="27"/>
      <c r="T264" s="27"/>
      <c r="U264" s="27"/>
      <c r="V264" s="27"/>
      <c r="W264" s="27"/>
      <c r="X264" s="27"/>
    </row>
    <row r="265" spans="19:24" x14ac:dyDescent="0.3">
      <c r="S265" s="27"/>
      <c r="T265" s="27"/>
      <c r="U265" s="27"/>
      <c r="V265" s="27"/>
      <c r="W265" s="27"/>
      <c r="X265" s="27"/>
    </row>
    <row r="266" spans="19:24" x14ac:dyDescent="0.3">
      <c r="S266" s="27"/>
      <c r="T266" s="27"/>
      <c r="U266" s="27"/>
      <c r="V266" s="27"/>
      <c r="W266" s="27"/>
      <c r="X266" s="27"/>
    </row>
    <row r="267" spans="19:24" x14ac:dyDescent="0.3">
      <c r="S267" s="27"/>
      <c r="T267" s="27"/>
      <c r="U267" s="27"/>
      <c r="V267" s="27"/>
      <c r="W267" s="27"/>
      <c r="X267" s="27"/>
    </row>
    <row r="268" spans="19:24" x14ac:dyDescent="0.3">
      <c r="S268" s="27"/>
      <c r="T268" s="27"/>
      <c r="U268" s="27"/>
      <c r="V268" s="27"/>
      <c r="W268" s="27"/>
      <c r="X268" s="27"/>
    </row>
    <row r="269" spans="19:24" x14ac:dyDescent="0.3">
      <c r="S269" s="27"/>
      <c r="T269" s="27"/>
      <c r="U269" s="27"/>
      <c r="V269" s="27"/>
      <c r="W269" s="27"/>
      <c r="X269" s="27"/>
    </row>
    <row r="270" spans="19:24" x14ac:dyDescent="0.3">
      <c r="S270" s="27"/>
      <c r="T270" s="27"/>
      <c r="U270" s="27"/>
      <c r="V270" s="27"/>
      <c r="W270" s="27"/>
      <c r="X270" s="27"/>
    </row>
    <row r="271" spans="19:24" x14ac:dyDescent="0.3">
      <c r="S271" s="27"/>
      <c r="T271" s="27"/>
      <c r="U271" s="27"/>
      <c r="V271" s="27"/>
      <c r="W271" s="27"/>
      <c r="X271" s="27"/>
    </row>
    <row r="272" spans="19:24" x14ac:dyDescent="0.3">
      <c r="S272" s="27"/>
      <c r="T272" s="27"/>
      <c r="U272" s="27"/>
      <c r="V272" s="27"/>
      <c r="W272" s="27"/>
      <c r="X272" s="27"/>
    </row>
    <row r="273" spans="19:24" x14ac:dyDescent="0.3">
      <c r="S273" s="27"/>
      <c r="T273" s="27"/>
      <c r="U273" s="27"/>
      <c r="V273" s="27"/>
      <c r="W273" s="27"/>
      <c r="X273" s="27"/>
    </row>
    <row r="274" spans="19:24" x14ac:dyDescent="0.3">
      <c r="S274" s="27"/>
      <c r="T274" s="27"/>
      <c r="U274" s="27"/>
      <c r="V274" s="27"/>
      <c r="W274" s="27"/>
      <c r="X274" s="27"/>
    </row>
    <row r="275" spans="19:24" x14ac:dyDescent="0.3">
      <c r="S275" s="27"/>
      <c r="T275" s="27"/>
      <c r="U275" s="27"/>
      <c r="V275" s="27"/>
      <c r="W275" s="27"/>
      <c r="X275" s="27"/>
    </row>
    <row r="276" spans="19:24" x14ac:dyDescent="0.3">
      <c r="S276" s="27"/>
      <c r="T276" s="27"/>
      <c r="U276" s="27"/>
      <c r="V276" s="27"/>
      <c r="W276" s="27"/>
      <c r="X276" s="27"/>
    </row>
    <row r="277" spans="19:24" x14ac:dyDescent="0.3">
      <c r="S277" s="27"/>
      <c r="T277" s="27"/>
      <c r="U277" s="27"/>
      <c r="V277" s="27"/>
      <c r="W277" s="27"/>
      <c r="X277" s="27"/>
    </row>
    <row r="278" spans="19:24" x14ac:dyDescent="0.3">
      <c r="S278" s="27"/>
      <c r="T278" s="27"/>
      <c r="U278" s="27"/>
      <c r="V278" s="27"/>
      <c r="W278" s="27"/>
      <c r="X278" s="27"/>
    </row>
    <row r="279" spans="19:24" x14ac:dyDescent="0.3">
      <c r="S279" s="27"/>
      <c r="T279" s="27"/>
      <c r="U279" s="27"/>
      <c r="V279" s="27"/>
      <c r="W279" s="27"/>
      <c r="X279" s="27"/>
    </row>
    <row r="280" spans="19:24" x14ac:dyDescent="0.3">
      <c r="S280" s="27"/>
      <c r="T280" s="27"/>
      <c r="U280" s="27"/>
      <c r="V280" s="27"/>
      <c r="W280" s="27"/>
      <c r="X280" s="27"/>
    </row>
    <row r="281" spans="19:24" x14ac:dyDescent="0.3">
      <c r="S281" s="27"/>
      <c r="T281" s="27"/>
      <c r="U281" s="27"/>
      <c r="V281" s="27"/>
      <c r="W281" s="27"/>
      <c r="X281" s="27"/>
    </row>
    <row r="282" spans="19:24" x14ac:dyDescent="0.3">
      <c r="S282" s="27"/>
      <c r="T282" s="27"/>
      <c r="U282" s="27"/>
      <c r="V282" s="27"/>
      <c r="W282" s="27"/>
      <c r="X282" s="27"/>
    </row>
    <row r="283" spans="19:24" x14ac:dyDescent="0.3">
      <c r="S283" s="27"/>
      <c r="T283" s="27"/>
      <c r="U283" s="27"/>
      <c r="V283" s="27"/>
      <c r="W283" s="27"/>
      <c r="X283" s="27"/>
    </row>
    <row r="284" spans="19:24" x14ac:dyDescent="0.3">
      <c r="S284" s="27"/>
      <c r="T284" s="27"/>
      <c r="U284" s="27"/>
      <c r="V284" s="27"/>
      <c r="W284" s="27"/>
      <c r="X284" s="27"/>
    </row>
    <row r="285" spans="19:24" x14ac:dyDescent="0.3">
      <c r="S285" s="27"/>
      <c r="T285" s="27"/>
      <c r="U285" s="27"/>
      <c r="V285" s="27"/>
      <c r="W285" s="27"/>
      <c r="X285" s="27"/>
    </row>
    <row r="286" spans="19:24" x14ac:dyDescent="0.3">
      <c r="S286" s="27"/>
      <c r="T286" s="27"/>
      <c r="U286" s="27"/>
      <c r="V286" s="27"/>
      <c r="W286" s="27"/>
      <c r="X286" s="27"/>
    </row>
    <row r="287" spans="19:24" x14ac:dyDescent="0.3">
      <c r="S287" s="27"/>
      <c r="T287" s="27"/>
      <c r="U287" s="27"/>
      <c r="V287" s="27"/>
      <c r="W287" s="27"/>
      <c r="X287" s="27"/>
    </row>
    <row r="288" spans="19:24" x14ac:dyDescent="0.3">
      <c r="S288" s="27"/>
      <c r="T288" s="27"/>
      <c r="U288" s="27"/>
      <c r="V288" s="27"/>
      <c r="W288" s="27"/>
      <c r="X288" s="27"/>
    </row>
    <row r="289" spans="19:24" x14ac:dyDescent="0.3">
      <c r="S289" s="27"/>
      <c r="T289" s="27"/>
      <c r="U289" s="27"/>
      <c r="V289" s="27"/>
      <c r="W289" s="27"/>
      <c r="X289" s="27"/>
    </row>
    <row r="290" spans="19:24" x14ac:dyDescent="0.3">
      <c r="S290" s="27"/>
      <c r="T290" s="27"/>
      <c r="U290" s="27"/>
      <c r="V290" s="27"/>
      <c r="W290" s="27"/>
      <c r="X290" s="27"/>
    </row>
    <row r="291" spans="19:24" x14ac:dyDescent="0.3">
      <c r="S291" s="27"/>
      <c r="T291" s="27"/>
      <c r="U291" s="27"/>
      <c r="V291" s="27"/>
      <c r="W291" s="27"/>
      <c r="X291" s="27"/>
    </row>
    <row r="292" spans="19:24" x14ac:dyDescent="0.3">
      <c r="S292" s="27"/>
      <c r="T292" s="27"/>
      <c r="U292" s="27"/>
      <c r="V292" s="27"/>
      <c r="W292" s="27"/>
      <c r="X292" s="27"/>
    </row>
    <row r="293" spans="19:24" x14ac:dyDescent="0.3">
      <c r="S293" s="27"/>
      <c r="T293" s="27"/>
      <c r="U293" s="27"/>
      <c r="V293" s="27"/>
      <c r="W293" s="27"/>
      <c r="X293" s="27"/>
    </row>
    <row r="294" spans="19:24" x14ac:dyDescent="0.3">
      <c r="S294" s="27"/>
      <c r="T294" s="27"/>
      <c r="U294" s="27"/>
      <c r="V294" s="27"/>
      <c r="W294" s="27"/>
      <c r="X294" s="27"/>
    </row>
    <row r="295" spans="19:24" x14ac:dyDescent="0.3">
      <c r="S295" s="27"/>
      <c r="T295" s="27"/>
      <c r="U295" s="27"/>
      <c r="V295" s="27"/>
      <c r="W295" s="27"/>
      <c r="X295" s="27"/>
    </row>
    <row r="296" spans="19:24" x14ac:dyDescent="0.3">
      <c r="S296" s="27"/>
      <c r="T296" s="27"/>
      <c r="U296" s="27"/>
      <c r="V296" s="27"/>
      <c r="W296" s="27"/>
      <c r="X296" s="27"/>
    </row>
    <row r="297" spans="19:24" x14ac:dyDescent="0.3">
      <c r="S297" s="27"/>
      <c r="T297" s="27"/>
      <c r="U297" s="27"/>
      <c r="V297" s="27"/>
      <c r="W297" s="27"/>
      <c r="X297" s="27"/>
    </row>
    <row r="298" spans="19:24" x14ac:dyDescent="0.3">
      <c r="S298" s="27"/>
      <c r="T298" s="27"/>
      <c r="U298" s="27"/>
      <c r="V298" s="27"/>
      <c r="W298" s="27"/>
      <c r="X298" s="27"/>
    </row>
    <row r="299" spans="19:24" x14ac:dyDescent="0.3">
      <c r="S299" s="27"/>
      <c r="T299" s="27"/>
      <c r="U299" s="27"/>
      <c r="V299" s="27"/>
      <c r="W299" s="27"/>
      <c r="X299" s="27"/>
    </row>
    <row r="300" spans="19:24" x14ac:dyDescent="0.3">
      <c r="S300" s="27"/>
      <c r="T300" s="27"/>
      <c r="U300" s="27"/>
      <c r="V300" s="27"/>
      <c r="W300" s="27"/>
      <c r="X300" s="27"/>
    </row>
  </sheetData>
  <pageMargins left="0.511811024" right="0.511811024" top="0.78740157499999996" bottom="0.78740157499999996" header="0.31496062000000002" footer="0.31496062000000002"/>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B7A93-45FE-4EB7-99D1-F43EFF4FA080}">
  <sheetPr>
    <tabColor theme="9" tint="0.59999389629810485"/>
  </sheetPr>
  <dimension ref="A1:AI302"/>
  <sheetViews>
    <sheetView showGridLines="0" workbookViewId="0"/>
  </sheetViews>
  <sheetFormatPr defaultColWidth="8.85546875" defaultRowHeight="18.75" x14ac:dyDescent="0.3"/>
  <cols>
    <col min="1" max="1" width="12.7109375" style="17" customWidth="1"/>
    <col min="2" max="2" width="26.140625" customWidth="1"/>
    <col min="4" max="4" width="4.5703125" customWidth="1"/>
    <col min="5" max="5" width="9.7109375" bestFit="1" customWidth="1"/>
    <col min="6" max="6" width="8.5703125" bestFit="1" customWidth="1"/>
    <col min="7" max="8" width="12.85546875" bestFit="1" customWidth="1"/>
    <col min="9" max="9" width="9.7109375" bestFit="1" customWidth="1"/>
    <col min="10" max="10" width="8.5703125" bestFit="1" customWidth="1"/>
    <col min="11" max="12" width="12.85546875" bestFit="1" customWidth="1"/>
    <col min="13" max="18" width="12.42578125" bestFit="1" customWidth="1"/>
    <col min="20" max="20" width="12.42578125" style="15" bestFit="1" customWidth="1"/>
    <col min="21" max="24" width="9" style="15" customWidth="1"/>
    <col min="25" max="25" width="9.5703125" style="15" customWidth="1"/>
    <col min="26" max="27" width="12.42578125" style="15" bestFit="1" customWidth="1"/>
    <col min="28" max="35" width="8.85546875" style="15"/>
  </cols>
  <sheetData>
    <row r="1" spans="1:35" x14ac:dyDescent="0.3">
      <c r="A1" s="84" t="s">
        <v>513</v>
      </c>
      <c r="T1" s="14"/>
      <c r="U1" s="14"/>
      <c r="V1" s="14"/>
      <c r="W1" s="14"/>
      <c r="X1" s="14"/>
      <c r="Y1" s="14"/>
      <c r="Z1" s="14"/>
      <c r="AA1" s="14"/>
      <c r="AB1" s="14"/>
      <c r="AC1" s="14"/>
      <c r="AD1" s="14"/>
      <c r="AE1" s="14"/>
      <c r="AF1" s="14"/>
      <c r="AG1" s="14"/>
      <c r="AH1" s="14"/>
      <c r="AI1" s="14"/>
    </row>
    <row r="2" spans="1:35" x14ac:dyDescent="0.3">
      <c r="A2" s="17" t="s">
        <v>485</v>
      </c>
      <c r="T2" s="14"/>
      <c r="U2" s="14"/>
      <c r="V2" s="14"/>
      <c r="W2" s="14"/>
      <c r="X2" s="14"/>
      <c r="Y2" s="14"/>
      <c r="Z2" s="14"/>
      <c r="AA2" s="14"/>
      <c r="AB2" s="14"/>
      <c r="AC2" s="14"/>
      <c r="AD2" s="14"/>
      <c r="AE2" s="14"/>
      <c r="AF2" s="14"/>
      <c r="AG2" s="14"/>
      <c r="AH2" s="14"/>
      <c r="AI2" s="14"/>
    </row>
    <row r="3" spans="1:35" ht="15.75" x14ac:dyDescent="0.25">
      <c r="A3" s="44" t="s">
        <v>490</v>
      </c>
      <c r="T3" s="14"/>
      <c r="U3" s="14"/>
      <c r="V3" s="14"/>
      <c r="W3" s="14"/>
      <c r="X3" s="14"/>
      <c r="Y3" s="14"/>
      <c r="Z3" s="14"/>
      <c r="AA3" s="14"/>
      <c r="AB3" s="14"/>
      <c r="AC3" s="14"/>
      <c r="AD3" s="14"/>
      <c r="AE3" s="14"/>
      <c r="AF3" s="14"/>
      <c r="AG3" s="14"/>
      <c r="AH3" s="14"/>
      <c r="AI3" s="14"/>
    </row>
    <row r="5" spans="1:35" ht="15.75" x14ac:dyDescent="0.25">
      <c r="A5" s="2" t="s">
        <v>15</v>
      </c>
      <c r="B5" s="2" t="s">
        <v>16</v>
      </c>
    </row>
    <row r="6" spans="1:35" ht="15.75" x14ac:dyDescent="0.25">
      <c r="A6" s="23" t="s">
        <v>486</v>
      </c>
      <c r="B6" s="24" t="s">
        <v>488</v>
      </c>
    </row>
    <row r="7" spans="1:35" ht="15.75" x14ac:dyDescent="0.25">
      <c r="A7" s="23" t="s">
        <v>487</v>
      </c>
      <c r="B7" s="24" t="s">
        <v>489</v>
      </c>
    </row>
    <row r="8" spans="1:35" ht="126" x14ac:dyDescent="0.25">
      <c r="A8" s="23" t="s">
        <v>371</v>
      </c>
      <c r="B8" s="24" t="s">
        <v>372</v>
      </c>
      <c r="Y8" s="105" t="s">
        <v>92</v>
      </c>
    </row>
    <row r="9" spans="1:35" ht="47.25" x14ac:dyDescent="0.25">
      <c r="A9" s="23" t="s">
        <v>215</v>
      </c>
      <c r="B9" s="24" t="s">
        <v>375</v>
      </c>
    </row>
    <row r="10" spans="1:35" ht="15.75" x14ac:dyDescent="0.25">
      <c r="A10" s="23" t="s">
        <v>263</v>
      </c>
      <c r="B10" s="24" t="s">
        <v>351</v>
      </c>
      <c r="Y10" s="54"/>
      <c r="Z10" s="27"/>
      <c r="AA10" s="27"/>
    </row>
    <row r="11" spans="1:35" ht="15" x14ac:dyDescent="0.25">
      <c r="A11"/>
      <c r="Y11" s="28" cm="1">
        <f t="array" ref="Y11">IORDER(F$16:F$121,$M$16,$N$16,$O$16,$R$16)</f>
        <v>1</v>
      </c>
      <c r="Z11" s="28" cm="1">
        <f t="array" ref="Z11">IORDER(G$16:G$121,$M$16,$N$16,$O$16,$R$16)</f>
        <v>1</v>
      </c>
      <c r="AA11" s="28" cm="1">
        <f t="array" ref="AA11">IORDER(H$16:H$121,$M$16,$N$16,$O$16,$R$16)</f>
        <v>0</v>
      </c>
      <c r="AC11" s="28" cm="1">
        <f t="array" ref="AC11">IORDER(J$16:J$151,$M$16,$N$16,$O$16,$R$16)</f>
        <v>1</v>
      </c>
      <c r="AD11" s="28" cm="1">
        <f t="array" ref="AD11">IORDER(K$16:K$151,$M$16,$N$16,$O$16,$R$16)</f>
        <v>1</v>
      </c>
      <c r="AE11" s="28" cm="1">
        <f t="array" ref="AE11">IORDER(L$16:L$151,$M$16,$N$16,$O$16,$R$16)</f>
        <v>1</v>
      </c>
    </row>
    <row r="12" spans="1:35" ht="15" x14ac:dyDescent="0.25">
      <c r="A12"/>
      <c r="Y12" s="61" t="s">
        <v>366</v>
      </c>
    </row>
    <row r="13" spans="1:35" ht="15.75" x14ac:dyDescent="0.25">
      <c r="A13" s="23"/>
      <c r="B13" s="26"/>
      <c r="Y13" s="54" t="b" cm="1">
        <f t="array" ref="Y13">ISSTATIONARY(F$16:F$121,$M$16,$N$16,$O$16,$P$16,$Q$16)</f>
        <v>0</v>
      </c>
      <c r="Z13" s="54" t="b" cm="1">
        <f t="array" ref="Z13">ISSTATIONARY(G$16:G$121,$M$16,$N$16,$O$16,$P$16,$Q$16)</f>
        <v>0</v>
      </c>
      <c r="AA13" s="54" t="b" cm="1">
        <f t="array" ref="AA13">ISSTATIONARY(H$16:H$121,$M$16,$N$16,$O$16,$P$16,$Q$16)</f>
        <v>1</v>
      </c>
      <c r="AC13" s="54" t="b" cm="1">
        <f t="array" ref="AC13">ISSTATIONARY(J$16:J$121,$M$16,$N$16,$O$16,$P$16,$Q$16)</f>
        <v>0</v>
      </c>
      <c r="AD13" s="54" t="b" cm="1">
        <f t="array" ref="AD13">ISSTATIONARY(K$16:K$121,$M$16,$N$16,$O$16,$P$16,$Q$16)</f>
        <v>0</v>
      </c>
      <c r="AE13" s="54" t="b" cm="1">
        <f t="array" ref="AE13">ISSTATIONARY(L$16:L$121,$M$16,$N$16,$O$16,$P$16,$Q$16)</f>
        <v>0</v>
      </c>
    </row>
    <row r="14" spans="1:35" ht="15.75" x14ac:dyDescent="0.25">
      <c r="A14" s="23"/>
      <c r="B14" s="26"/>
      <c r="F14" t="s">
        <v>321</v>
      </c>
      <c r="J14" t="s">
        <v>320</v>
      </c>
    </row>
    <row r="15" spans="1:35" x14ac:dyDescent="0.3">
      <c r="E15" t="s">
        <v>208</v>
      </c>
      <c r="F15" s="13" t="s">
        <v>480</v>
      </c>
      <c r="G15" s="13" t="s">
        <v>481</v>
      </c>
      <c r="H15" s="13" t="s">
        <v>482</v>
      </c>
      <c r="I15" t="s">
        <v>208</v>
      </c>
      <c r="J15" s="13" t="s">
        <v>483</v>
      </c>
      <c r="K15" s="13" t="s">
        <v>484</v>
      </c>
      <c r="L15" s="13" t="s">
        <v>482</v>
      </c>
      <c r="M15" s="13" t="s">
        <v>373</v>
      </c>
      <c r="N15" s="13" t="s">
        <v>219</v>
      </c>
      <c r="O15" s="13" t="s">
        <v>267</v>
      </c>
      <c r="P15" s="13" t="s">
        <v>346</v>
      </c>
      <c r="Q15" s="13" t="s">
        <v>209</v>
      </c>
      <c r="R15" s="13" t="s">
        <v>358</v>
      </c>
      <c r="T15" s="61" t="s">
        <v>259</v>
      </c>
      <c r="Y15" s="90" t="s">
        <v>260</v>
      </c>
    </row>
    <row r="16" spans="1:35" ht="18.75" customHeight="1" x14ac:dyDescent="0.3">
      <c r="E16" s="104">
        <v>35065</v>
      </c>
      <c r="F16" s="53">
        <v>175528</v>
      </c>
      <c r="G16" s="53">
        <v>110899</v>
      </c>
      <c r="H16" s="55" cm="1">
        <f t="array" ref="H16:H121">OLS_RESIDUALS($F$16:$F$121,ADDCONST($G$16:$G$121))</f>
        <v>-8161.4722316855041</v>
      </c>
      <c r="I16" s="104">
        <v>40603</v>
      </c>
      <c r="J16" s="53">
        <v>11.62</v>
      </c>
      <c r="K16" s="53">
        <v>27.35</v>
      </c>
      <c r="L16" s="53" cm="1">
        <f t="array" ref="L16:L151">OLS_RESIDUALS($J$16:$J$151,ADDCONST($K$16:$K$151))</f>
        <v>0.9223026636246221</v>
      </c>
      <c r="M16" s="93" t="b">
        <v>0</v>
      </c>
      <c r="N16" s="55">
        <v>4</v>
      </c>
      <c r="O16" s="93">
        <v>0.05</v>
      </c>
      <c r="P16" s="103" t="b">
        <v>0</v>
      </c>
      <c r="Q16" s="103" t="b">
        <v>0</v>
      </c>
      <c r="R16" s="55">
        <v>4</v>
      </c>
      <c r="S16" s="96"/>
      <c r="T16" s="28" t="b" cm="1">
        <f t="array" ref="T16">_xlfn.LAMBDA(_xlpm.valuesA,_xlpm.valuesB,_xlop.automatic,_xlop.nLags,_xlop.significance,_xlop.maxDiffs,
_xlfn.LET(
_xlpm.automatic, IF(_xlfn.ISOMITTED(_xlpm.automatic), FALSE, _xlpm.automatic),
_xlpm.nLags,IF(_xlfn.ISOMITTED(_xlpm.nLags), 0, _xlpm.nLags),
_xlpm.significance, IF(_xlfn.ISOMITTED(_xlpm.significance), FALSE, _xlpm.significance),
_xlpm.constant, FALSE,
_xlpm.trend, FALSE,
_xlpm.maxDiffs, IF(OR( _xlfn.ISOMITTED(_xlpm.maxDiffs), ISBLANK(_xlpm.maxDiffs)), 2, _xlpm.maxDiffs ),
_xlpm.orderA, IORDER(_xlpm.valuesA, _xlpm.automatic, _xlpm.nLags, _xlpm.significance, _xlpm.maxDiffs),
_xlpm.orderB, IORDER(_xlpm.valuesB, _xlpm.automatic, _xlpm.nLags, _xlpm.significance, _xlpm.maxDiffs),
IF(_xlpm.orderA&lt;&gt;_xlpm.orderB, "# both series must be integrated at the same order: valuesA is I("&amp; _xlpm.orderA &amp; ") and valuesB is I(" &amp; _xlpm.orderB &amp; ")",
_xlfn.LET(_xlpm.orderC, IORDER(OLS_RESIDUALS(_xlpm.valuesA, ADDCONST(_xlpm.valuesB)), _xlpm.automatic, _xlpm.nLags, _xlpm.significance, _xlpm.maxDiffs), IF(AND(_xlpm.orderA&gt;_xlpm.orderC, _xlpm.orderB&gt;_xlpm.orderC), TRUE, FALSE) )
)))($F$16:$F$121,$G$16:$G$121,$M$16,$N$16,$O$16,$R$16)</f>
        <v>1</v>
      </c>
      <c r="U16" s="28"/>
      <c r="V16" s="28"/>
      <c r="W16" s="28"/>
      <c r="X16" s="28"/>
      <c r="Y16" s="15" t="b" cm="1">
        <f t="array" ref="Y16">ISCOINTEGRATED($F$16:$F$121,$G$16:$G$121,$M$16,$N$16,$O$16,$R$16)</f>
        <v>1</v>
      </c>
      <c r="AC16" s="15" t="b" cm="1">
        <f t="array" ref="AC16">ISCOINTEGRATED($J$16:$J$151,$K$16:$K$151,$M$16,$N$16,$O$16,$R$16)</f>
        <v>0</v>
      </c>
    </row>
    <row r="17" spans="5:27" x14ac:dyDescent="0.3">
      <c r="E17" s="104">
        <v>35156</v>
      </c>
      <c r="F17" s="53">
        <v>177502</v>
      </c>
      <c r="G17" s="53">
        <v>113427</v>
      </c>
      <c r="H17" s="55">
        <v>-9503.2918967638107</v>
      </c>
      <c r="I17" s="104">
        <v>40634</v>
      </c>
      <c r="J17" s="53">
        <v>11.74</v>
      </c>
      <c r="K17" s="53">
        <v>27.94</v>
      </c>
      <c r="L17" s="53">
        <v>0.57059635041156831</v>
      </c>
      <c r="S17" s="96"/>
      <c r="T17" s="54"/>
      <c r="U17" s="54"/>
      <c r="V17" s="54"/>
      <c r="W17" s="54"/>
      <c r="X17" s="54"/>
    </row>
    <row r="18" spans="5:27" x14ac:dyDescent="0.3">
      <c r="E18" s="104">
        <v>35247</v>
      </c>
      <c r="F18" s="53">
        <v>184128</v>
      </c>
      <c r="G18" s="53">
        <v>116861</v>
      </c>
      <c r="H18" s="55">
        <v>-7381.4551601652638</v>
      </c>
      <c r="I18" s="104">
        <v>40664</v>
      </c>
      <c r="J18" s="53">
        <v>11.92</v>
      </c>
      <c r="K18" s="53">
        <v>27.86</v>
      </c>
      <c r="L18" s="53">
        <v>0.81455652847435722</v>
      </c>
      <c r="S18" s="96"/>
      <c r="T18" s="54"/>
      <c r="U18" s="54"/>
      <c r="V18" s="54"/>
      <c r="W18" s="54"/>
      <c r="X18" s="54"/>
    </row>
    <row r="19" spans="5:27" x14ac:dyDescent="0.3">
      <c r="E19" s="104">
        <v>35339</v>
      </c>
      <c r="F19" s="53">
        <v>182357</v>
      </c>
      <c r="G19" s="53">
        <v>122759</v>
      </c>
      <c r="H19" s="55">
        <v>-16888.493286997429</v>
      </c>
      <c r="I19" s="104">
        <v>40695</v>
      </c>
      <c r="J19" s="53">
        <v>12.1</v>
      </c>
      <c r="K19" s="53">
        <v>27.62</v>
      </c>
      <c r="L19" s="53">
        <v>1.1864370626627174</v>
      </c>
      <c r="S19" s="96"/>
      <c r="T19" s="54"/>
      <c r="U19" s="54"/>
      <c r="V19" s="54"/>
      <c r="W19" s="54"/>
      <c r="X19" s="54"/>
      <c r="Y19" s="54"/>
      <c r="Z19" s="27"/>
      <c r="AA19" s="27"/>
    </row>
    <row r="20" spans="5:27" x14ac:dyDescent="0.3">
      <c r="E20" s="104">
        <v>35431</v>
      </c>
      <c r="F20" s="53">
        <v>184248</v>
      </c>
      <c r="G20" s="53">
        <v>119659</v>
      </c>
      <c r="H20" s="55">
        <v>-10931.41695719416</v>
      </c>
      <c r="I20" s="104">
        <v>40725</v>
      </c>
      <c r="J20" s="53">
        <v>12.25</v>
      </c>
      <c r="K20" s="53">
        <v>27.81</v>
      </c>
      <c r="L20" s="53">
        <v>1.1845316397635983</v>
      </c>
      <c r="S20" s="96"/>
      <c r="T20" s="54"/>
      <c r="U20" s="54"/>
      <c r="V20" s="54"/>
      <c r="W20" s="54"/>
      <c r="X20" s="54"/>
      <c r="Y20" s="54"/>
      <c r="Z20" s="27"/>
      <c r="AA20" s="27"/>
    </row>
    <row r="21" spans="5:27" x14ac:dyDescent="0.3">
      <c r="E21" s="104">
        <v>35521</v>
      </c>
      <c r="F21" s="53">
        <v>185273</v>
      </c>
      <c r="G21" s="53">
        <v>120224</v>
      </c>
      <c r="H21" s="55">
        <v>-10647.492159238929</v>
      </c>
      <c r="I21" s="104">
        <v>40756</v>
      </c>
      <c r="J21" s="53">
        <v>12.42</v>
      </c>
      <c r="K21" s="53">
        <v>27.23</v>
      </c>
      <c r="L21" s="53">
        <v>1.8182429307188048</v>
      </c>
      <c r="S21" s="96"/>
      <c r="T21" s="54"/>
      <c r="U21" s="54"/>
      <c r="V21" s="54"/>
      <c r="W21" s="54"/>
      <c r="X21" s="54"/>
      <c r="Y21" s="54"/>
      <c r="Z21" s="27"/>
      <c r="AA21" s="27"/>
    </row>
    <row r="22" spans="5:27" x14ac:dyDescent="0.3">
      <c r="E22" s="104">
        <v>35612</v>
      </c>
      <c r="F22" s="53">
        <v>187587</v>
      </c>
      <c r="G22" s="53">
        <v>119282</v>
      </c>
      <c r="H22" s="55">
        <v>-7097.9296099890489</v>
      </c>
      <c r="I22" s="104">
        <v>40787</v>
      </c>
      <c r="J22" s="53">
        <v>11.91</v>
      </c>
      <c r="K22" s="53">
        <v>27.2</v>
      </c>
      <c r="L22" s="53">
        <v>1.3322279974923532</v>
      </c>
      <c r="S22" s="96"/>
      <c r="T22" s="54"/>
      <c r="U22" s="54"/>
      <c r="V22" s="54"/>
      <c r="W22" s="54"/>
      <c r="X22" s="54"/>
      <c r="Y22" s="54"/>
      <c r="Z22" s="27"/>
      <c r="AA22" s="27"/>
    </row>
    <row r="23" spans="5:27" x14ac:dyDescent="0.3">
      <c r="E23" s="104">
        <v>35704</v>
      </c>
      <c r="F23" s="53">
        <v>189150</v>
      </c>
      <c r="G23" s="53">
        <v>119244</v>
      </c>
      <c r="H23" s="55">
        <v>-5485.0873840108106</v>
      </c>
      <c r="I23" s="104">
        <v>40817</v>
      </c>
      <c r="J23" s="53">
        <v>11.7</v>
      </c>
      <c r="K23" s="53">
        <v>27.45</v>
      </c>
      <c r="L23" s="53">
        <v>0.92235244104614011</v>
      </c>
      <c r="S23" s="96"/>
      <c r="T23" s="54"/>
      <c r="U23" s="54"/>
      <c r="V23" s="54"/>
      <c r="W23" s="54"/>
      <c r="X23" s="54"/>
      <c r="Y23" s="54"/>
      <c r="Z23" s="27"/>
      <c r="AA23" s="27"/>
    </row>
    <row r="24" spans="5:27" x14ac:dyDescent="0.3">
      <c r="E24" s="104">
        <v>35796</v>
      </c>
      <c r="F24" s="53">
        <v>185427</v>
      </c>
      <c r="G24" s="53">
        <v>119078</v>
      </c>
      <c r="H24" s="55">
        <v>-8990.3555547374708</v>
      </c>
      <c r="I24" s="104">
        <v>40848</v>
      </c>
      <c r="J24" s="53">
        <v>11.4</v>
      </c>
      <c r="K24" s="53">
        <v>26.66</v>
      </c>
      <c r="L24" s="53">
        <v>1.2539591994161636</v>
      </c>
      <c r="S24" s="96"/>
      <c r="T24" s="54"/>
      <c r="U24" s="54"/>
      <c r="V24" s="54"/>
      <c r="W24" s="54"/>
      <c r="X24" s="54"/>
      <c r="Y24" s="54"/>
      <c r="Z24" s="27"/>
      <c r="AA24" s="27"/>
    </row>
    <row r="25" spans="5:27" x14ac:dyDescent="0.3">
      <c r="E25" s="104">
        <v>35886</v>
      </c>
      <c r="F25" s="53">
        <v>188539</v>
      </c>
      <c r="G25" s="53">
        <v>118897</v>
      </c>
      <c r="H25" s="55">
        <v>-5640.9491625779774</v>
      </c>
      <c r="I25" s="104">
        <v>40878</v>
      </c>
      <c r="J25" s="53">
        <v>10.9</v>
      </c>
      <c r="K25" s="53">
        <v>25.82</v>
      </c>
      <c r="L25" s="53">
        <v>1.4255410690754307</v>
      </c>
      <c r="S25" s="96"/>
      <c r="T25" s="54"/>
      <c r="U25" s="54"/>
      <c r="V25" s="54"/>
      <c r="W25" s="54"/>
      <c r="X25" s="54"/>
      <c r="Y25" s="54"/>
      <c r="Z25" s="27"/>
      <c r="AA25" s="27"/>
    </row>
    <row r="26" spans="5:27" x14ac:dyDescent="0.3">
      <c r="E26" s="104">
        <v>35977</v>
      </c>
      <c r="F26" s="53">
        <v>188547</v>
      </c>
      <c r="G26" s="53">
        <v>119368</v>
      </c>
      <c r="H26" s="55">
        <v>-6250.7304372029321</v>
      </c>
      <c r="I26" s="104">
        <v>40909</v>
      </c>
      <c r="J26" s="53">
        <v>10.7</v>
      </c>
      <c r="K26" s="53">
        <v>26.8</v>
      </c>
      <c r="L26" s="53">
        <v>0.44202888780628413</v>
      </c>
      <c r="S26" s="96"/>
      <c r="T26" s="54"/>
      <c r="U26" s="54"/>
      <c r="V26" s="54"/>
      <c r="W26" s="54"/>
      <c r="X26" s="54"/>
      <c r="Y26" s="54"/>
      <c r="Z26" s="27"/>
      <c r="AA26" s="27"/>
    </row>
    <row r="27" spans="5:27" x14ac:dyDescent="0.3">
      <c r="E27" s="104">
        <v>36069</v>
      </c>
      <c r="F27" s="53">
        <v>186374</v>
      </c>
      <c r="G27" s="53">
        <v>117666</v>
      </c>
      <c r="H27" s="55">
        <v>-6191.3233683883736</v>
      </c>
      <c r="I27" s="104">
        <v>40940</v>
      </c>
      <c r="J27" s="53">
        <v>10.4</v>
      </c>
      <c r="K27" s="53">
        <v>26.86</v>
      </c>
      <c r="L27" s="53">
        <v>9.4058754259195965E-2</v>
      </c>
      <c r="S27" s="96"/>
      <c r="T27" s="54"/>
      <c r="U27" s="54"/>
      <c r="V27" s="54"/>
      <c r="W27" s="54"/>
      <c r="X27" s="54"/>
      <c r="Y27" s="54"/>
      <c r="Z27" s="27"/>
      <c r="AA27" s="27"/>
    </row>
    <row r="28" spans="5:27" x14ac:dyDescent="0.3">
      <c r="E28" s="104">
        <v>36161</v>
      </c>
      <c r="F28" s="53">
        <v>186713</v>
      </c>
      <c r="G28" s="53">
        <v>117950</v>
      </c>
      <c r="H28" s="55">
        <v>-6224.8284256993793</v>
      </c>
      <c r="I28" s="104">
        <v>40969</v>
      </c>
      <c r="J28" s="53">
        <v>9.82</v>
      </c>
      <c r="K28" s="53">
        <v>26.54</v>
      </c>
      <c r="L28" s="53">
        <v>-0.23010053348965442</v>
      </c>
      <c r="S28" s="96"/>
      <c r="T28" s="54"/>
      <c r="U28" s="54"/>
      <c r="V28" s="54"/>
      <c r="W28" s="54"/>
      <c r="X28" s="54"/>
      <c r="Y28" s="54"/>
      <c r="Z28" s="27"/>
      <c r="AA28" s="27"/>
    </row>
    <row r="29" spans="5:27" x14ac:dyDescent="0.3">
      <c r="E29" s="104">
        <v>36251</v>
      </c>
      <c r="F29" s="53">
        <v>187665</v>
      </c>
      <c r="G29" s="53">
        <v>118127</v>
      </c>
      <c r="H29" s="55">
        <v>-5504.9882677558926</v>
      </c>
      <c r="I29" s="104">
        <v>41000</v>
      </c>
      <c r="J29" s="53">
        <v>9.35</v>
      </c>
      <c r="K29" s="53">
        <v>25.96</v>
      </c>
      <c r="L29" s="53">
        <v>-0.23638924253444848</v>
      </c>
      <c r="S29" s="96"/>
      <c r="T29" s="54"/>
      <c r="U29" s="54"/>
      <c r="V29" s="54"/>
      <c r="W29" s="54"/>
      <c r="X29" s="54"/>
      <c r="Y29" s="54"/>
      <c r="Z29" s="27"/>
      <c r="AA29" s="27"/>
    </row>
    <row r="30" spans="5:27" x14ac:dyDescent="0.3">
      <c r="E30" s="104">
        <v>36342</v>
      </c>
      <c r="F30" s="53">
        <v>187707</v>
      </c>
      <c r="G30" s="53">
        <v>119301</v>
      </c>
      <c r="H30" s="55">
        <v>-7002.8507229781535</v>
      </c>
      <c r="I30" s="104">
        <v>41030</v>
      </c>
      <c r="J30" s="53">
        <v>8.8699999999999992</v>
      </c>
      <c r="K30" s="53">
        <v>24.36</v>
      </c>
      <c r="L30" s="53">
        <v>0.56281431872129595</v>
      </c>
      <c r="S30" s="96"/>
      <c r="T30" s="54"/>
      <c r="U30" s="54"/>
      <c r="V30" s="54"/>
      <c r="W30" s="54"/>
      <c r="X30" s="54"/>
      <c r="Y30" s="54"/>
      <c r="Z30" s="27"/>
      <c r="AA30" s="27"/>
    </row>
    <row r="31" spans="5:27" x14ac:dyDescent="0.3">
      <c r="E31" s="104">
        <v>36434</v>
      </c>
      <c r="F31" s="53">
        <v>190360</v>
      </c>
      <c r="G31" s="53">
        <v>121311</v>
      </c>
      <c r="H31" s="55">
        <v>-6986.2421497215691</v>
      </c>
      <c r="I31" s="104">
        <v>41061</v>
      </c>
      <c r="J31" s="53">
        <v>8.39</v>
      </c>
      <c r="K31" s="53">
        <v>23.62</v>
      </c>
      <c r="L31" s="53">
        <v>0.67444596580207872</v>
      </c>
      <c r="S31" s="96"/>
      <c r="T31" s="54"/>
      <c r="U31" s="54"/>
      <c r="V31" s="54"/>
      <c r="W31" s="54"/>
      <c r="X31" s="54"/>
      <c r="Y31" s="54"/>
      <c r="Z31" s="27"/>
      <c r="AA31" s="27"/>
    </row>
    <row r="32" spans="5:27" x14ac:dyDescent="0.3">
      <c r="E32" s="104">
        <v>36526</v>
      </c>
      <c r="F32" s="53">
        <v>192374</v>
      </c>
      <c r="G32" s="53">
        <v>121439</v>
      </c>
      <c r="H32" s="55">
        <v>-5140.1317530166707</v>
      </c>
      <c r="I32" s="104">
        <v>41091</v>
      </c>
      <c r="J32" s="53">
        <v>8.07</v>
      </c>
      <c r="K32" s="53">
        <v>23.03</v>
      </c>
      <c r="L32" s="53">
        <v>0.82615227901513322</v>
      </c>
      <c r="S32" s="96"/>
      <c r="T32" s="54"/>
      <c r="U32" s="54"/>
      <c r="V32" s="54"/>
      <c r="W32" s="54"/>
      <c r="X32" s="54"/>
      <c r="Y32" s="54"/>
      <c r="Z32" s="27"/>
      <c r="AA32" s="27"/>
    </row>
    <row r="33" spans="5:27" x14ac:dyDescent="0.3">
      <c r="E33" s="104">
        <v>36617</v>
      </c>
      <c r="F33" s="53">
        <v>195058</v>
      </c>
      <c r="G33" s="53">
        <v>123093</v>
      </c>
      <c r="H33" s="55">
        <v>-4625.5802205955843</v>
      </c>
      <c r="I33" s="104">
        <v>41122</v>
      </c>
      <c r="J33" s="53">
        <v>7.85</v>
      </c>
      <c r="K33" s="53">
        <v>22.54</v>
      </c>
      <c r="L33" s="53">
        <v>0.99790836964970531</v>
      </c>
      <c r="S33" s="96"/>
      <c r="T33" s="54"/>
      <c r="U33" s="54"/>
      <c r="V33" s="54"/>
      <c r="W33" s="54"/>
      <c r="X33" s="54"/>
      <c r="Y33" s="54"/>
      <c r="Z33" s="27"/>
      <c r="AA33" s="27"/>
    </row>
    <row r="34" spans="5:27" x14ac:dyDescent="0.3">
      <c r="E34" s="104">
        <v>36708</v>
      </c>
      <c r="F34" s="53">
        <v>197337</v>
      </c>
      <c r="G34" s="53">
        <v>125087</v>
      </c>
      <c r="H34" s="55">
        <v>-4961.9854469271377</v>
      </c>
      <c r="I34" s="104">
        <v>41153</v>
      </c>
      <c r="J34" s="53">
        <v>7.39</v>
      </c>
      <c r="K34" s="53">
        <v>22.3</v>
      </c>
      <c r="L34" s="53">
        <v>0.72978890383806583</v>
      </c>
      <c r="S34" s="96"/>
      <c r="T34" s="54"/>
      <c r="U34" s="54"/>
      <c r="V34" s="54"/>
      <c r="W34" s="54"/>
      <c r="X34" s="54"/>
      <c r="Y34" s="54"/>
      <c r="Z34" s="27"/>
      <c r="AA34" s="27"/>
    </row>
    <row r="35" spans="5:27" x14ac:dyDescent="0.3">
      <c r="E35" s="104">
        <v>36800</v>
      </c>
      <c r="F35" s="53">
        <v>199746</v>
      </c>
      <c r="G35" s="53">
        <v>126257</v>
      </c>
      <c r="H35" s="55">
        <v>-4087.6013520464185</v>
      </c>
      <c r="I35" s="104">
        <v>41183</v>
      </c>
      <c r="J35" s="53">
        <v>7.23</v>
      </c>
      <c r="K35" s="53">
        <v>21.72</v>
      </c>
      <c r="L35" s="53">
        <v>1.0335001947932767</v>
      </c>
      <c r="S35" s="96"/>
      <c r="T35" s="54"/>
      <c r="U35" s="54"/>
      <c r="V35" s="54"/>
      <c r="W35" s="54"/>
      <c r="X35" s="54"/>
      <c r="Y35" s="54"/>
      <c r="Z35" s="27"/>
      <c r="AA35" s="27"/>
    </row>
    <row r="36" spans="5:27" x14ac:dyDescent="0.3">
      <c r="E36" s="104">
        <v>36892</v>
      </c>
      <c r="F36" s="53">
        <v>200577</v>
      </c>
      <c r="G36" s="53">
        <v>126235</v>
      </c>
      <c r="H36" s="55">
        <v>-3227.7453264800715</v>
      </c>
      <c r="I36" s="104">
        <v>41214</v>
      </c>
      <c r="J36" s="53">
        <v>7.14</v>
      </c>
      <c r="K36" s="53">
        <v>21.47</v>
      </c>
      <c r="L36" s="53">
        <v>1.1433757512394847</v>
      </c>
      <c r="S36" s="96"/>
      <c r="T36" s="54"/>
      <c r="U36" s="54"/>
      <c r="V36" s="54"/>
      <c r="W36" s="54"/>
      <c r="X36" s="54"/>
      <c r="Y36" s="54"/>
      <c r="Z36" s="27"/>
      <c r="AA36" s="27"/>
    </row>
    <row r="37" spans="5:27" x14ac:dyDescent="0.3">
      <c r="E37" s="104">
        <v>36982</v>
      </c>
      <c r="F37" s="53">
        <v>199542</v>
      </c>
      <c r="G37" s="53">
        <v>126890</v>
      </c>
      <c r="H37" s="55">
        <v>-5121.867905841762</v>
      </c>
      <c r="I37" s="104">
        <v>41244</v>
      </c>
      <c r="J37" s="53">
        <v>7.16</v>
      </c>
      <c r="K37" s="53">
        <v>20.39</v>
      </c>
      <c r="L37" s="53">
        <v>2.0268381550871126</v>
      </c>
      <c r="S37" s="96"/>
      <c r="T37" s="54"/>
      <c r="U37" s="54"/>
      <c r="V37" s="54"/>
      <c r="W37" s="54"/>
      <c r="X37" s="54"/>
      <c r="Y37" s="54"/>
      <c r="Z37" s="27"/>
      <c r="AA37" s="27"/>
    </row>
    <row r="38" spans="5:27" x14ac:dyDescent="0.3">
      <c r="E38" s="104">
        <v>37073</v>
      </c>
      <c r="F38" s="53">
        <v>198477</v>
      </c>
      <c r="G38" s="53">
        <v>122915</v>
      </c>
      <c r="H38" s="55">
        <v>-973.1087410133332</v>
      </c>
      <c r="I38" s="104">
        <v>41275</v>
      </c>
      <c r="J38" s="53">
        <v>7.11</v>
      </c>
      <c r="K38" s="53">
        <v>20.84</v>
      </c>
      <c r="L38" s="53">
        <v>1.6170621534839329</v>
      </c>
      <c r="S38" s="96"/>
      <c r="T38" s="54"/>
      <c r="U38" s="54"/>
      <c r="V38" s="54"/>
      <c r="W38" s="54"/>
      <c r="X38" s="54"/>
      <c r="Y38" s="54"/>
      <c r="Z38" s="27"/>
      <c r="AA38" s="27"/>
    </row>
    <row r="39" spans="5:27" x14ac:dyDescent="0.3">
      <c r="E39" s="104">
        <v>37165</v>
      </c>
      <c r="F39" s="53">
        <v>197956</v>
      </c>
      <c r="G39" s="53">
        <v>123882</v>
      </c>
      <c r="H39" s="55">
        <v>-2762.4622284068319</v>
      </c>
      <c r="I39" s="104">
        <v>41306</v>
      </c>
      <c r="J39" s="53">
        <v>7.12</v>
      </c>
      <c r="K39" s="53">
        <v>21.18</v>
      </c>
      <c r="L39" s="53">
        <v>1.3552313967170901</v>
      </c>
      <c r="S39" s="96"/>
      <c r="T39" s="54"/>
      <c r="U39" s="54"/>
      <c r="V39" s="54"/>
      <c r="W39" s="54"/>
      <c r="X39" s="54"/>
      <c r="Y39" s="54"/>
      <c r="Z39" s="27"/>
      <c r="AA39" s="27"/>
    </row>
    <row r="40" spans="5:27" x14ac:dyDescent="0.3">
      <c r="E40" s="104">
        <v>37257</v>
      </c>
      <c r="F40" s="53">
        <v>202731</v>
      </c>
      <c r="G40" s="53">
        <v>126457</v>
      </c>
      <c r="H40" s="55">
        <v>-1364.9288571950165</v>
      </c>
      <c r="I40" s="104">
        <v>41334</v>
      </c>
      <c r="J40" s="53">
        <v>7.15</v>
      </c>
      <c r="K40" s="53">
        <v>20.93</v>
      </c>
      <c r="L40" s="53">
        <v>1.5851069531632991</v>
      </c>
      <c r="S40" s="96"/>
      <c r="T40" s="54"/>
      <c r="U40" s="54"/>
      <c r="V40" s="54"/>
      <c r="W40" s="54"/>
      <c r="X40" s="54"/>
      <c r="Y40" s="54"/>
      <c r="Z40" s="27"/>
      <c r="AA40" s="27"/>
    </row>
    <row r="41" spans="5:27" x14ac:dyDescent="0.3">
      <c r="E41" s="104">
        <v>37347</v>
      </c>
      <c r="F41" s="53">
        <v>203437</v>
      </c>
      <c r="G41" s="53">
        <v>127792</v>
      </c>
      <c r="H41" s="55">
        <v>-2409.9649540619284</v>
      </c>
      <c r="I41" s="104">
        <v>41365</v>
      </c>
      <c r="J41" s="53">
        <v>7.26</v>
      </c>
      <c r="K41" s="53">
        <v>20.83</v>
      </c>
      <c r="L41" s="53">
        <v>1.7750571757417841</v>
      </c>
      <c r="S41" s="96"/>
      <c r="T41" s="54"/>
      <c r="U41" s="54"/>
      <c r="V41" s="54"/>
      <c r="W41" s="54"/>
      <c r="X41" s="54"/>
      <c r="Y41" s="54"/>
      <c r="Z41" s="27"/>
      <c r="AA41" s="27"/>
    </row>
    <row r="42" spans="5:27" x14ac:dyDescent="0.3">
      <c r="E42" s="104">
        <v>37438</v>
      </c>
      <c r="F42" s="53">
        <v>206179</v>
      </c>
      <c r="G42" s="53">
        <v>126346</v>
      </c>
      <c r="H42" s="55">
        <v>2228.662908162456</v>
      </c>
      <c r="I42" s="104">
        <v>41395</v>
      </c>
      <c r="J42" s="53">
        <v>7.42</v>
      </c>
      <c r="K42" s="53">
        <v>20.57</v>
      </c>
      <c r="L42" s="53">
        <v>2.1429277544458412</v>
      </c>
      <c r="S42" s="96"/>
      <c r="T42" s="54"/>
      <c r="U42" s="54"/>
      <c r="V42" s="54"/>
      <c r="W42" s="54"/>
      <c r="X42" s="54"/>
      <c r="Y42" s="54"/>
      <c r="Z42" s="27"/>
      <c r="AA42" s="27"/>
    </row>
    <row r="43" spans="5:27" x14ac:dyDescent="0.3">
      <c r="E43" s="104">
        <v>37530</v>
      </c>
      <c r="F43" s="53">
        <v>208262</v>
      </c>
      <c r="G43" s="53">
        <v>125845</v>
      </c>
      <c r="H43" s="55">
        <v>4968.7933085596887</v>
      </c>
      <c r="I43" s="104">
        <v>41426</v>
      </c>
      <c r="J43" s="53">
        <v>7.9</v>
      </c>
      <c r="K43" s="53">
        <v>20.85</v>
      </c>
      <c r="L43" s="53">
        <v>2.3990671312260847</v>
      </c>
      <c r="S43" s="96"/>
      <c r="T43" s="54"/>
      <c r="U43" s="54"/>
      <c r="V43" s="54"/>
      <c r="W43" s="54"/>
      <c r="X43" s="54"/>
      <c r="Y43" s="54"/>
      <c r="Z43" s="27"/>
      <c r="AA43" s="27"/>
    </row>
    <row r="44" spans="5:27" x14ac:dyDescent="0.3">
      <c r="E44" s="104">
        <v>37622</v>
      </c>
      <c r="F44" s="53">
        <v>207329</v>
      </c>
      <c r="G44" s="53">
        <v>126385</v>
      </c>
      <c r="H44" s="55">
        <v>3327.5090446584509</v>
      </c>
      <c r="I44" s="104">
        <v>41456</v>
      </c>
      <c r="J44" s="53">
        <v>8.23</v>
      </c>
      <c r="K44" s="53">
        <v>21.28</v>
      </c>
      <c r="L44" s="53">
        <v>2.3852811741386049</v>
      </c>
      <c r="S44" s="96"/>
      <c r="T44" s="54"/>
      <c r="U44" s="54"/>
      <c r="V44" s="54"/>
      <c r="W44" s="54"/>
      <c r="X44" s="54"/>
      <c r="Y44" s="54"/>
      <c r="Z44" s="27"/>
      <c r="AA44" s="27"/>
    </row>
    <row r="45" spans="5:27" x14ac:dyDescent="0.3">
      <c r="E45" s="104">
        <v>37712</v>
      </c>
      <c r="F45" s="53">
        <v>205607</v>
      </c>
      <c r="G45" s="53">
        <v>125199</v>
      </c>
      <c r="H45" s="55">
        <v>3161.1111501896521</v>
      </c>
      <c r="I45" s="104">
        <v>41487</v>
      </c>
      <c r="J45" s="53">
        <v>8.4499999999999993</v>
      </c>
      <c r="K45" s="53">
        <v>21.46</v>
      </c>
      <c r="L45" s="53">
        <v>2.4613707734973325</v>
      </c>
      <c r="S45" s="96"/>
      <c r="T45" s="54"/>
      <c r="U45" s="54"/>
      <c r="V45" s="54"/>
      <c r="W45" s="54"/>
      <c r="X45" s="54"/>
      <c r="Y45" s="54"/>
      <c r="Z45" s="27"/>
      <c r="AA45" s="27"/>
    </row>
    <row r="46" spans="5:27" x14ac:dyDescent="0.3">
      <c r="E46" s="104">
        <v>37803</v>
      </c>
      <c r="F46" s="53">
        <v>207530</v>
      </c>
      <c r="G46" s="53">
        <v>125492</v>
      </c>
      <c r="H46" s="55">
        <v>4699.8013551469485</v>
      </c>
      <c r="I46" s="104">
        <v>41518</v>
      </c>
      <c r="J46" s="53">
        <v>8.9</v>
      </c>
      <c r="K46" s="53">
        <v>21.61</v>
      </c>
      <c r="L46" s="53">
        <v>2.7914454396296069</v>
      </c>
      <c r="S46" s="96"/>
      <c r="T46" s="54"/>
      <c r="U46" s="54"/>
      <c r="V46" s="54"/>
      <c r="W46" s="54"/>
      <c r="X46" s="54"/>
      <c r="Y46" s="54"/>
      <c r="Z46" s="27"/>
      <c r="AA46" s="27"/>
    </row>
    <row r="47" spans="5:27" x14ac:dyDescent="0.3">
      <c r="E47" s="104">
        <v>37895</v>
      </c>
      <c r="F47" s="53">
        <v>209685</v>
      </c>
      <c r="G47" s="53">
        <v>126554</v>
      </c>
      <c r="H47" s="55">
        <v>5461.8423028078978</v>
      </c>
      <c r="I47" s="104">
        <v>41548</v>
      </c>
      <c r="J47" s="53">
        <v>9.25</v>
      </c>
      <c r="K47" s="53">
        <v>21.98</v>
      </c>
      <c r="L47" s="53">
        <v>2.8456296160892158</v>
      </c>
      <c r="S47" s="96"/>
      <c r="T47" s="54"/>
      <c r="U47" s="54"/>
      <c r="V47" s="54"/>
      <c r="W47" s="54"/>
      <c r="X47" s="54"/>
      <c r="Y47" s="54"/>
      <c r="Z47" s="27"/>
      <c r="AA47" s="27"/>
    </row>
    <row r="48" spans="5:27" x14ac:dyDescent="0.3">
      <c r="E48" s="104">
        <v>37987</v>
      </c>
      <c r="F48" s="53">
        <v>212590</v>
      </c>
      <c r="G48" s="53">
        <v>127481</v>
      </c>
      <c r="H48" s="55">
        <v>7150.954316444142</v>
      </c>
      <c r="I48" s="104">
        <v>41579</v>
      </c>
      <c r="J48" s="53">
        <v>9.4499999999999993</v>
      </c>
      <c r="K48" s="53">
        <v>22.21</v>
      </c>
      <c r="L48" s="53">
        <v>2.8617441041587028</v>
      </c>
      <c r="S48" s="96"/>
      <c r="T48" s="54"/>
      <c r="U48" s="54"/>
      <c r="V48" s="54"/>
      <c r="W48" s="54"/>
      <c r="X48" s="54"/>
      <c r="Y48" s="54"/>
      <c r="Z48" s="27"/>
      <c r="AA48" s="27"/>
    </row>
    <row r="49" spans="5:27" x14ac:dyDescent="0.3">
      <c r="E49" s="104">
        <v>38078</v>
      </c>
      <c r="F49" s="53">
        <v>218480</v>
      </c>
      <c r="G49" s="53">
        <v>129113</v>
      </c>
      <c r="H49" s="55">
        <v>10900.361874431575</v>
      </c>
      <c r="I49" s="104">
        <v>41609</v>
      </c>
      <c r="J49" s="53">
        <v>9.9</v>
      </c>
      <c r="K49" s="53">
        <v>21.87</v>
      </c>
      <c r="L49" s="53">
        <v>3.5835748609255464</v>
      </c>
      <c r="S49" s="96"/>
      <c r="T49" s="54"/>
      <c r="U49" s="54"/>
      <c r="V49" s="54"/>
      <c r="W49" s="54"/>
      <c r="X49" s="54"/>
      <c r="Y49" s="54"/>
      <c r="Z49" s="27"/>
      <c r="AA49" s="27"/>
    </row>
    <row r="50" spans="5:27" x14ac:dyDescent="0.3">
      <c r="E50" s="104">
        <v>38169</v>
      </c>
      <c r="F50" s="53">
        <v>221209</v>
      </c>
      <c r="G50" s="53">
        <v>131668</v>
      </c>
      <c r="H50" s="55">
        <v>10278.127996158233</v>
      </c>
      <c r="I50" s="104">
        <v>41640</v>
      </c>
      <c r="J50" s="53">
        <v>10.17</v>
      </c>
      <c r="K50" s="53">
        <v>22.84</v>
      </c>
      <c r="L50" s="53">
        <v>3.0780577019142523</v>
      </c>
      <c r="S50" s="96"/>
      <c r="T50" s="54"/>
      <c r="U50" s="54"/>
      <c r="V50" s="54"/>
      <c r="W50" s="54"/>
      <c r="X50" s="54"/>
      <c r="Y50" s="54"/>
      <c r="Z50" s="27"/>
      <c r="AA50" s="27"/>
    </row>
    <row r="51" spans="5:27" x14ac:dyDescent="0.3">
      <c r="E51" s="104">
        <v>38261</v>
      </c>
      <c r="F51" s="53">
        <v>222910</v>
      </c>
      <c r="G51" s="53">
        <v>134910</v>
      </c>
      <c r="H51" s="55">
        <v>7726.7991376994178</v>
      </c>
      <c r="I51" s="104">
        <v>41671</v>
      </c>
      <c r="J51" s="53">
        <v>10.43</v>
      </c>
      <c r="K51" s="53">
        <v>23.38</v>
      </c>
      <c r="L51" s="53">
        <v>2.9063264999904419</v>
      </c>
      <c r="S51" s="96"/>
      <c r="T51" s="54"/>
      <c r="U51" s="54"/>
      <c r="V51" s="54"/>
      <c r="W51" s="54"/>
      <c r="X51" s="54"/>
      <c r="Y51" s="54"/>
      <c r="Z51" s="27"/>
      <c r="AA51" s="27"/>
    </row>
    <row r="52" spans="5:27" x14ac:dyDescent="0.3">
      <c r="E52" s="104">
        <v>38353</v>
      </c>
      <c r="F52" s="53">
        <v>224747</v>
      </c>
      <c r="G52" s="53">
        <v>134255</v>
      </c>
      <c r="H52" s="55">
        <v>10422.921717061108</v>
      </c>
      <c r="I52" s="104">
        <v>41699</v>
      </c>
      <c r="J52" s="53">
        <v>10.65</v>
      </c>
      <c r="K52" s="53">
        <v>23.53</v>
      </c>
      <c r="L52" s="53">
        <v>3.0064011661227124</v>
      </c>
      <c r="S52" s="96"/>
      <c r="T52" s="54"/>
      <c r="U52" s="54"/>
      <c r="V52" s="54"/>
      <c r="W52" s="54"/>
      <c r="X52" s="54"/>
      <c r="Y52" s="54"/>
      <c r="Z52" s="27"/>
      <c r="AA52" s="27"/>
    </row>
    <row r="53" spans="5:27" x14ac:dyDescent="0.3">
      <c r="E53" s="104">
        <v>38443</v>
      </c>
      <c r="F53" s="53">
        <v>227413</v>
      </c>
      <c r="G53" s="53">
        <v>135298</v>
      </c>
      <c r="H53" s="55">
        <v>11720.883777711162</v>
      </c>
      <c r="I53" s="104">
        <v>41730</v>
      </c>
      <c r="J53" s="53">
        <v>10.87</v>
      </c>
      <c r="K53" s="53">
        <v>23.41</v>
      </c>
      <c r="L53" s="53">
        <v>3.3223414332168932</v>
      </c>
      <c r="S53" s="96"/>
      <c r="T53" s="54"/>
      <c r="U53" s="54"/>
      <c r="V53" s="54"/>
      <c r="W53" s="54"/>
      <c r="X53" s="54"/>
      <c r="Y53" s="54"/>
      <c r="Z53" s="27"/>
      <c r="AA53" s="27"/>
    </row>
    <row r="54" spans="5:27" x14ac:dyDescent="0.3">
      <c r="E54" s="104">
        <v>38534</v>
      </c>
      <c r="F54" s="53">
        <v>225926</v>
      </c>
      <c r="G54" s="53">
        <v>137416</v>
      </c>
      <c r="H54" s="55">
        <v>7455.8354981874872</v>
      </c>
      <c r="I54" s="104">
        <v>41760</v>
      </c>
      <c r="J54" s="53">
        <v>10.9</v>
      </c>
      <c r="K54" s="53">
        <v>23.59</v>
      </c>
      <c r="L54" s="53">
        <v>3.2084310325756231</v>
      </c>
      <c r="S54" s="96"/>
      <c r="T54" s="54"/>
      <c r="U54" s="54"/>
      <c r="V54" s="54"/>
      <c r="W54" s="54"/>
      <c r="X54" s="54"/>
      <c r="Y54" s="54"/>
      <c r="Z54" s="27"/>
      <c r="AA54" s="27"/>
    </row>
    <row r="55" spans="5:27" x14ac:dyDescent="0.3">
      <c r="E55" s="104">
        <v>38626</v>
      </c>
      <c r="F55" s="53">
        <v>228736</v>
      </c>
      <c r="G55" s="53">
        <v>139408</v>
      </c>
      <c r="H55" s="55">
        <v>7653.0535469074384</v>
      </c>
      <c r="I55" s="104">
        <v>41791</v>
      </c>
      <c r="J55" s="53">
        <v>10.9</v>
      </c>
      <c r="K55" s="53">
        <v>23.46</v>
      </c>
      <c r="L55" s="53">
        <v>3.3123663219276533</v>
      </c>
      <c r="S55" s="96"/>
      <c r="T55" s="54"/>
      <c r="U55" s="54"/>
      <c r="V55" s="54"/>
      <c r="W55" s="54"/>
      <c r="X55" s="54"/>
      <c r="Y55" s="54"/>
      <c r="Z55" s="27"/>
      <c r="AA55" s="27"/>
    </row>
    <row r="56" spans="5:27" x14ac:dyDescent="0.3">
      <c r="E56" s="104">
        <v>38718</v>
      </c>
      <c r="F56" s="53">
        <v>232628</v>
      </c>
      <c r="G56" s="53">
        <v>140918</v>
      </c>
      <c r="H56" s="55">
        <v>9564.4808830355178</v>
      </c>
      <c r="I56" s="104">
        <v>41821</v>
      </c>
      <c r="J56" s="53">
        <v>10.9</v>
      </c>
      <c r="K56" s="53">
        <v>23.7</v>
      </c>
      <c r="L56" s="53">
        <v>3.1204857877392929</v>
      </c>
      <c r="S56" s="96"/>
      <c r="T56" s="54"/>
      <c r="U56" s="54"/>
      <c r="V56" s="54"/>
      <c r="W56" s="54"/>
      <c r="X56" s="54"/>
      <c r="Y56" s="54"/>
      <c r="Z56" s="27"/>
      <c r="AA56" s="27"/>
    </row>
    <row r="57" spans="5:27" x14ac:dyDescent="0.3">
      <c r="E57" s="104">
        <v>38808</v>
      </c>
      <c r="F57" s="53">
        <v>233263</v>
      </c>
      <c r="G57" s="53">
        <v>143104</v>
      </c>
      <c r="H57" s="55">
        <v>7332.2412517613266</v>
      </c>
      <c r="I57" s="104">
        <v>41852</v>
      </c>
      <c r="J57" s="53">
        <v>10.9</v>
      </c>
      <c r="K57" s="53">
        <v>23.61</v>
      </c>
      <c r="L57" s="53">
        <v>3.1924409880599267</v>
      </c>
      <c r="S57" s="96"/>
      <c r="T57" s="54"/>
      <c r="U57" s="54"/>
      <c r="V57" s="54"/>
      <c r="W57" s="54"/>
      <c r="X57" s="54"/>
      <c r="Y57" s="54"/>
      <c r="Z57" s="27"/>
      <c r="AA57" s="27"/>
    </row>
    <row r="58" spans="5:27" x14ac:dyDescent="0.3">
      <c r="E58" s="104">
        <v>38899</v>
      </c>
      <c r="F58" s="53">
        <v>237002</v>
      </c>
      <c r="G58" s="53">
        <v>144584</v>
      </c>
      <c r="H58" s="55">
        <v>9130.017713661684</v>
      </c>
      <c r="I58" s="104">
        <v>41883</v>
      </c>
      <c r="J58" s="53">
        <v>10.9</v>
      </c>
      <c r="K58" s="53">
        <v>23.26</v>
      </c>
      <c r="L58" s="53">
        <v>3.472266767084621</v>
      </c>
      <c r="S58" s="96"/>
      <c r="T58" s="54"/>
      <c r="U58" s="54"/>
      <c r="V58" s="54"/>
      <c r="W58" s="54"/>
      <c r="X58" s="54"/>
      <c r="Y58" s="54"/>
      <c r="Z58" s="27"/>
      <c r="AA58" s="27"/>
    </row>
    <row r="59" spans="5:27" x14ac:dyDescent="0.3">
      <c r="E59" s="104">
        <v>38991</v>
      </c>
      <c r="F59" s="53">
        <v>239834</v>
      </c>
      <c r="G59" s="53">
        <v>146671</v>
      </c>
      <c r="H59" s="55">
        <v>9224.630197436054</v>
      </c>
      <c r="I59" s="104">
        <v>41913</v>
      </c>
      <c r="J59" s="53">
        <v>10.92</v>
      </c>
      <c r="K59" s="53">
        <v>23.79</v>
      </c>
      <c r="L59" s="53">
        <v>3.068530587418655</v>
      </c>
      <c r="S59" s="96"/>
      <c r="T59" s="54"/>
      <c r="U59" s="54"/>
      <c r="V59" s="54"/>
      <c r="W59" s="54"/>
      <c r="X59" s="54"/>
      <c r="Y59" s="54"/>
      <c r="Z59" s="27"/>
      <c r="AA59" s="27"/>
    </row>
    <row r="60" spans="5:27" x14ac:dyDescent="0.3">
      <c r="E60" s="104">
        <v>39083</v>
      </c>
      <c r="F60" s="53">
        <v>244548</v>
      </c>
      <c r="G60" s="53">
        <v>149916</v>
      </c>
      <c r="H60" s="55">
        <v>9682.3664264000545</v>
      </c>
      <c r="I60" s="104">
        <v>41944</v>
      </c>
      <c r="J60" s="53">
        <v>11.15</v>
      </c>
      <c r="K60" s="53">
        <v>23.87</v>
      </c>
      <c r="L60" s="53">
        <v>3.2345704093558663</v>
      </c>
      <c r="S60" s="96"/>
      <c r="T60" s="54"/>
      <c r="U60" s="54"/>
      <c r="V60" s="54"/>
      <c r="W60" s="54"/>
      <c r="X60" s="54"/>
      <c r="Y60" s="54"/>
      <c r="Z60" s="27"/>
      <c r="AA60" s="27"/>
    </row>
    <row r="61" spans="5:27" x14ac:dyDescent="0.3">
      <c r="E61" s="104">
        <v>39173</v>
      </c>
      <c r="F61" s="53">
        <v>248523</v>
      </c>
      <c r="G61" s="53">
        <v>151883</v>
      </c>
      <c r="H61" s="55">
        <v>11077.375413263566</v>
      </c>
      <c r="I61" s="104">
        <v>41974</v>
      </c>
      <c r="J61" s="53">
        <v>11.58</v>
      </c>
      <c r="K61" s="53">
        <v>23.39</v>
      </c>
      <c r="L61" s="53">
        <v>4.0483314777325905</v>
      </c>
      <c r="S61" s="96"/>
      <c r="T61" s="54"/>
      <c r="U61" s="54"/>
      <c r="V61" s="54"/>
      <c r="W61" s="54"/>
      <c r="X61" s="54"/>
      <c r="Y61" s="54"/>
      <c r="Z61" s="27"/>
      <c r="AA61" s="27"/>
    </row>
    <row r="62" spans="5:27" x14ac:dyDescent="0.3">
      <c r="E62" s="104">
        <v>39264</v>
      </c>
      <c r="F62" s="53">
        <v>250953</v>
      </c>
      <c r="G62" s="53">
        <v>152842</v>
      </c>
      <c r="H62" s="55">
        <v>12249.515026076057</v>
      </c>
      <c r="I62" s="104">
        <v>42005</v>
      </c>
      <c r="J62" s="53">
        <v>11.82</v>
      </c>
      <c r="K62" s="53">
        <v>24.6</v>
      </c>
      <c r="L62" s="53">
        <v>3.320933784532933</v>
      </c>
      <c r="S62" s="96"/>
      <c r="T62" s="54"/>
      <c r="U62" s="54"/>
      <c r="V62" s="54"/>
      <c r="W62" s="54"/>
      <c r="X62" s="54"/>
      <c r="Y62" s="54"/>
      <c r="Z62" s="27"/>
      <c r="AA62" s="27"/>
    </row>
    <row r="63" spans="5:27" x14ac:dyDescent="0.3">
      <c r="E63" s="104">
        <v>39356</v>
      </c>
      <c r="F63" s="53">
        <v>254918</v>
      </c>
      <c r="G63" s="53">
        <v>157284</v>
      </c>
      <c r="H63" s="55">
        <v>10388.221136725653</v>
      </c>
      <c r="I63" s="104">
        <v>42036</v>
      </c>
      <c r="J63" s="53">
        <v>12.15</v>
      </c>
      <c r="K63" s="53">
        <v>25.32</v>
      </c>
      <c r="L63" s="53">
        <v>3.0752921819678516</v>
      </c>
      <c r="S63" s="96"/>
      <c r="T63" s="54"/>
      <c r="U63" s="54"/>
      <c r="V63" s="54"/>
      <c r="W63" s="54"/>
      <c r="X63" s="54"/>
      <c r="Y63" s="54"/>
      <c r="Z63" s="27"/>
      <c r="AA63" s="27"/>
    </row>
    <row r="64" spans="5:27" x14ac:dyDescent="0.3">
      <c r="E64" s="104">
        <v>39448</v>
      </c>
      <c r="F64" s="53">
        <v>258056</v>
      </c>
      <c r="G64" s="53">
        <v>160679</v>
      </c>
      <c r="H64" s="55">
        <v>9073.2117368282052</v>
      </c>
      <c r="I64" s="104">
        <v>42064</v>
      </c>
      <c r="J64" s="53">
        <v>12.58</v>
      </c>
      <c r="K64" s="53">
        <v>25.51</v>
      </c>
      <c r="L64" s="53">
        <v>3.3533867590687283</v>
      </c>
      <c r="S64" s="96"/>
      <c r="T64" s="54"/>
      <c r="U64" s="54"/>
      <c r="V64" s="54"/>
      <c r="W64" s="54"/>
      <c r="X64" s="54"/>
      <c r="Y64" s="54"/>
      <c r="Z64" s="27"/>
      <c r="AA64" s="27"/>
    </row>
    <row r="65" spans="5:27" x14ac:dyDescent="0.3">
      <c r="E65" s="104">
        <v>39539</v>
      </c>
      <c r="F65" s="53">
        <v>263463</v>
      </c>
      <c r="G65" s="53">
        <v>162514</v>
      </c>
      <c r="H65" s="55">
        <v>12073.356877089798</v>
      </c>
      <c r="I65" s="104">
        <v>42095</v>
      </c>
      <c r="J65" s="53">
        <v>12.68</v>
      </c>
      <c r="K65" s="53">
        <v>26.13</v>
      </c>
      <c r="L65" s="53">
        <v>2.9576953790821321</v>
      </c>
      <c r="S65" s="96"/>
      <c r="T65" s="54"/>
      <c r="U65" s="54"/>
      <c r="V65" s="54"/>
      <c r="W65" s="54"/>
      <c r="X65" s="54"/>
      <c r="Y65" s="54"/>
      <c r="Z65" s="27"/>
      <c r="AA65" s="27"/>
    </row>
    <row r="66" spans="5:27" x14ac:dyDescent="0.3">
      <c r="E66" s="104">
        <v>39630</v>
      </c>
      <c r="F66" s="53">
        <v>267615</v>
      </c>
      <c r="G66" s="53">
        <v>165550</v>
      </c>
      <c r="H66" s="55">
        <v>12243.225348934066</v>
      </c>
      <c r="I66" s="104">
        <v>42125</v>
      </c>
      <c r="J66" s="53">
        <v>13.15</v>
      </c>
      <c r="K66" s="53">
        <v>26.73</v>
      </c>
      <c r="L66" s="53">
        <v>2.9479940436112262</v>
      </c>
      <c r="S66" s="96"/>
      <c r="T66" s="54"/>
      <c r="U66" s="54"/>
      <c r="V66" s="54"/>
      <c r="W66" s="54"/>
      <c r="X66" s="54"/>
      <c r="Y66" s="54"/>
      <c r="Z66" s="27"/>
      <c r="AA66" s="27"/>
    </row>
    <row r="67" spans="5:27" x14ac:dyDescent="0.3">
      <c r="E67" s="104">
        <v>39722</v>
      </c>
      <c r="F67" s="53">
        <v>257534</v>
      </c>
      <c r="G67" s="53">
        <v>162886</v>
      </c>
      <c r="H67" s="55">
        <v>5656.4277175134048</v>
      </c>
      <c r="I67" s="104">
        <v>42156</v>
      </c>
      <c r="J67" s="53">
        <v>13.58</v>
      </c>
      <c r="K67" s="53">
        <v>27.25</v>
      </c>
      <c r="L67" s="53">
        <v>2.9622528862031086</v>
      </c>
      <c r="S67" s="96"/>
      <c r="T67" s="54"/>
      <c r="U67" s="54"/>
      <c r="V67" s="54"/>
      <c r="W67" s="54"/>
      <c r="X67" s="54"/>
      <c r="Y67" s="54"/>
      <c r="Z67" s="27"/>
      <c r="AA67" s="27"/>
    </row>
    <row r="68" spans="5:27" x14ac:dyDescent="0.3">
      <c r="E68" s="104">
        <v>39814</v>
      </c>
      <c r="F68" s="53">
        <v>253940</v>
      </c>
      <c r="G68" s="53">
        <v>164299</v>
      </c>
      <c r="H68" s="55">
        <v>209.08389363854076</v>
      </c>
      <c r="I68" s="104">
        <v>42186</v>
      </c>
      <c r="J68" s="53">
        <v>13.69</v>
      </c>
      <c r="K68" s="53">
        <v>28.05</v>
      </c>
      <c r="L68" s="53">
        <v>2.4326511055752373</v>
      </c>
      <c r="S68" s="96"/>
      <c r="T68" s="54"/>
      <c r="U68" s="54"/>
      <c r="V68" s="54"/>
      <c r="W68" s="54"/>
      <c r="X68" s="54"/>
      <c r="Y68" s="54"/>
      <c r="Z68" s="27"/>
      <c r="AA68" s="27"/>
    </row>
    <row r="69" spans="5:27" x14ac:dyDescent="0.3">
      <c r="E69" s="104">
        <v>39904</v>
      </c>
      <c r="F69" s="53">
        <v>258488</v>
      </c>
      <c r="G69" s="53">
        <v>169014</v>
      </c>
      <c r="H69" s="55">
        <v>-1427.2870402396657</v>
      </c>
      <c r="I69" s="104">
        <v>42217</v>
      </c>
      <c r="J69" s="53">
        <v>14.15</v>
      </c>
      <c r="K69" s="53">
        <v>28.55</v>
      </c>
      <c r="L69" s="53">
        <v>2.4928999926828173</v>
      </c>
      <c r="S69" s="96"/>
      <c r="T69" s="54"/>
      <c r="U69" s="54"/>
      <c r="V69" s="54"/>
      <c r="W69" s="54"/>
      <c r="X69" s="54"/>
      <c r="Y69" s="54"/>
      <c r="Z69" s="27"/>
      <c r="AA69" s="27"/>
    </row>
    <row r="70" spans="5:27" x14ac:dyDescent="0.3">
      <c r="E70" s="104">
        <v>39995</v>
      </c>
      <c r="F70" s="53">
        <v>264566</v>
      </c>
      <c r="G70" s="53">
        <v>172926</v>
      </c>
      <c r="H70" s="55">
        <v>-480.41304094623774</v>
      </c>
      <c r="I70" s="104">
        <v>42248</v>
      </c>
      <c r="J70" s="53">
        <v>14.15</v>
      </c>
      <c r="K70" s="53">
        <v>29.06</v>
      </c>
      <c r="L70" s="53">
        <v>2.0851538575325481</v>
      </c>
      <c r="S70" s="96"/>
      <c r="T70" s="54"/>
      <c r="U70" s="54"/>
      <c r="V70" s="54"/>
      <c r="W70" s="54"/>
      <c r="X70" s="54"/>
      <c r="Y70" s="54"/>
      <c r="Z70" s="27"/>
      <c r="AA70" s="27"/>
    </row>
    <row r="71" spans="5:27" x14ac:dyDescent="0.3">
      <c r="E71" s="104">
        <v>40087</v>
      </c>
      <c r="F71" s="53">
        <v>271334</v>
      </c>
      <c r="G71" s="53">
        <v>174170</v>
      </c>
      <c r="H71" s="55">
        <v>4655.9098770294804</v>
      </c>
      <c r="I71" s="104">
        <v>42278</v>
      </c>
      <c r="J71" s="53">
        <v>14.15</v>
      </c>
      <c r="K71" s="53">
        <v>29.85</v>
      </c>
      <c r="L71" s="53">
        <v>1.4535470991625257</v>
      </c>
      <c r="S71" s="96"/>
      <c r="T71" s="54"/>
      <c r="U71" s="54"/>
      <c r="V71" s="54"/>
      <c r="W71" s="54"/>
      <c r="X71" s="54"/>
      <c r="Y71" s="54"/>
      <c r="Z71" s="27"/>
      <c r="AA71" s="27"/>
    </row>
    <row r="72" spans="5:27" x14ac:dyDescent="0.3">
      <c r="E72" s="104">
        <v>40179</v>
      </c>
      <c r="F72" s="53">
        <v>277127</v>
      </c>
      <c r="G72" s="53">
        <v>176537</v>
      </c>
      <c r="H72" s="55">
        <v>7344.2638535957667</v>
      </c>
      <c r="I72" s="104">
        <v>42309</v>
      </c>
      <c r="J72" s="53">
        <v>14.15</v>
      </c>
      <c r="K72" s="53">
        <v>30.13</v>
      </c>
      <c r="L72" s="53">
        <v>1.2296864759427724</v>
      </c>
      <c r="S72" s="96"/>
      <c r="T72" s="54"/>
      <c r="U72" s="54"/>
      <c r="V72" s="54"/>
      <c r="W72" s="54"/>
      <c r="X72" s="54"/>
      <c r="Y72" s="54"/>
      <c r="Z72" s="27"/>
      <c r="AA72" s="27"/>
    </row>
    <row r="73" spans="5:27" x14ac:dyDescent="0.3">
      <c r="E73" s="104">
        <v>40269</v>
      </c>
      <c r="F73" s="53">
        <v>280479</v>
      </c>
      <c r="G73" s="53">
        <v>178218</v>
      </c>
      <c r="H73" s="55">
        <v>8491.4011728217592</v>
      </c>
      <c r="I73" s="104">
        <v>42339</v>
      </c>
      <c r="J73" s="53">
        <v>14.15</v>
      </c>
      <c r="K73" s="53">
        <v>29.38</v>
      </c>
      <c r="L73" s="53">
        <v>1.829313145281402</v>
      </c>
      <c r="S73" s="96"/>
      <c r="T73" s="54"/>
      <c r="U73" s="54"/>
      <c r="V73" s="54"/>
      <c r="W73" s="54"/>
      <c r="X73" s="54"/>
      <c r="Y73" s="54"/>
      <c r="Z73" s="27"/>
      <c r="AA73" s="27"/>
    </row>
    <row r="74" spans="5:27" x14ac:dyDescent="0.3">
      <c r="E74" s="104">
        <v>40360</v>
      </c>
      <c r="F74" s="53">
        <v>283006</v>
      </c>
      <c r="G74" s="53">
        <v>182109</v>
      </c>
      <c r="H74" s="55">
        <v>5914.8195601557964</v>
      </c>
      <c r="I74" s="104">
        <v>42370</v>
      </c>
      <c r="J74" s="53">
        <v>14.15</v>
      </c>
      <c r="K74" s="53">
        <v>31.03</v>
      </c>
      <c r="L74" s="53">
        <v>0.51013447273641255</v>
      </c>
      <c r="S74" s="96"/>
      <c r="T74" s="54"/>
      <c r="U74" s="54"/>
      <c r="V74" s="54"/>
      <c r="W74" s="54"/>
      <c r="X74" s="54"/>
      <c r="Y74" s="54"/>
      <c r="Z74" s="27"/>
      <c r="AA74" s="27"/>
    </row>
    <row r="75" spans="5:27" x14ac:dyDescent="0.3">
      <c r="E75" s="104">
        <v>40452</v>
      </c>
      <c r="F75" s="53">
        <v>286939</v>
      </c>
      <c r="G75" s="53">
        <v>185966</v>
      </c>
      <c r="H75" s="55">
        <v>4788.8336233650334</v>
      </c>
      <c r="I75" s="104">
        <v>42401</v>
      </c>
      <c r="J75" s="53">
        <v>14.15</v>
      </c>
      <c r="K75" s="53">
        <v>31.52</v>
      </c>
      <c r="L75" s="53">
        <v>0.11837838210184337</v>
      </c>
      <c r="S75" s="96"/>
      <c r="T75" s="54"/>
      <c r="U75" s="54"/>
      <c r="V75" s="54"/>
      <c r="W75" s="54"/>
      <c r="X75" s="54"/>
      <c r="Y75" s="54"/>
      <c r="Z75" s="27"/>
      <c r="AA75" s="27"/>
    </row>
    <row r="76" spans="5:27" x14ac:dyDescent="0.3">
      <c r="E76" s="104">
        <v>40544</v>
      </c>
      <c r="F76" s="53">
        <v>291050</v>
      </c>
      <c r="G76" s="53">
        <v>187699</v>
      </c>
      <c r="H76" s="55">
        <v>6626.7657912524883</v>
      </c>
      <c r="I76" s="104">
        <v>42430</v>
      </c>
      <c r="J76" s="53">
        <v>14.15</v>
      </c>
      <c r="K76" s="53">
        <v>31.71</v>
      </c>
      <c r="L76" s="53">
        <v>-3.3527040797279639E-2</v>
      </c>
      <c r="S76" s="96"/>
      <c r="T76" s="54"/>
      <c r="U76" s="54"/>
      <c r="V76" s="54"/>
      <c r="W76" s="54"/>
      <c r="X76" s="54"/>
      <c r="Y76" s="54"/>
      <c r="Z76" s="27"/>
      <c r="AA76" s="27"/>
    </row>
    <row r="77" spans="5:27" x14ac:dyDescent="0.3">
      <c r="E77" s="104">
        <v>40634</v>
      </c>
      <c r="F77" s="53">
        <v>293790</v>
      </c>
      <c r="G77" s="53">
        <v>190212</v>
      </c>
      <c r="H77" s="55">
        <v>6070.6206890603062</v>
      </c>
      <c r="I77" s="104">
        <v>42461</v>
      </c>
      <c r="J77" s="53">
        <v>14.15</v>
      </c>
      <c r="K77" s="53">
        <v>32.130000000000003</v>
      </c>
      <c r="L77" s="53">
        <v>-0.36931797562691138</v>
      </c>
      <c r="S77" s="96"/>
      <c r="T77" s="54"/>
      <c r="U77" s="54"/>
      <c r="V77" s="54"/>
      <c r="W77" s="54"/>
      <c r="X77" s="54"/>
      <c r="Y77" s="54"/>
      <c r="Z77" s="27"/>
      <c r="AA77" s="27"/>
    </row>
    <row r="78" spans="5:27" x14ac:dyDescent="0.3">
      <c r="E78" s="104">
        <v>40725</v>
      </c>
      <c r="F78" s="53">
        <v>293200</v>
      </c>
      <c r="G78" s="53">
        <v>189488</v>
      </c>
      <c r="H78" s="55">
        <v>6430.2462576982798</v>
      </c>
      <c r="I78" s="104">
        <v>42491</v>
      </c>
      <c r="J78" s="53">
        <v>14.15</v>
      </c>
      <c r="K78" s="53">
        <v>32.229999999999997</v>
      </c>
      <c r="L78" s="53">
        <v>-0.44926819820539343</v>
      </c>
      <c r="S78" s="96"/>
      <c r="T78" s="54"/>
      <c r="U78" s="54"/>
      <c r="V78" s="54"/>
      <c r="W78" s="54"/>
      <c r="X78" s="54"/>
      <c r="Y78" s="54"/>
      <c r="Z78" s="27"/>
      <c r="AA78" s="27"/>
    </row>
    <row r="79" spans="5:27" x14ac:dyDescent="0.3">
      <c r="E79" s="104">
        <v>40817</v>
      </c>
      <c r="F79" s="53">
        <v>295631</v>
      </c>
      <c r="G79" s="53">
        <v>190477</v>
      </c>
      <c r="H79" s="55">
        <v>7564.0367447384633</v>
      </c>
      <c r="I79" s="104">
        <v>42522</v>
      </c>
      <c r="J79" s="53">
        <v>14.15</v>
      </c>
      <c r="K79" s="53">
        <v>32.08</v>
      </c>
      <c r="L79" s="53">
        <v>-0.3293428643376668</v>
      </c>
      <c r="S79" s="96"/>
      <c r="T79" s="54"/>
      <c r="U79" s="54"/>
      <c r="V79" s="54"/>
      <c r="W79" s="54"/>
      <c r="X79" s="54"/>
      <c r="Y79" s="54"/>
      <c r="Z79" s="27"/>
      <c r="AA79" s="27"/>
    </row>
    <row r="80" spans="5:27" x14ac:dyDescent="0.3">
      <c r="E80" s="104">
        <v>40909</v>
      </c>
      <c r="F80" s="53">
        <v>291791</v>
      </c>
      <c r="G80" s="53">
        <v>193125</v>
      </c>
      <c r="H80" s="55">
        <v>250.8205765709863</v>
      </c>
      <c r="I80" s="104">
        <v>42552</v>
      </c>
      <c r="J80" s="53">
        <v>14.15</v>
      </c>
      <c r="K80" s="53">
        <v>32.54</v>
      </c>
      <c r="L80" s="53">
        <v>-0.69711388819869491</v>
      </c>
      <c r="S80" s="96"/>
      <c r="T80" s="54"/>
      <c r="U80" s="54"/>
      <c r="V80" s="54"/>
      <c r="W80" s="54"/>
      <c r="X80" s="54"/>
      <c r="Y80" s="54"/>
      <c r="Z80" s="27"/>
      <c r="AA80" s="27"/>
    </row>
    <row r="81" spans="5:27" x14ac:dyDescent="0.3">
      <c r="E81" s="104">
        <v>41000</v>
      </c>
      <c r="F81" s="53">
        <v>296859</v>
      </c>
      <c r="G81" s="53">
        <v>194617</v>
      </c>
      <c r="H81" s="55">
        <v>3361.8573881624034</v>
      </c>
      <c r="I81" s="104">
        <v>42583</v>
      </c>
      <c r="J81" s="53">
        <v>14.15</v>
      </c>
      <c r="K81" s="53">
        <v>32.69</v>
      </c>
      <c r="L81" s="53">
        <v>-0.81703922206641799</v>
      </c>
      <c r="S81" s="96"/>
      <c r="T81" s="54"/>
      <c r="U81" s="54"/>
      <c r="V81" s="54"/>
      <c r="W81" s="54"/>
      <c r="X81" s="54"/>
      <c r="Y81" s="54"/>
      <c r="Z81" s="27"/>
      <c r="AA81" s="27"/>
    </row>
    <row r="82" spans="5:27" x14ac:dyDescent="0.3">
      <c r="E82" s="104">
        <v>41091</v>
      </c>
      <c r="F82" s="53">
        <v>301930</v>
      </c>
      <c r="G82" s="53">
        <v>197195</v>
      </c>
      <c r="H82" s="55">
        <v>5051.4558467969764</v>
      </c>
      <c r="I82" s="104">
        <v>42614</v>
      </c>
      <c r="J82" s="53">
        <v>14.15</v>
      </c>
      <c r="K82" s="53">
        <v>32.71</v>
      </c>
      <c r="L82" s="53">
        <v>-0.83302926658211796</v>
      </c>
      <c r="S82" s="96"/>
      <c r="T82" s="54"/>
      <c r="U82" s="54"/>
      <c r="V82" s="54"/>
      <c r="W82" s="54"/>
      <c r="X82" s="54"/>
      <c r="Y82" s="54"/>
      <c r="Z82" s="27"/>
      <c r="AA82" s="27"/>
    </row>
    <row r="83" spans="5:27" x14ac:dyDescent="0.3">
      <c r="E83" s="104">
        <v>41183</v>
      </c>
      <c r="F83" s="53">
        <v>301992</v>
      </c>
      <c r="G83" s="53">
        <v>199345</v>
      </c>
      <c r="H83" s="55">
        <v>2293.4351664495189</v>
      </c>
      <c r="I83" s="104">
        <v>42644</v>
      </c>
      <c r="J83" s="53">
        <v>14.05</v>
      </c>
      <c r="K83" s="53">
        <v>32.99</v>
      </c>
      <c r="L83" s="53">
        <v>-1.1568898898018745</v>
      </c>
      <c r="S83" s="96"/>
      <c r="T83" s="54"/>
      <c r="U83" s="54"/>
      <c r="V83" s="54"/>
      <c r="W83" s="54"/>
      <c r="X83" s="54"/>
      <c r="Y83" s="54"/>
      <c r="Z83" s="27"/>
      <c r="AA83" s="27"/>
    </row>
    <row r="84" spans="5:27" x14ac:dyDescent="0.3">
      <c r="E84" s="104">
        <v>41275</v>
      </c>
      <c r="F84" s="53">
        <v>303650</v>
      </c>
      <c r="G84" s="53">
        <v>200312</v>
      </c>
      <c r="H84" s="55">
        <v>2683.0816790560493</v>
      </c>
      <c r="I84" s="104">
        <v>42675</v>
      </c>
      <c r="J84" s="53">
        <v>13.9</v>
      </c>
      <c r="K84" s="53">
        <v>32.799999999999997</v>
      </c>
      <c r="L84" s="53">
        <v>-1.1549844669027518</v>
      </c>
      <c r="S84" s="96"/>
      <c r="T84" s="54"/>
      <c r="U84" s="54"/>
      <c r="V84" s="54"/>
      <c r="W84" s="54"/>
      <c r="X84" s="54"/>
      <c r="Y84" s="54"/>
      <c r="Z84" s="27"/>
      <c r="AA84" s="27"/>
    </row>
    <row r="85" spans="5:27" x14ac:dyDescent="0.3">
      <c r="E85" s="104">
        <v>41365</v>
      </c>
      <c r="F85" s="53">
        <v>308049</v>
      </c>
      <c r="G85" s="53">
        <v>202908</v>
      </c>
      <c r="H85" s="55">
        <v>3677.0706622272264</v>
      </c>
      <c r="I85" s="104">
        <v>42705</v>
      </c>
      <c r="J85" s="53">
        <v>13.65</v>
      </c>
      <c r="K85" s="53">
        <v>31.81</v>
      </c>
      <c r="L85" s="53">
        <v>-0.61347726337576169</v>
      </c>
      <c r="S85" s="96"/>
      <c r="T85" s="54"/>
      <c r="U85" s="54"/>
      <c r="V85" s="54"/>
      <c r="W85" s="54"/>
      <c r="X85" s="54"/>
      <c r="Y85" s="54"/>
      <c r="Z85" s="27"/>
      <c r="AA85" s="27"/>
    </row>
    <row r="86" spans="5:27" x14ac:dyDescent="0.3">
      <c r="E86" s="104">
        <v>41456</v>
      </c>
      <c r="F86" s="53">
        <v>309415</v>
      </c>
      <c r="G86" s="53">
        <v>204254</v>
      </c>
      <c r="H86" s="55">
        <v>3277.6065525771701</v>
      </c>
      <c r="I86" s="104">
        <v>42736</v>
      </c>
      <c r="J86" s="53">
        <v>13.17</v>
      </c>
      <c r="K86" s="53">
        <v>32.54</v>
      </c>
      <c r="L86" s="53">
        <v>-1.6771138881986953</v>
      </c>
      <c r="S86" s="96"/>
      <c r="T86" s="54"/>
      <c r="U86" s="54"/>
      <c r="V86" s="54"/>
      <c r="W86" s="54"/>
      <c r="X86" s="54"/>
      <c r="Y86" s="54"/>
      <c r="Z86" s="27"/>
      <c r="AA86" s="27"/>
    </row>
    <row r="87" spans="5:27" x14ac:dyDescent="0.3">
      <c r="E87" s="104">
        <v>41548</v>
      </c>
      <c r="F87" s="53">
        <v>309812</v>
      </c>
      <c r="G87" s="53">
        <v>204060</v>
      </c>
      <c r="H87" s="55">
        <v>3929.0642325713416</v>
      </c>
      <c r="I87" s="104">
        <v>42767</v>
      </c>
      <c r="J87" s="53">
        <v>12.82</v>
      </c>
      <c r="K87" s="53">
        <v>31.78</v>
      </c>
      <c r="L87" s="53">
        <v>-1.4194921966022171</v>
      </c>
      <c r="S87" s="96"/>
      <c r="T87" s="54"/>
      <c r="U87" s="54"/>
      <c r="V87" s="54"/>
      <c r="W87" s="54"/>
      <c r="X87" s="54"/>
      <c r="Y87" s="54"/>
      <c r="Z87" s="27"/>
      <c r="AA87" s="27"/>
    </row>
    <row r="88" spans="5:27" x14ac:dyDescent="0.3">
      <c r="E88" s="104">
        <v>41640</v>
      </c>
      <c r="F88" s="53">
        <v>312525</v>
      </c>
      <c r="G88" s="53">
        <v>207390</v>
      </c>
      <c r="H88" s="55">
        <v>2274.3112718471675</v>
      </c>
      <c r="I88" s="104">
        <v>42795</v>
      </c>
      <c r="J88" s="53">
        <v>12.15</v>
      </c>
      <c r="K88" s="53">
        <v>31.72</v>
      </c>
      <c r="L88" s="53">
        <v>-2.0415220630551243</v>
      </c>
      <c r="S88" s="96"/>
      <c r="T88" s="54"/>
      <c r="U88" s="54"/>
      <c r="V88" s="54"/>
      <c r="W88" s="54"/>
      <c r="X88" s="54"/>
      <c r="Y88" s="54"/>
      <c r="Z88" s="27"/>
      <c r="AA88" s="27"/>
    </row>
    <row r="89" spans="5:27" x14ac:dyDescent="0.3">
      <c r="E89" s="104">
        <v>41730</v>
      </c>
      <c r="F89" s="53">
        <v>307822</v>
      </c>
      <c r="G89" s="53">
        <v>206268</v>
      </c>
      <c r="H89" s="55">
        <v>-957.03142426919658</v>
      </c>
      <c r="I89" s="104">
        <v>42826</v>
      </c>
      <c r="J89" s="53">
        <v>11.59</v>
      </c>
      <c r="K89" s="53">
        <v>29.82</v>
      </c>
      <c r="L89" s="53">
        <v>-1.0824678340639302</v>
      </c>
      <c r="S89" s="96"/>
      <c r="T89" s="54"/>
      <c r="U89" s="54"/>
      <c r="V89" s="54"/>
      <c r="W89" s="54"/>
      <c r="X89" s="54"/>
      <c r="Y89" s="54"/>
      <c r="Z89" s="27"/>
      <c r="AA89" s="27"/>
    </row>
    <row r="90" spans="5:27" x14ac:dyDescent="0.3">
      <c r="E90" s="104">
        <v>41821</v>
      </c>
      <c r="F90" s="53">
        <v>307733</v>
      </c>
      <c r="G90" s="53">
        <v>206575</v>
      </c>
      <c r="H90" s="55">
        <v>-1448.704144672316</v>
      </c>
      <c r="I90" s="104">
        <v>42856</v>
      </c>
      <c r="J90" s="53">
        <v>11.15</v>
      </c>
      <c r="K90" s="53">
        <v>28.74</v>
      </c>
      <c r="L90" s="53">
        <v>-0.6590054302163022</v>
      </c>
      <c r="S90" s="96"/>
      <c r="T90" s="54"/>
      <c r="U90" s="54"/>
      <c r="V90" s="54"/>
      <c r="W90" s="54"/>
      <c r="X90" s="54"/>
      <c r="Y90" s="54"/>
      <c r="Z90" s="27"/>
      <c r="AA90" s="27"/>
    </row>
    <row r="91" spans="5:27" x14ac:dyDescent="0.3">
      <c r="E91" s="104">
        <v>41913</v>
      </c>
      <c r="F91" s="53">
        <v>309305</v>
      </c>
      <c r="G91" s="53">
        <v>209584</v>
      </c>
      <c r="H91" s="55">
        <v>-3823.4214596329839</v>
      </c>
      <c r="I91" s="104">
        <v>42887</v>
      </c>
      <c r="J91" s="53">
        <v>10.15</v>
      </c>
      <c r="K91" s="53">
        <v>28.52</v>
      </c>
      <c r="L91" s="53">
        <v>-1.4831149405436381</v>
      </c>
      <c r="S91" s="96"/>
      <c r="T91" s="54"/>
      <c r="U91" s="54"/>
      <c r="V91" s="54"/>
      <c r="W91" s="54"/>
      <c r="X91" s="54"/>
      <c r="Y91" s="54"/>
      <c r="Z91" s="27"/>
      <c r="AA91" s="27"/>
    </row>
    <row r="92" spans="5:27" x14ac:dyDescent="0.3">
      <c r="E92" s="104">
        <v>42005</v>
      </c>
      <c r="F92" s="53">
        <v>306840</v>
      </c>
      <c r="G92" s="53">
        <v>206003</v>
      </c>
      <c r="H92" s="55">
        <v>-1591.4474799472955</v>
      </c>
      <c r="I92" s="104">
        <v>42917</v>
      </c>
      <c r="J92" s="53">
        <v>10.01</v>
      </c>
      <c r="K92" s="53">
        <v>28.95</v>
      </c>
      <c r="L92" s="53">
        <v>-1.9669008976311186</v>
      </c>
      <c r="S92" s="96"/>
      <c r="T92" s="54"/>
      <c r="U92" s="54"/>
      <c r="V92" s="54"/>
      <c r="W92" s="54"/>
      <c r="X92" s="54"/>
      <c r="Y92" s="54"/>
      <c r="Z92" s="27"/>
      <c r="AA92" s="27"/>
    </row>
    <row r="93" spans="5:27" x14ac:dyDescent="0.3">
      <c r="E93" s="104">
        <v>42095</v>
      </c>
      <c r="F93" s="53">
        <v>299543</v>
      </c>
      <c r="G93" s="53">
        <v>202079</v>
      </c>
      <c r="H93" s="55">
        <v>-3741.5818289318122</v>
      </c>
      <c r="I93" s="104">
        <v>42948</v>
      </c>
      <c r="J93" s="53">
        <v>9.15</v>
      </c>
      <c r="K93" s="53">
        <v>28.47</v>
      </c>
      <c r="L93" s="53">
        <v>-2.4431398292543935</v>
      </c>
      <c r="S93" s="96"/>
      <c r="T93" s="54"/>
      <c r="U93" s="54"/>
      <c r="V93" s="54"/>
      <c r="W93" s="54"/>
      <c r="X93" s="54"/>
      <c r="Y93" s="54"/>
      <c r="Z93" s="27"/>
      <c r="AA93" s="27"/>
    </row>
    <row r="94" spans="5:27" x14ac:dyDescent="0.3">
      <c r="E94" s="104">
        <v>42186</v>
      </c>
      <c r="F94" s="53">
        <v>294788</v>
      </c>
      <c r="G94" s="53">
        <v>198448</v>
      </c>
      <c r="H94" s="55">
        <v>-3734.0259729590034</v>
      </c>
      <c r="I94" s="104">
        <v>42979</v>
      </c>
      <c r="J94" s="53">
        <v>8.35</v>
      </c>
      <c r="K94" s="53">
        <v>26.85</v>
      </c>
      <c r="L94" s="53">
        <v>-1.9479462234829565</v>
      </c>
      <c r="S94" s="96"/>
      <c r="T94" s="54"/>
      <c r="U94" s="54"/>
      <c r="V94" s="54"/>
      <c r="W94" s="54"/>
      <c r="X94" s="54"/>
      <c r="Y94" s="54"/>
      <c r="Z94" s="27"/>
      <c r="AA94" s="27"/>
    </row>
    <row r="95" spans="5:27" x14ac:dyDescent="0.3">
      <c r="E95" s="104">
        <v>42278</v>
      </c>
      <c r="F95" s="53">
        <v>292448</v>
      </c>
      <c r="G95" s="53">
        <v>196912</v>
      </c>
      <c r="H95" s="55">
        <v>-4059.3507334177848</v>
      </c>
      <c r="I95" s="104">
        <v>43009</v>
      </c>
      <c r="J95" s="53">
        <v>8.01</v>
      </c>
      <c r="K95" s="53">
        <v>27.36</v>
      </c>
      <c r="L95" s="53">
        <v>-2.695692358633222</v>
      </c>
      <c r="S95" s="96"/>
      <c r="T95" s="54"/>
      <c r="U95" s="54"/>
      <c r="V95" s="54"/>
      <c r="W95" s="54"/>
      <c r="X95" s="54"/>
      <c r="Y95" s="54"/>
      <c r="Z95" s="27"/>
      <c r="AA95" s="27"/>
    </row>
    <row r="96" spans="5:27" x14ac:dyDescent="0.3">
      <c r="E96" s="104">
        <v>42370</v>
      </c>
      <c r="F96" s="53">
        <v>288021</v>
      </c>
      <c r="G96" s="53">
        <v>194431</v>
      </c>
      <c r="H96" s="55">
        <v>-5232.1780320493854</v>
      </c>
      <c r="I96" s="104">
        <v>43040</v>
      </c>
      <c r="J96" s="53">
        <v>7.4</v>
      </c>
      <c r="K96" s="53">
        <v>26.82</v>
      </c>
      <c r="L96" s="53">
        <v>-2.8739611567094112</v>
      </c>
      <c r="S96" s="96"/>
      <c r="T96" s="54"/>
      <c r="U96" s="54"/>
      <c r="V96" s="54"/>
      <c r="W96" s="54"/>
      <c r="X96" s="54"/>
      <c r="Y96" s="54"/>
      <c r="Z96" s="27"/>
      <c r="AA96" s="27"/>
    </row>
    <row r="97" spans="5:27" x14ac:dyDescent="0.3">
      <c r="E97" s="104">
        <v>42461</v>
      </c>
      <c r="F97" s="53">
        <v>289087</v>
      </c>
      <c r="G97" s="53">
        <v>193295</v>
      </c>
      <c r="H97" s="55">
        <v>-2676.1578028053045</v>
      </c>
      <c r="I97" s="104">
        <v>43070</v>
      </c>
      <c r="J97" s="53">
        <v>7</v>
      </c>
      <c r="K97" s="53">
        <v>25.49</v>
      </c>
      <c r="L97" s="53">
        <v>-2.2106231964155718</v>
      </c>
      <c r="S97" s="96"/>
      <c r="T97" s="54"/>
      <c r="U97" s="54"/>
      <c r="V97" s="54"/>
      <c r="W97" s="54"/>
      <c r="X97" s="54"/>
      <c r="Y97" s="54"/>
      <c r="Z97" s="27"/>
      <c r="AA97" s="27"/>
    </row>
    <row r="98" spans="5:27" x14ac:dyDescent="0.3">
      <c r="E98" s="104">
        <v>42552</v>
      </c>
      <c r="F98" s="53">
        <v>287640</v>
      </c>
      <c r="G98" s="53">
        <v>192681</v>
      </c>
      <c r="H98" s="55">
        <v>-3317.8123619991238</v>
      </c>
      <c r="I98" s="104">
        <v>43101</v>
      </c>
      <c r="J98" s="53">
        <v>6.9</v>
      </c>
      <c r="K98" s="53">
        <v>25.98</v>
      </c>
      <c r="L98" s="53">
        <v>-2.7023792870501442</v>
      </c>
      <c r="S98" s="96"/>
      <c r="T98" s="54"/>
      <c r="U98" s="54"/>
      <c r="V98" s="54"/>
      <c r="W98" s="54"/>
      <c r="X98" s="54"/>
      <c r="Y98" s="54"/>
      <c r="Z98" s="27"/>
      <c r="AA98" s="27"/>
    </row>
    <row r="99" spans="5:27" x14ac:dyDescent="0.3">
      <c r="E99" s="104">
        <v>42644</v>
      </c>
      <c r="F99" s="53">
        <v>287013</v>
      </c>
      <c r="G99" s="53">
        <v>191993</v>
      </c>
      <c r="H99" s="55">
        <v>-3042.4057442879421</v>
      </c>
      <c r="I99" s="104">
        <v>43132</v>
      </c>
      <c r="J99" s="53">
        <v>6.72</v>
      </c>
      <c r="K99" s="53">
        <v>26.56</v>
      </c>
      <c r="L99" s="53">
        <v>-3.3460905780053514</v>
      </c>
      <c r="S99" s="96"/>
      <c r="T99" s="54"/>
      <c r="U99" s="54"/>
      <c r="V99" s="54"/>
      <c r="W99" s="54"/>
      <c r="X99" s="54"/>
      <c r="Y99" s="54"/>
      <c r="Z99" s="27"/>
      <c r="AA99" s="27"/>
    </row>
    <row r="100" spans="5:27" x14ac:dyDescent="0.3">
      <c r="E100" s="104">
        <v>42736</v>
      </c>
      <c r="F100" s="53">
        <v>290171</v>
      </c>
      <c r="G100" s="53">
        <v>193424</v>
      </c>
      <c r="H100" s="55">
        <v>-1761.3590436261729</v>
      </c>
      <c r="I100" s="104">
        <v>43160</v>
      </c>
      <c r="J100" s="53">
        <v>6.58</v>
      </c>
      <c r="K100" s="53">
        <v>25.88</v>
      </c>
      <c r="L100" s="53">
        <v>-2.9424290644716589</v>
      </c>
      <c r="S100" s="96"/>
      <c r="T100" s="54"/>
      <c r="U100" s="54"/>
      <c r="V100" s="54"/>
      <c r="W100" s="54"/>
      <c r="X100" s="54"/>
      <c r="Y100" s="54"/>
      <c r="Z100" s="27"/>
      <c r="AA100" s="27"/>
    </row>
    <row r="101" spans="5:27" x14ac:dyDescent="0.3">
      <c r="E101" s="104">
        <v>42826</v>
      </c>
      <c r="F101" s="53">
        <v>292416</v>
      </c>
      <c r="G101" s="53">
        <v>196608</v>
      </c>
      <c r="H101" s="55">
        <v>-3692.6129255918786</v>
      </c>
      <c r="I101" s="104">
        <v>43191</v>
      </c>
      <c r="J101" s="53">
        <v>6.4</v>
      </c>
      <c r="K101" s="53">
        <v>25.61</v>
      </c>
      <c r="L101" s="53">
        <v>-2.9065634635097535</v>
      </c>
      <c r="S101" s="96"/>
      <c r="T101" s="54"/>
      <c r="U101" s="54"/>
      <c r="V101" s="54"/>
      <c r="W101" s="54"/>
      <c r="X101" s="54"/>
      <c r="Y101" s="54"/>
      <c r="Z101" s="27"/>
      <c r="AA101" s="27"/>
    </row>
    <row r="102" spans="5:27" x14ac:dyDescent="0.3">
      <c r="E102" s="104">
        <v>42917</v>
      </c>
      <c r="F102" s="53">
        <v>293328</v>
      </c>
      <c r="G102" s="53">
        <v>198577</v>
      </c>
      <c r="H102" s="55">
        <v>-5363.2272137798136</v>
      </c>
      <c r="I102" s="104">
        <v>43221</v>
      </c>
      <c r="J102" s="53">
        <v>6.4</v>
      </c>
      <c r="K102" s="53">
        <v>24.64</v>
      </c>
      <c r="L102" s="53">
        <v>-2.1310463044984598</v>
      </c>
      <c r="S102" s="96"/>
      <c r="T102" s="54"/>
      <c r="U102" s="54"/>
      <c r="V102" s="54"/>
      <c r="W102" s="54"/>
      <c r="X102" s="54"/>
      <c r="Y102" s="54"/>
      <c r="Z102" s="27"/>
      <c r="AA102" s="27"/>
    </row>
    <row r="103" spans="5:27" x14ac:dyDescent="0.3">
      <c r="E103" s="104">
        <v>43009</v>
      </c>
      <c r="F103" s="53">
        <v>294518</v>
      </c>
      <c r="G103" s="53">
        <v>198797</v>
      </c>
      <c r="H103" s="55">
        <v>-4461.787469443283</v>
      </c>
      <c r="I103" s="104">
        <v>43252</v>
      </c>
      <c r="J103" s="53">
        <v>6.4</v>
      </c>
      <c r="K103" s="53">
        <v>24.31</v>
      </c>
      <c r="L103" s="53">
        <v>-1.8672105699894583</v>
      </c>
      <c r="S103" s="96"/>
      <c r="T103" s="54"/>
      <c r="U103" s="54"/>
      <c r="V103" s="54"/>
      <c r="W103" s="54"/>
      <c r="X103" s="54"/>
      <c r="Y103" s="54"/>
      <c r="Z103" s="27"/>
      <c r="AA103" s="27"/>
    </row>
    <row r="104" spans="5:27" x14ac:dyDescent="0.3">
      <c r="E104" s="104">
        <v>43101</v>
      </c>
      <c r="F104" s="53">
        <v>296385</v>
      </c>
      <c r="G104" s="53">
        <v>200553</v>
      </c>
      <c r="H104" s="55">
        <v>-4898.0229646479711</v>
      </c>
      <c r="I104" s="104">
        <v>43282</v>
      </c>
      <c r="J104" s="53">
        <v>6.4</v>
      </c>
      <c r="K104" s="53">
        <v>24.14</v>
      </c>
      <c r="L104" s="53">
        <v>-1.7312951916060388</v>
      </c>
      <c r="S104" s="96"/>
      <c r="T104" s="54"/>
      <c r="U104" s="54"/>
      <c r="V104" s="54"/>
      <c r="W104" s="54"/>
      <c r="X104" s="54"/>
      <c r="Y104" s="54"/>
      <c r="Z104" s="27"/>
      <c r="AA104" s="27"/>
    </row>
    <row r="105" spans="5:27" x14ac:dyDescent="0.3">
      <c r="E105" s="104">
        <v>43191</v>
      </c>
      <c r="F105" s="53">
        <v>296231</v>
      </c>
      <c r="G105" s="53">
        <v>201053</v>
      </c>
      <c r="H105" s="55">
        <v>-5707.8417275194661</v>
      </c>
      <c r="I105" s="104">
        <v>43313</v>
      </c>
      <c r="J105" s="53">
        <v>6.4</v>
      </c>
      <c r="K105" s="53">
        <v>24.1</v>
      </c>
      <c r="L105" s="53">
        <v>-1.699315102574646</v>
      </c>
      <c r="S105" s="96"/>
      <c r="T105" s="54"/>
      <c r="U105" s="54"/>
      <c r="V105" s="54"/>
      <c r="W105" s="54"/>
      <c r="X105" s="54"/>
      <c r="Y105" s="54"/>
      <c r="Z105" s="27"/>
      <c r="AA105" s="27"/>
    </row>
    <row r="106" spans="5:27" x14ac:dyDescent="0.3">
      <c r="E106" s="104">
        <v>43282</v>
      </c>
      <c r="F106" s="53">
        <v>299292</v>
      </c>
      <c r="G106" s="53">
        <v>202323</v>
      </c>
      <c r="H106" s="55">
        <v>-4312.6213852131041</v>
      </c>
      <c r="I106" s="104">
        <v>43344</v>
      </c>
      <c r="J106" s="53">
        <v>6.4</v>
      </c>
      <c r="K106" s="53">
        <v>23.96</v>
      </c>
      <c r="L106" s="53">
        <v>-1.5873847909647676</v>
      </c>
      <c r="S106" s="96"/>
      <c r="T106" s="54"/>
      <c r="U106" s="54"/>
      <c r="V106" s="54"/>
      <c r="W106" s="54"/>
      <c r="X106" s="54"/>
      <c r="Y106" s="54"/>
      <c r="Z106" s="27"/>
      <c r="AA106" s="27"/>
    </row>
    <row r="107" spans="5:27" x14ac:dyDescent="0.3">
      <c r="E107" s="104">
        <v>43374</v>
      </c>
      <c r="F107" s="53">
        <v>298262</v>
      </c>
      <c r="G107" s="53">
        <v>202195</v>
      </c>
      <c r="H107" s="55">
        <v>-5174.7317819179734</v>
      </c>
      <c r="I107" s="104">
        <v>43374</v>
      </c>
      <c r="J107" s="53">
        <v>6.4</v>
      </c>
      <c r="K107" s="53">
        <v>24.25</v>
      </c>
      <c r="L107" s="53">
        <v>-1.8192404364423691</v>
      </c>
      <c r="S107" s="96"/>
      <c r="T107" s="54"/>
      <c r="U107" s="54"/>
      <c r="V107" s="54"/>
      <c r="W107" s="54"/>
      <c r="X107" s="54"/>
      <c r="Y107" s="54"/>
      <c r="Z107" s="27"/>
      <c r="AA107" s="27"/>
    </row>
    <row r="108" spans="5:27" x14ac:dyDescent="0.3">
      <c r="E108" s="104">
        <v>43466</v>
      </c>
      <c r="F108" s="53">
        <v>299482</v>
      </c>
      <c r="G108" s="53">
        <v>205674</v>
      </c>
      <c r="H108" s="55">
        <v>-8517.9187339778873</v>
      </c>
      <c r="I108" s="104">
        <v>43405</v>
      </c>
      <c r="J108" s="53">
        <v>6.4</v>
      </c>
      <c r="K108" s="53">
        <v>24.24</v>
      </c>
      <c r="L108" s="53">
        <v>-1.8112454141845209</v>
      </c>
      <c r="S108" s="96"/>
      <c r="T108" s="54"/>
      <c r="U108" s="54"/>
      <c r="V108" s="54"/>
      <c r="W108" s="54"/>
      <c r="X108" s="54"/>
      <c r="Y108" s="54"/>
      <c r="Z108" s="27"/>
      <c r="AA108" s="27"/>
    </row>
    <row r="109" spans="5:27" x14ac:dyDescent="0.3">
      <c r="E109" s="104">
        <v>43556</v>
      </c>
      <c r="F109" s="53">
        <v>301159</v>
      </c>
      <c r="G109" s="53">
        <v>206556</v>
      </c>
      <c r="H109" s="55">
        <v>-7997.7830316831823</v>
      </c>
      <c r="I109" s="104">
        <v>43435</v>
      </c>
      <c r="J109" s="53">
        <v>6.4</v>
      </c>
      <c r="K109" s="53">
        <v>22.93</v>
      </c>
      <c r="L109" s="53">
        <v>-0.7638974984063811</v>
      </c>
      <c r="S109" s="96"/>
      <c r="T109" s="54"/>
      <c r="U109" s="54"/>
      <c r="V109" s="54"/>
      <c r="W109" s="54"/>
      <c r="X109" s="54"/>
      <c r="Y109" s="54"/>
      <c r="Z109" s="27"/>
      <c r="AA109" s="27"/>
    </row>
    <row r="110" spans="5:27" x14ac:dyDescent="0.3">
      <c r="E110" s="104">
        <v>43647</v>
      </c>
      <c r="F110" s="53">
        <v>301480</v>
      </c>
      <c r="G110" s="53">
        <v>207474</v>
      </c>
      <c r="H110" s="55">
        <v>-8880.8662803152693</v>
      </c>
      <c r="I110" s="104">
        <v>43466</v>
      </c>
      <c r="J110" s="53">
        <v>6.4</v>
      </c>
      <c r="K110" s="53">
        <v>24.33</v>
      </c>
      <c r="L110" s="53">
        <v>-1.8832006145051547</v>
      </c>
      <c r="S110" s="96"/>
      <c r="T110" s="54"/>
      <c r="U110" s="54"/>
      <c r="V110" s="54"/>
      <c r="W110" s="54"/>
      <c r="X110" s="54"/>
      <c r="Y110" s="54"/>
      <c r="Z110" s="27"/>
      <c r="AA110" s="27"/>
    </row>
    <row r="111" spans="5:27" x14ac:dyDescent="0.3">
      <c r="E111" s="104">
        <v>43739</v>
      </c>
      <c r="F111" s="53">
        <v>302539</v>
      </c>
      <c r="G111" s="53">
        <v>207375</v>
      </c>
      <c r="H111" s="55">
        <v>-7692.014165266708</v>
      </c>
      <c r="I111" s="104">
        <v>43497</v>
      </c>
      <c r="J111" s="53">
        <v>6.4</v>
      </c>
      <c r="K111" s="53">
        <v>24.65</v>
      </c>
      <c r="L111" s="53">
        <v>-2.1390413267563044</v>
      </c>
      <c r="S111" s="96"/>
      <c r="T111" s="54"/>
      <c r="U111" s="54"/>
      <c r="V111" s="54"/>
      <c r="W111" s="54"/>
      <c r="X111" s="54"/>
      <c r="Y111" s="54"/>
      <c r="Z111" s="27"/>
      <c r="AA111" s="27"/>
    </row>
    <row r="112" spans="5:27" x14ac:dyDescent="0.3">
      <c r="E112" s="104">
        <v>43831</v>
      </c>
      <c r="F112" s="53">
        <v>295396</v>
      </c>
      <c r="G112" s="53">
        <v>204776</v>
      </c>
      <c r="H112" s="55">
        <v>-11426.068235860672</v>
      </c>
      <c r="I112" s="104">
        <v>43525</v>
      </c>
      <c r="J112" s="53">
        <v>6.4</v>
      </c>
      <c r="K112" s="53">
        <v>24.92</v>
      </c>
      <c r="L112" s="53">
        <v>-2.3549069277182131</v>
      </c>
      <c r="S112" s="96"/>
      <c r="T112" s="54"/>
      <c r="U112" s="54"/>
      <c r="V112" s="54"/>
      <c r="W112" s="54"/>
      <c r="X112" s="54"/>
      <c r="Y112" s="54"/>
      <c r="Z112" s="27"/>
      <c r="AA112" s="27"/>
    </row>
    <row r="113" spans="5:27" x14ac:dyDescent="0.3">
      <c r="E113" s="104">
        <v>43922</v>
      </c>
      <c r="F113" s="53">
        <v>268915</v>
      </c>
      <c r="G113" s="53">
        <v>181601</v>
      </c>
      <c r="H113" s="55">
        <v>-7509.8685767667484</v>
      </c>
      <c r="I113" s="104">
        <v>43556</v>
      </c>
      <c r="J113" s="53">
        <v>6.4</v>
      </c>
      <c r="K113" s="53">
        <v>24.99</v>
      </c>
      <c r="L113" s="53">
        <v>-2.4108720835231505</v>
      </c>
      <c r="S113" s="96"/>
      <c r="T113" s="54"/>
      <c r="U113" s="54"/>
      <c r="V113" s="54"/>
      <c r="W113" s="54"/>
      <c r="X113" s="54"/>
      <c r="Y113" s="54"/>
      <c r="Z113" s="27"/>
      <c r="AA113" s="27"/>
    </row>
    <row r="114" spans="5:27" x14ac:dyDescent="0.3">
      <c r="E114" s="104">
        <v>44013</v>
      </c>
      <c r="F114" s="53">
        <v>290404</v>
      </c>
      <c r="G114" s="53">
        <v>194704</v>
      </c>
      <c r="H114" s="55">
        <v>-3207.2550765771884</v>
      </c>
      <c r="I114" s="104">
        <v>43586</v>
      </c>
      <c r="J114" s="53">
        <v>6.4</v>
      </c>
      <c r="K114" s="53">
        <v>24.83</v>
      </c>
      <c r="L114" s="53">
        <v>-2.2829517273975757</v>
      </c>
      <c r="S114" s="96"/>
      <c r="T114" s="54"/>
      <c r="U114" s="54"/>
      <c r="V114" s="54"/>
      <c r="W114" s="54"/>
      <c r="X114" s="54"/>
      <c r="Y114" s="54"/>
      <c r="Z114" s="27"/>
      <c r="AA114" s="27"/>
    </row>
    <row r="115" spans="5:27" x14ac:dyDescent="0.3">
      <c r="E115" s="104">
        <v>44105</v>
      </c>
      <c r="F115" s="53">
        <v>299623</v>
      </c>
      <c r="G115" s="53">
        <v>200720</v>
      </c>
      <c r="H115" s="55">
        <v>-1879.0664314470487</v>
      </c>
      <c r="I115" s="104">
        <v>43617</v>
      </c>
      <c r="J115" s="53">
        <v>6.4</v>
      </c>
      <c r="K115" s="53">
        <v>24.72</v>
      </c>
      <c r="L115" s="53">
        <v>-2.1950064825612454</v>
      </c>
      <c r="S115" s="96"/>
      <c r="T115" s="54"/>
      <c r="U115" s="54"/>
      <c r="V115" s="54"/>
      <c r="W115" s="54"/>
      <c r="X115" s="54"/>
      <c r="Y115" s="54"/>
      <c r="Z115" s="27"/>
      <c r="AA115" s="27"/>
    </row>
    <row r="116" spans="5:27" x14ac:dyDescent="0.3">
      <c r="E116" s="104">
        <v>44197</v>
      </c>
      <c r="F116" s="53">
        <v>302823</v>
      </c>
      <c r="G116" s="53">
        <v>201441</v>
      </c>
      <c r="H116" s="55">
        <v>375.24291249224916</v>
      </c>
      <c r="I116" s="104">
        <v>43647</v>
      </c>
      <c r="J116" s="53">
        <v>6.4</v>
      </c>
      <c r="K116" s="53">
        <v>24.61</v>
      </c>
      <c r="L116" s="53">
        <v>-2.1070612377249116</v>
      </c>
      <c r="S116" s="96"/>
      <c r="T116" s="54"/>
      <c r="U116" s="54"/>
      <c r="V116" s="54"/>
      <c r="W116" s="54"/>
      <c r="X116" s="54"/>
      <c r="Y116" s="54"/>
      <c r="Z116" s="27"/>
      <c r="AA116" s="27"/>
    </row>
    <row r="117" spans="5:27" x14ac:dyDescent="0.3">
      <c r="E117" s="104">
        <v>44287</v>
      </c>
      <c r="F117" s="53">
        <v>301977</v>
      </c>
      <c r="G117" s="53">
        <v>200796</v>
      </c>
      <c r="H117" s="55">
        <v>375.24911659647478</v>
      </c>
      <c r="I117" s="104">
        <v>43678</v>
      </c>
      <c r="J117" s="53">
        <v>5.9</v>
      </c>
      <c r="K117" s="53">
        <v>24.7</v>
      </c>
      <c r="L117" s="53">
        <v>-2.679016438045549</v>
      </c>
      <c r="S117" s="96"/>
      <c r="T117" s="54"/>
      <c r="U117" s="54"/>
      <c r="V117" s="54"/>
      <c r="W117" s="54"/>
      <c r="X117" s="54"/>
      <c r="Y117" s="54"/>
      <c r="Z117" s="27"/>
      <c r="AA117" s="27"/>
    </row>
    <row r="118" spans="5:27" x14ac:dyDescent="0.3">
      <c r="E118" s="104">
        <v>44378</v>
      </c>
      <c r="F118" s="53">
        <v>302157</v>
      </c>
      <c r="G118" s="53">
        <v>202890</v>
      </c>
      <c r="H118" s="55">
        <v>-2191.3198623093776</v>
      </c>
      <c r="I118" s="104">
        <v>43709</v>
      </c>
      <c r="J118" s="53">
        <v>5.71</v>
      </c>
      <c r="K118" s="53">
        <v>23.91</v>
      </c>
      <c r="L118" s="53">
        <v>-2.237409679675527</v>
      </c>
      <c r="S118" s="96"/>
      <c r="T118" s="54"/>
      <c r="U118" s="54"/>
      <c r="V118" s="54"/>
      <c r="W118" s="54"/>
      <c r="X118" s="54"/>
      <c r="Y118" s="54"/>
      <c r="Z118" s="27"/>
      <c r="AA118" s="27"/>
    </row>
    <row r="119" spans="5:27" x14ac:dyDescent="0.3">
      <c r="E119" s="104">
        <v>44470</v>
      </c>
      <c r="F119" s="53">
        <v>304498</v>
      </c>
      <c r="G119" s="53">
        <v>204883</v>
      </c>
      <c r="H119" s="55">
        <v>-2464.4134511151351</v>
      </c>
      <c r="I119" s="104">
        <v>43739</v>
      </c>
      <c r="J119" s="53">
        <v>5.38</v>
      </c>
      <c r="K119" s="53">
        <v>23.42</v>
      </c>
      <c r="L119" s="53">
        <v>-2.1756535890409543</v>
      </c>
      <c r="S119" s="96"/>
      <c r="T119" s="54"/>
      <c r="U119" s="54"/>
      <c r="V119" s="54"/>
      <c r="W119" s="54"/>
      <c r="X119" s="54"/>
      <c r="Y119" s="54"/>
      <c r="Z119" s="27"/>
      <c r="AA119" s="27"/>
    </row>
    <row r="120" spans="5:27" x14ac:dyDescent="0.3">
      <c r="E120" s="104">
        <v>44562</v>
      </c>
      <c r="F120" s="53">
        <v>307915</v>
      </c>
      <c r="G120" s="53">
        <v>205962</v>
      </c>
      <c r="H120" s="55">
        <v>-462.67034139187308</v>
      </c>
      <c r="I120" s="104">
        <v>43770</v>
      </c>
      <c r="J120" s="53">
        <v>4.9000000000000004</v>
      </c>
      <c r="K120" s="53">
        <v>23.51</v>
      </c>
      <c r="L120" s="53">
        <v>-2.7276087893615912</v>
      </c>
      <c r="S120" s="96"/>
      <c r="T120" s="54"/>
      <c r="U120" s="54"/>
      <c r="V120" s="54"/>
      <c r="W120" s="54"/>
      <c r="X120" s="54"/>
      <c r="Y120" s="54"/>
      <c r="Z120" s="27"/>
      <c r="AA120" s="27"/>
    </row>
    <row r="121" spans="5:27" x14ac:dyDescent="0.3">
      <c r="E121" s="104">
        <v>44652</v>
      </c>
      <c r="F121" s="53">
        <v>311711</v>
      </c>
      <c r="G121" s="53">
        <v>211400</v>
      </c>
      <c r="H121" s="55">
        <v>-3799.3552063822863</v>
      </c>
      <c r="I121" s="104">
        <v>43800</v>
      </c>
      <c r="J121" s="53">
        <v>4.59</v>
      </c>
      <c r="K121" s="53">
        <v>22.51</v>
      </c>
      <c r="L121" s="53">
        <v>-2.2381065635767499</v>
      </c>
      <c r="S121" s="96"/>
      <c r="T121" s="54"/>
      <c r="U121" s="54"/>
      <c r="V121" s="54"/>
      <c r="W121" s="54"/>
      <c r="X121" s="54"/>
      <c r="Y121" s="54"/>
      <c r="Z121" s="27"/>
      <c r="AA121" s="27"/>
    </row>
    <row r="122" spans="5:27" x14ac:dyDescent="0.3">
      <c r="I122" s="104">
        <v>43831</v>
      </c>
      <c r="J122" s="53">
        <v>4.4000000000000004</v>
      </c>
      <c r="K122" s="53">
        <v>23.02</v>
      </c>
      <c r="L122" s="53">
        <v>-2.8358526987270185</v>
      </c>
      <c r="S122" s="96"/>
      <c r="T122" s="54"/>
      <c r="U122" s="54"/>
      <c r="V122" s="54"/>
      <c r="W122" s="54"/>
      <c r="X122" s="54"/>
      <c r="Y122" s="54"/>
      <c r="Z122" s="27"/>
      <c r="AA122" s="27"/>
    </row>
    <row r="123" spans="5:27" x14ac:dyDescent="0.3">
      <c r="I123" s="104">
        <v>43862</v>
      </c>
      <c r="J123" s="53">
        <v>4.1900000000000004</v>
      </c>
      <c r="K123" s="53">
        <v>22.98</v>
      </c>
      <c r="L123" s="53">
        <v>-3.0138726096956221</v>
      </c>
      <c r="S123" s="96"/>
      <c r="T123" s="54"/>
      <c r="U123" s="54"/>
      <c r="V123" s="54"/>
      <c r="W123" s="54"/>
      <c r="X123" s="54"/>
      <c r="Y123" s="54"/>
      <c r="Z123" s="27"/>
      <c r="AA123" s="27"/>
    </row>
    <row r="124" spans="5:27" x14ac:dyDescent="0.3">
      <c r="I124" s="104">
        <v>43891</v>
      </c>
      <c r="J124" s="53">
        <v>3.95</v>
      </c>
      <c r="K124" s="53">
        <v>22.61</v>
      </c>
      <c r="L124" s="53">
        <v>-2.9580567861552316</v>
      </c>
      <c r="S124" s="96"/>
      <c r="T124" s="54"/>
      <c r="U124" s="54"/>
      <c r="V124" s="54"/>
      <c r="W124" s="54"/>
      <c r="X124" s="54"/>
      <c r="Y124" s="54"/>
      <c r="Z124" s="27"/>
      <c r="AA124" s="27"/>
    </row>
    <row r="125" spans="5:27" x14ac:dyDescent="0.3">
      <c r="I125" s="104">
        <v>43922</v>
      </c>
      <c r="J125" s="53">
        <v>3.65</v>
      </c>
      <c r="K125" s="53">
        <v>21.45</v>
      </c>
      <c r="L125" s="53">
        <v>-2.3306342042448187</v>
      </c>
      <c r="S125" s="96"/>
      <c r="T125" s="54"/>
      <c r="U125" s="54"/>
      <c r="V125" s="54"/>
      <c r="W125" s="54"/>
      <c r="X125" s="54"/>
      <c r="Y125" s="54"/>
      <c r="Z125" s="27"/>
      <c r="AA125" s="27"/>
    </row>
    <row r="126" spans="5:27" x14ac:dyDescent="0.3">
      <c r="I126" s="104">
        <v>43952</v>
      </c>
      <c r="J126" s="53">
        <v>3.01</v>
      </c>
      <c r="K126" s="53">
        <v>20.58</v>
      </c>
      <c r="L126" s="53">
        <v>-2.2750672678120072</v>
      </c>
      <c r="S126" s="96"/>
      <c r="T126" s="54"/>
      <c r="U126" s="54"/>
      <c r="V126" s="54"/>
      <c r="W126" s="54"/>
      <c r="X126" s="54"/>
      <c r="Y126" s="54"/>
      <c r="Z126" s="27"/>
      <c r="AA126" s="27"/>
    </row>
    <row r="127" spans="5:27" x14ac:dyDescent="0.3">
      <c r="I127" s="104">
        <v>43983</v>
      </c>
      <c r="J127" s="53">
        <v>2.58</v>
      </c>
      <c r="K127" s="53">
        <v>19.25</v>
      </c>
      <c r="L127" s="53">
        <v>-1.6417293075181707</v>
      </c>
      <c r="S127" s="96"/>
      <c r="T127" s="54"/>
      <c r="U127" s="54"/>
      <c r="V127" s="54"/>
      <c r="W127" s="54"/>
      <c r="X127" s="54"/>
      <c r="Y127" s="54"/>
      <c r="Z127" s="27"/>
      <c r="AA127" s="27"/>
    </row>
    <row r="128" spans="5:27" x14ac:dyDescent="0.3">
      <c r="I128" s="104">
        <v>44013</v>
      </c>
      <c r="J128" s="53">
        <v>2.15</v>
      </c>
      <c r="K128" s="53">
        <v>19.02</v>
      </c>
      <c r="L128" s="53">
        <v>-1.8878437955876568</v>
      </c>
      <c r="S128" s="96"/>
      <c r="T128" s="54"/>
      <c r="U128" s="54"/>
      <c r="V128" s="54"/>
      <c r="W128" s="54"/>
      <c r="X128" s="54"/>
      <c r="Y128" s="54"/>
      <c r="Z128" s="27"/>
      <c r="AA128" s="27"/>
    </row>
    <row r="129" spans="9:27" x14ac:dyDescent="0.3">
      <c r="I129" s="104">
        <v>44044</v>
      </c>
      <c r="J129" s="53">
        <v>1.94</v>
      </c>
      <c r="K129" s="53">
        <v>18.57</v>
      </c>
      <c r="L129" s="53">
        <v>-1.7380677939844786</v>
      </c>
      <c r="S129" s="96"/>
      <c r="T129" s="54"/>
      <c r="U129" s="54"/>
      <c r="V129" s="54"/>
      <c r="W129" s="54"/>
      <c r="X129" s="54"/>
      <c r="Y129" s="54"/>
      <c r="Z129" s="27"/>
      <c r="AA129" s="27"/>
    </row>
    <row r="130" spans="9:27" x14ac:dyDescent="0.3">
      <c r="I130" s="104">
        <v>44075</v>
      </c>
      <c r="J130" s="53">
        <v>1.9</v>
      </c>
      <c r="K130" s="53">
        <v>18.02</v>
      </c>
      <c r="L130" s="53">
        <v>-1.3383415698028167</v>
      </c>
      <c r="S130" s="96"/>
      <c r="T130" s="54"/>
      <c r="U130" s="54"/>
      <c r="V130" s="54"/>
      <c r="W130" s="54"/>
      <c r="X130" s="54"/>
      <c r="Y130" s="54"/>
      <c r="Z130" s="27"/>
      <c r="AA130" s="27"/>
    </row>
    <row r="131" spans="9:27" x14ac:dyDescent="0.3">
      <c r="I131" s="104">
        <v>44105</v>
      </c>
      <c r="J131" s="53">
        <v>1.9</v>
      </c>
      <c r="K131" s="53">
        <v>18.59</v>
      </c>
      <c r="L131" s="53">
        <v>-1.7940578385001751</v>
      </c>
      <c r="S131" s="96"/>
      <c r="T131" s="54"/>
      <c r="U131" s="54"/>
      <c r="V131" s="54"/>
      <c r="W131" s="54"/>
      <c r="X131" s="54"/>
      <c r="Y131" s="54"/>
      <c r="Z131" s="27"/>
      <c r="AA131" s="27"/>
    </row>
    <row r="132" spans="9:27" x14ac:dyDescent="0.3">
      <c r="I132" s="104">
        <v>44136</v>
      </c>
      <c r="J132" s="53">
        <v>1.9</v>
      </c>
      <c r="K132" s="53">
        <v>18.46</v>
      </c>
      <c r="L132" s="53">
        <v>-1.6901225491481466</v>
      </c>
      <c r="S132" s="96"/>
      <c r="T132" s="54"/>
      <c r="U132" s="54"/>
      <c r="V132" s="54"/>
      <c r="W132" s="54"/>
      <c r="X132" s="54"/>
      <c r="Y132" s="54"/>
      <c r="Z132" s="27"/>
      <c r="AA132" s="27"/>
    </row>
    <row r="133" spans="9:27" x14ac:dyDescent="0.3">
      <c r="I133" s="104">
        <v>44166</v>
      </c>
      <c r="J133" s="53">
        <v>1.9</v>
      </c>
      <c r="K133" s="53">
        <v>18.309999999999999</v>
      </c>
      <c r="L133" s="53">
        <v>-1.57019721528042</v>
      </c>
      <c r="S133" s="96"/>
      <c r="T133" s="54"/>
      <c r="U133" s="54"/>
      <c r="V133" s="54"/>
      <c r="W133" s="54"/>
      <c r="X133" s="54"/>
      <c r="Y133" s="54"/>
      <c r="Z133" s="27"/>
      <c r="AA133" s="27"/>
    </row>
    <row r="134" spans="9:27" x14ac:dyDescent="0.3">
      <c r="I134" s="104">
        <v>44197</v>
      </c>
      <c r="J134" s="53">
        <v>1.9</v>
      </c>
      <c r="K134" s="53">
        <v>20.05</v>
      </c>
      <c r="L134" s="53">
        <v>-2.9613310881460415</v>
      </c>
      <c r="S134" s="96"/>
      <c r="T134" s="54"/>
      <c r="U134" s="54"/>
      <c r="V134" s="54"/>
      <c r="W134" s="54"/>
      <c r="X134" s="54"/>
      <c r="Y134" s="54"/>
      <c r="Z134" s="27"/>
      <c r="AA134" s="27"/>
    </row>
    <row r="135" spans="9:27" x14ac:dyDescent="0.3">
      <c r="I135" s="104">
        <v>44228</v>
      </c>
      <c r="J135" s="53">
        <v>1.9</v>
      </c>
      <c r="K135" s="53">
        <v>19.760000000000002</v>
      </c>
      <c r="L135" s="53">
        <v>-2.72947544266844</v>
      </c>
      <c r="S135" s="96"/>
      <c r="T135" s="54"/>
      <c r="U135" s="54"/>
      <c r="V135" s="54"/>
      <c r="W135" s="54"/>
      <c r="X135" s="54"/>
      <c r="Y135" s="54"/>
      <c r="Z135" s="27"/>
      <c r="AA135" s="27"/>
    </row>
    <row r="136" spans="9:27" x14ac:dyDescent="0.3">
      <c r="I136" s="104">
        <v>44256</v>
      </c>
      <c r="J136" s="53">
        <v>2.23</v>
      </c>
      <c r="K136" s="53">
        <v>19.920000000000002</v>
      </c>
      <c r="L136" s="53">
        <v>-2.5273957987940148</v>
      </c>
      <c r="S136" s="96"/>
      <c r="T136" s="54"/>
      <c r="U136" s="54"/>
      <c r="V136" s="54"/>
      <c r="W136" s="54"/>
      <c r="X136" s="54"/>
      <c r="Y136" s="54"/>
      <c r="Z136" s="27"/>
      <c r="AA136" s="27"/>
    </row>
    <row r="137" spans="9:27" x14ac:dyDescent="0.3">
      <c r="I137" s="104">
        <v>44287</v>
      </c>
      <c r="J137" s="53">
        <v>2.65</v>
      </c>
      <c r="K137" s="53">
        <v>20.41</v>
      </c>
      <c r="L137" s="53">
        <v>-2.499151889428584</v>
      </c>
      <c r="S137" s="96"/>
      <c r="T137" s="54"/>
      <c r="U137" s="54"/>
      <c r="V137" s="54"/>
      <c r="W137" s="54"/>
      <c r="X137" s="54"/>
      <c r="Y137" s="54"/>
      <c r="Z137" s="27"/>
      <c r="AA137" s="27"/>
    </row>
    <row r="138" spans="9:27" x14ac:dyDescent="0.3">
      <c r="I138" s="104">
        <v>44317</v>
      </c>
      <c r="J138" s="53">
        <v>3.29</v>
      </c>
      <c r="K138" s="53">
        <v>19.91</v>
      </c>
      <c r="L138" s="53">
        <v>-1.4594007765361647</v>
      </c>
      <c r="S138" s="96"/>
      <c r="T138" s="54"/>
      <c r="U138" s="54"/>
      <c r="V138" s="54"/>
      <c r="W138" s="54"/>
      <c r="X138" s="54"/>
      <c r="Y138" s="54"/>
      <c r="Z138" s="27"/>
      <c r="AA138" s="27"/>
    </row>
    <row r="139" spans="9:27" x14ac:dyDescent="0.3">
      <c r="I139" s="104">
        <v>44348</v>
      </c>
      <c r="J139" s="53">
        <v>3.76</v>
      </c>
      <c r="K139" s="53">
        <v>20.03</v>
      </c>
      <c r="L139" s="53">
        <v>-1.0853410436303452</v>
      </c>
      <c r="S139" s="96"/>
      <c r="T139" s="54"/>
      <c r="U139" s="54"/>
      <c r="V139" s="54"/>
      <c r="W139" s="54"/>
      <c r="X139" s="54"/>
      <c r="Y139" s="54"/>
      <c r="Z139" s="27"/>
      <c r="AA139" s="27"/>
    </row>
    <row r="140" spans="9:27" x14ac:dyDescent="0.3">
      <c r="I140" s="104">
        <v>44378</v>
      </c>
      <c r="J140" s="53">
        <v>4.1500000000000004</v>
      </c>
      <c r="K140" s="53">
        <v>20.41</v>
      </c>
      <c r="L140" s="53">
        <v>-0.99915188942858357</v>
      </c>
      <c r="S140" s="96"/>
      <c r="T140" s="54"/>
      <c r="U140" s="54"/>
      <c r="V140" s="54"/>
      <c r="W140" s="54"/>
      <c r="X140" s="54"/>
      <c r="Y140" s="54"/>
      <c r="Z140" s="27"/>
      <c r="AA140" s="27"/>
    </row>
    <row r="141" spans="9:27" x14ac:dyDescent="0.3">
      <c r="I141" s="104">
        <v>44409</v>
      </c>
      <c r="J141" s="53">
        <v>5.01</v>
      </c>
      <c r="K141" s="53">
        <v>21.08</v>
      </c>
      <c r="L141" s="53">
        <v>-0.67481838070442812</v>
      </c>
      <c r="S141" s="96"/>
      <c r="T141" s="54"/>
      <c r="U141" s="54"/>
      <c r="V141" s="54"/>
      <c r="W141" s="54"/>
      <c r="X141" s="54"/>
      <c r="Y141" s="54"/>
      <c r="Z141" s="27"/>
      <c r="AA141" s="27"/>
    </row>
    <row r="142" spans="9:27" x14ac:dyDescent="0.3">
      <c r="I142" s="104">
        <v>44440</v>
      </c>
      <c r="J142" s="53">
        <v>5.43</v>
      </c>
      <c r="K142" s="53">
        <v>21.57</v>
      </c>
      <c r="L142" s="53">
        <v>-0.64657447133900092</v>
      </c>
      <c r="S142" s="96"/>
      <c r="T142" s="54"/>
      <c r="U142" s="54"/>
      <c r="V142" s="54"/>
      <c r="W142" s="54"/>
      <c r="X142" s="54"/>
      <c r="Y142" s="54"/>
      <c r="Z142" s="27"/>
      <c r="AA142" s="27"/>
    </row>
    <row r="143" spans="9:27" x14ac:dyDescent="0.3">
      <c r="I143" s="104">
        <v>44470</v>
      </c>
      <c r="J143" s="53">
        <v>6.3</v>
      </c>
      <c r="K143" s="53">
        <v>23.01</v>
      </c>
      <c r="L143" s="53">
        <v>-0.92785767646917083</v>
      </c>
      <c r="S143" s="96"/>
      <c r="T143" s="54"/>
      <c r="U143" s="54"/>
      <c r="V143" s="54"/>
      <c r="W143" s="54"/>
      <c r="X143" s="54"/>
      <c r="Y143" s="54"/>
      <c r="Z143" s="27"/>
      <c r="AA143" s="27"/>
    </row>
    <row r="144" spans="9:27" x14ac:dyDescent="0.3">
      <c r="I144" s="104">
        <v>44501</v>
      </c>
      <c r="J144" s="53">
        <v>7.65</v>
      </c>
      <c r="K144" s="53">
        <v>24.01</v>
      </c>
      <c r="L144" s="53">
        <v>-0.37735990225400862</v>
      </c>
      <c r="S144" s="96"/>
      <c r="T144" s="54"/>
      <c r="U144" s="54"/>
      <c r="V144" s="54"/>
      <c r="W144" s="54"/>
      <c r="X144" s="54"/>
      <c r="Y144" s="54"/>
      <c r="Z144" s="27"/>
      <c r="AA144" s="27"/>
    </row>
    <row r="145" spans="9:27" x14ac:dyDescent="0.3">
      <c r="I145" s="104">
        <v>44531</v>
      </c>
      <c r="J145" s="53">
        <v>8.76</v>
      </c>
      <c r="K145" s="53">
        <v>24.31</v>
      </c>
      <c r="L145" s="53">
        <v>0.4927894300105411</v>
      </c>
      <c r="S145" s="96"/>
      <c r="T145" s="54"/>
      <c r="U145" s="54"/>
      <c r="V145" s="54"/>
      <c r="W145" s="54"/>
      <c r="X145" s="54"/>
      <c r="Y145" s="54"/>
      <c r="Z145" s="27"/>
      <c r="AA145" s="27"/>
    </row>
    <row r="146" spans="9:27" x14ac:dyDescent="0.3">
      <c r="I146" s="104">
        <v>44562</v>
      </c>
      <c r="J146" s="53">
        <v>9.15</v>
      </c>
      <c r="K146" s="53">
        <v>25.32</v>
      </c>
      <c r="L146" s="53">
        <v>7.529218196785159E-2</v>
      </c>
      <c r="S146" s="96"/>
      <c r="T146" s="54"/>
      <c r="U146" s="54"/>
      <c r="V146" s="54"/>
      <c r="W146" s="54"/>
      <c r="X146" s="54"/>
      <c r="Y146" s="54"/>
      <c r="Z146" s="27"/>
      <c r="AA146" s="27"/>
    </row>
    <row r="147" spans="9:27" x14ac:dyDescent="0.3">
      <c r="I147" s="104">
        <v>44593</v>
      </c>
      <c r="J147" s="53">
        <v>10.49</v>
      </c>
      <c r="K147" s="53">
        <v>25.73</v>
      </c>
      <c r="L147" s="53">
        <v>1.0874962693960644</v>
      </c>
      <c r="S147" s="96"/>
      <c r="T147" s="54"/>
      <c r="U147" s="54"/>
      <c r="V147" s="54"/>
      <c r="W147" s="54"/>
      <c r="X147" s="54"/>
      <c r="Y147" s="54"/>
      <c r="Z147" s="27"/>
      <c r="AA147" s="27"/>
    </row>
    <row r="148" spans="9:27" x14ac:dyDescent="0.3">
      <c r="I148" s="104">
        <v>44621</v>
      </c>
      <c r="J148" s="53">
        <v>11.15</v>
      </c>
      <c r="K148" s="53">
        <v>26.67</v>
      </c>
      <c r="L148" s="53">
        <v>0.99596417715831542</v>
      </c>
      <c r="S148" s="96"/>
      <c r="T148" s="54"/>
      <c r="U148" s="54"/>
      <c r="V148" s="54"/>
      <c r="W148" s="54"/>
      <c r="X148" s="54"/>
      <c r="Y148" s="54"/>
      <c r="Z148" s="27"/>
      <c r="AA148" s="27"/>
    </row>
    <row r="149" spans="9:27" x14ac:dyDescent="0.3">
      <c r="I149" s="104">
        <v>44652</v>
      </c>
      <c r="J149" s="53">
        <v>11.65</v>
      </c>
      <c r="K149" s="53">
        <v>27.57</v>
      </c>
      <c r="L149" s="53">
        <v>0.77641217395195916</v>
      </c>
      <c r="S149" s="96"/>
      <c r="T149" s="54"/>
      <c r="U149" s="54"/>
      <c r="V149" s="54"/>
      <c r="W149" s="54"/>
      <c r="X149" s="54"/>
      <c r="Y149" s="54"/>
      <c r="Z149" s="27"/>
      <c r="AA149" s="27"/>
    </row>
    <row r="150" spans="9:27" x14ac:dyDescent="0.3">
      <c r="I150" s="104">
        <v>44682</v>
      </c>
      <c r="J150" s="53">
        <v>12.51</v>
      </c>
      <c r="K150" s="53">
        <v>27.59</v>
      </c>
      <c r="L150" s="53">
        <v>1.6204221294362622</v>
      </c>
      <c r="S150" s="96"/>
      <c r="T150" s="54"/>
      <c r="U150" s="54"/>
      <c r="V150" s="54"/>
      <c r="W150" s="54"/>
      <c r="X150" s="54"/>
      <c r="Y150" s="54"/>
      <c r="Z150" s="27"/>
      <c r="AA150" s="27"/>
    </row>
    <row r="151" spans="9:27" x14ac:dyDescent="0.3">
      <c r="I151" s="104">
        <v>44713</v>
      </c>
      <c r="J151" s="53">
        <v>12.89</v>
      </c>
      <c r="K151" s="53">
        <v>28.13</v>
      </c>
      <c r="L151" s="53">
        <v>1.5686909275124528</v>
      </c>
      <c r="S151" s="96"/>
      <c r="T151" s="54"/>
      <c r="U151" s="54"/>
      <c r="V151" s="54"/>
      <c r="W151" s="54"/>
      <c r="X151" s="54"/>
      <c r="Y151" s="54"/>
      <c r="Z151" s="27"/>
      <c r="AA151" s="27"/>
    </row>
    <row r="152" spans="9:27" x14ac:dyDescent="0.3">
      <c r="S152" s="96"/>
      <c r="T152" s="54"/>
      <c r="U152" s="54"/>
      <c r="V152" s="54"/>
      <c r="W152" s="54"/>
      <c r="X152" s="54"/>
      <c r="Y152" s="54"/>
      <c r="Z152" s="27"/>
      <c r="AA152" s="27"/>
    </row>
    <row r="153" spans="9:27" x14ac:dyDescent="0.3">
      <c r="S153" s="96"/>
      <c r="T153" s="54"/>
      <c r="U153" s="54"/>
      <c r="V153" s="54"/>
      <c r="W153" s="54"/>
      <c r="X153" s="54"/>
      <c r="Y153" s="54"/>
      <c r="Z153" s="27"/>
      <c r="AA153" s="27"/>
    </row>
    <row r="154" spans="9:27" x14ac:dyDescent="0.3">
      <c r="S154" s="96"/>
      <c r="T154" s="54"/>
      <c r="U154" s="54"/>
      <c r="V154" s="54"/>
      <c r="W154" s="54"/>
      <c r="X154" s="54"/>
      <c r="Y154" s="54"/>
      <c r="Z154" s="27"/>
      <c r="AA154" s="27"/>
    </row>
    <row r="155" spans="9:27" x14ac:dyDescent="0.3">
      <c r="S155" s="96"/>
      <c r="T155" s="54"/>
      <c r="U155" s="54"/>
      <c r="V155" s="54"/>
      <c r="W155" s="54"/>
      <c r="X155" s="54"/>
      <c r="Y155" s="54"/>
      <c r="Z155" s="27"/>
      <c r="AA155" s="27"/>
    </row>
    <row r="156" spans="9:27" x14ac:dyDescent="0.3">
      <c r="S156" s="96"/>
      <c r="T156" s="54"/>
      <c r="U156" s="54"/>
      <c r="V156" s="54"/>
      <c r="W156" s="54"/>
      <c r="X156" s="54"/>
      <c r="Y156" s="54"/>
      <c r="Z156" s="27"/>
      <c r="AA156" s="27"/>
    </row>
    <row r="157" spans="9:27" x14ac:dyDescent="0.3">
      <c r="S157" s="96"/>
      <c r="T157" s="54"/>
      <c r="U157" s="54"/>
      <c r="V157" s="54"/>
      <c r="W157" s="54"/>
      <c r="X157" s="54"/>
      <c r="Y157" s="54"/>
      <c r="Z157" s="27"/>
      <c r="AA157" s="27"/>
    </row>
    <row r="158" spans="9:27" x14ac:dyDescent="0.3">
      <c r="S158" s="96"/>
      <c r="T158" s="54"/>
      <c r="U158" s="54"/>
      <c r="V158" s="54"/>
      <c r="W158" s="54"/>
      <c r="X158" s="54"/>
      <c r="Y158" s="54"/>
      <c r="Z158" s="27"/>
      <c r="AA158" s="27"/>
    </row>
    <row r="159" spans="9:27" x14ac:dyDescent="0.3">
      <c r="S159" s="96"/>
      <c r="T159" s="54"/>
      <c r="U159" s="54"/>
      <c r="V159" s="54"/>
      <c r="W159" s="54"/>
      <c r="X159" s="54"/>
      <c r="Y159" s="54"/>
      <c r="Z159" s="27"/>
      <c r="AA159" s="27"/>
    </row>
    <row r="160" spans="9:27" x14ac:dyDescent="0.3">
      <c r="S160" s="96"/>
      <c r="T160" s="54"/>
      <c r="U160" s="54"/>
      <c r="V160" s="54"/>
      <c r="W160" s="54"/>
      <c r="X160" s="54"/>
      <c r="Y160" s="54"/>
      <c r="Z160" s="27"/>
      <c r="AA160" s="27"/>
    </row>
    <row r="161" spans="19:27" x14ac:dyDescent="0.3">
      <c r="S161" s="96"/>
      <c r="T161" s="54"/>
      <c r="U161" s="54"/>
      <c r="V161" s="54"/>
      <c r="W161" s="54"/>
      <c r="X161" s="54"/>
      <c r="Y161" s="54"/>
      <c r="Z161" s="27"/>
      <c r="AA161" s="27"/>
    </row>
    <row r="162" spans="19:27" x14ac:dyDescent="0.3">
      <c r="S162" s="96"/>
      <c r="T162" s="54"/>
      <c r="U162" s="54"/>
      <c r="V162" s="54"/>
      <c r="W162" s="54"/>
      <c r="X162" s="54"/>
      <c r="Y162" s="54"/>
      <c r="Z162" s="27"/>
      <c r="AA162" s="27"/>
    </row>
    <row r="163" spans="19:27" x14ac:dyDescent="0.3">
      <c r="S163" s="96"/>
      <c r="T163" s="54"/>
      <c r="U163" s="54"/>
      <c r="V163" s="54"/>
      <c r="W163" s="54"/>
      <c r="X163" s="54"/>
      <c r="Y163" s="54"/>
      <c r="Z163" s="27"/>
      <c r="AA163" s="27"/>
    </row>
    <row r="164" spans="19:27" x14ac:dyDescent="0.3">
      <c r="S164" s="96"/>
      <c r="T164" s="54"/>
      <c r="U164" s="54"/>
      <c r="V164" s="54"/>
      <c r="W164" s="54"/>
      <c r="X164" s="54"/>
      <c r="Y164" s="54"/>
      <c r="Z164" s="27"/>
      <c r="AA164" s="27"/>
    </row>
    <row r="165" spans="19:27" x14ac:dyDescent="0.3">
      <c r="S165" s="96"/>
      <c r="T165" s="54"/>
      <c r="U165" s="54"/>
      <c r="V165" s="54"/>
      <c r="W165" s="54"/>
      <c r="X165" s="54"/>
      <c r="Y165" s="54"/>
      <c r="Z165" s="27"/>
      <c r="AA165" s="27"/>
    </row>
    <row r="166" spans="19:27" x14ac:dyDescent="0.3">
      <c r="S166" s="96"/>
      <c r="T166" s="54"/>
      <c r="U166" s="54"/>
      <c r="V166" s="54"/>
      <c r="W166" s="54"/>
      <c r="X166" s="54"/>
      <c r="Y166" s="54"/>
      <c r="Z166" s="27"/>
      <c r="AA166" s="27"/>
    </row>
    <row r="167" spans="19:27" x14ac:dyDescent="0.3">
      <c r="S167" s="96"/>
      <c r="T167" s="54"/>
      <c r="U167" s="54"/>
      <c r="V167" s="54"/>
      <c r="W167" s="54"/>
      <c r="X167" s="54"/>
      <c r="Y167" s="54"/>
      <c r="Z167" s="27"/>
      <c r="AA167" s="27"/>
    </row>
    <row r="168" spans="19:27" x14ac:dyDescent="0.3">
      <c r="S168" s="96"/>
      <c r="T168" s="54"/>
      <c r="U168" s="54"/>
      <c r="V168" s="54"/>
      <c r="W168" s="54"/>
      <c r="X168" s="54"/>
      <c r="Y168" s="54"/>
      <c r="Z168" s="27"/>
      <c r="AA168" s="27"/>
    </row>
    <row r="169" spans="19:27" x14ac:dyDescent="0.3">
      <c r="S169" s="96"/>
      <c r="T169" s="54"/>
      <c r="U169" s="54"/>
      <c r="V169" s="54"/>
      <c r="W169" s="54"/>
      <c r="X169" s="54"/>
      <c r="Y169" s="54"/>
      <c r="Z169" s="27"/>
      <c r="AA169" s="27"/>
    </row>
    <row r="170" spans="19:27" x14ac:dyDescent="0.3">
      <c r="S170" s="96"/>
      <c r="T170" s="54"/>
      <c r="U170" s="54"/>
      <c r="V170" s="54"/>
      <c r="W170" s="54"/>
      <c r="X170" s="54"/>
      <c r="Y170" s="54"/>
      <c r="Z170" s="27"/>
      <c r="AA170" s="27"/>
    </row>
    <row r="171" spans="19:27" x14ac:dyDescent="0.3">
      <c r="S171" s="96"/>
      <c r="T171" s="54"/>
      <c r="U171" s="54"/>
      <c r="V171" s="54"/>
      <c r="W171" s="54"/>
      <c r="X171" s="54"/>
      <c r="Y171" s="54"/>
      <c r="Z171" s="27"/>
      <c r="AA171" s="27"/>
    </row>
    <row r="172" spans="19:27" x14ac:dyDescent="0.3">
      <c r="S172" s="96"/>
      <c r="T172" s="54"/>
      <c r="U172" s="54"/>
      <c r="V172" s="54"/>
      <c r="W172" s="54"/>
      <c r="X172" s="54"/>
      <c r="Y172" s="54"/>
      <c r="Z172" s="27"/>
      <c r="AA172" s="27"/>
    </row>
    <row r="173" spans="19:27" x14ac:dyDescent="0.3">
      <c r="S173" s="96"/>
      <c r="T173" s="54"/>
      <c r="U173" s="54"/>
      <c r="V173" s="54"/>
      <c r="W173" s="54"/>
      <c r="X173" s="54"/>
      <c r="Y173" s="54"/>
      <c r="Z173" s="27"/>
      <c r="AA173" s="27"/>
    </row>
    <row r="174" spans="19:27" x14ac:dyDescent="0.3">
      <c r="S174" s="96"/>
      <c r="T174" s="54"/>
      <c r="U174" s="54"/>
      <c r="V174" s="54"/>
      <c r="W174" s="54"/>
      <c r="X174" s="54"/>
      <c r="Y174" s="54"/>
      <c r="Z174" s="27"/>
      <c r="AA174" s="27"/>
    </row>
    <row r="175" spans="19:27" x14ac:dyDescent="0.3">
      <c r="S175" s="96"/>
      <c r="T175" s="54"/>
      <c r="U175" s="54"/>
      <c r="V175" s="54"/>
      <c r="W175" s="54"/>
      <c r="X175" s="54"/>
      <c r="Y175" s="54"/>
      <c r="Z175" s="27"/>
      <c r="AA175" s="27"/>
    </row>
    <row r="176" spans="19:27" x14ac:dyDescent="0.3">
      <c r="S176" s="96"/>
      <c r="T176" s="54"/>
      <c r="U176" s="54"/>
      <c r="V176" s="54"/>
      <c r="W176" s="54"/>
      <c r="X176" s="54"/>
      <c r="Y176" s="54"/>
      <c r="Z176" s="27"/>
      <c r="AA176" s="27"/>
    </row>
    <row r="177" spans="19:27" x14ac:dyDescent="0.3">
      <c r="S177" s="96"/>
      <c r="T177" s="54"/>
      <c r="U177" s="54"/>
      <c r="V177" s="54"/>
      <c r="W177" s="54"/>
      <c r="X177" s="54"/>
      <c r="Y177" s="54"/>
      <c r="Z177" s="27"/>
      <c r="AA177" s="27"/>
    </row>
    <row r="178" spans="19:27" x14ac:dyDescent="0.3">
      <c r="S178" s="96"/>
      <c r="T178" s="54"/>
      <c r="U178" s="54"/>
      <c r="V178" s="54"/>
      <c r="W178" s="54"/>
      <c r="X178" s="54"/>
      <c r="Y178" s="54"/>
      <c r="Z178" s="27"/>
      <c r="AA178" s="27"/>
    </row>
    <row r="179" spans="19:27" x14ac:dyDescent="0.3">
      <c r="S179" s="96"/>
      <c r="T179" s="54"/>
      <c r="U179" s="54"/>
      <c r="V179" s="54"/>
      <c r="W179" s="54"/>
      <c r="X179" s="54"/>
      <c r="Y179" s="54"/>
      <c r="Z179" s="27"/>
      <c r="AA179" s="27"/>
    </row>
    <row r="180" spans="19:27" x14ac:dyDescent="0.3">
      <c r="S180" s="96"/>
      <c r="T180" s="54"/>
      <c r="U180" s="54"/>
      <c r="V180" s="54"/>
      <c r="W180" s="54"/>
      <c r="X180" s="54"/>
      <c r="Y180" s="54"/>
      <c r="Z180" s="27"/>
      <c r="AA180" s="27"/>
    </row>
    <row r="181" spans="19:27" x14ac:dyDescent="0.3">
      <c r="S181" s="96"/>
      <c r="T181" s="54"/>
      <c r="U181" s="54"/>
      <c r="V181" s="54"/>
      <c r="W181" s="54"/>
      <c r="X181" s="54"/>
      <c r="Y181" s="54"/>
      <c r="Z181" s="27"/>
      <c r="AA181" s="27"/>
    </row>
    <row r="182" spans="19:27" x14ac:dyDescent="0.3">
      <c r="S182" s="96"/>
      <c r="T182" s="54"/>
      <c r="U182" s="54"/>
      <c r="V182" s="54"/>
      <c r="W182" s="54"/>
      <c r="X182" s="54"/>
      <c r="Y182" s="54"/>
      <c r="Z182" s="27"/>
      <c r="AA182" s="27"/>
    </row>
    <row r="183" spans="19:27" x14ac:dyDescent="0.3">
      <c r="S183" s="96"/>
      <c r="T183" s="54"/>
      <c r="U183" s="54"/>
      <c r="V183" s="54"/>
      <c r="W183" s="54"/>
      <c r="X183" s="54"/>
      <c r="Y183" s="54"/>
      <c r="Z183" s="27"/>
      <c r="AA183" s="27"/>
    </row>
    <row r="184" spans="19:27" x14ac:dyDescent="0.3">
      <c r="S184" s="96"/>
      <c r="T184" s="54"/>
      <c r="U184" s="54"/>
      <c r="V184" s="54"/>
      <c r="W184" s="54"/>
      <c r="X184" s="54"/>
      <c r="Y184" s="54"/>
      <c r="Z184" s="27"/>
      <c r="AA184" s="27"/>
    </row>
    <row r="185" spans="19:27" x14ac:dyDescent="0.3">
      <c r="S185" s="96"/>
      <c r="T185" s="54"/>
      <c r="U185" s="54"/>
      <c r="V185" s="54"/>
      <c r="W185" s="54"/>
      <c r="X185" s="54"/>
      <c r="Y185" s="54"/>
      <c r="Z185" s="27"/>
      <c r="AA185" s="27"/>
    </row>
    <row r="186" spans="19:27" x14ac:dyDescent="0.3">
      <c r="S186" s="96"/>
      <c r="T186" s="54"/>
      <c r="U186" s="54"/>
      <c r="V186" s="54"/>
      <c r="W186" s="54"/>
      <c r="X186" s="54"/>
      <c r="Y186" s="54"/>
      <c r="Z186" s="27"/>
      <c r="AA186" s="27"/>
    </row>
    <row r="187" spans="19:27" x14ac:dyDescent="0.3">
      <c r="S187" s="96"/>
      <c r="T187" s="54"/>
      <c r="U187" s="54"/>
      <c r="V187" s="54"/>
      <c r="W187" s="54"/>
      <c r="X187" s="54"/>
      <c r="Y187" s="54"/>
      <c r="Z187" s="27"/>
      <c r="AA187" s="27"/>
    </row>
    <row r="188" spans="19:27" x14ac:dyDescent="0.3">
      <c r="S188" s="96"/>
      <c r="T188" s="54"/>
      <c r="U188" s="54"/>
      <c r="V188" s="54"/>
      <c r="W188" s="54"/>
      <c r="X188" s="54"/>
      <c r="Y188" s="54"/>
      <c r="Z188" s="27"/>
      <c r="AA188" s="27"/>
    </row>
    <row r="189" spans="19:27" x14ac:dyDescent="0.3">
      <c r="S189" s="96"/>
      <c r="T189" s="54"/>
      <c r="U189" s="54"/>
      <c r="V189" s="54"/>
      <c r="W189" s="54"/>
      <c r="X189" s="54"/>
      <c r="Y189" s="54"/>
      <c r="Z189" s="27"/>
      <c r="AA189" s="27"/>
    </row>
    <row r="190" spans="19:27" x14ac:dyDescent="0.3">
      <c r="S190" s="96"/>
      <c r="T190" s="54"/>
      <c r="U190" s="54"/>
      <c r="V190" s="54"/>
      <c r="W190" s="54"/>
      <c r="X190" s="54"/>
      <c r="Y190" s="54"/>
      <c r="Z190" s="27"/>
      <c r="AA190" s="27"/>
    </row>
    <row r="191" spans="19:27" x14ac:dyDescent="0.3">
      <c r="S191" s="96"/>
      <c r="T191" s="54"/>
      <c r="U191" s="54"/>
      <c r="V191" s="54"/>
      <c r="W191" s="54"/>
      <c r="X191" s="54"/>
      <c r="Y191" s="54"/>
      <c r="Z191" s="27"/>
      <c r="AA191" s="27"/>
    </row>
    <row r="192" spans="19:27" x14ac:dyDescent="0.3">
      <c r="S192" s="96"/>
      <c r="T192" s="54"/>
      <c r="U192" s="54"/>
      <c r="V192" s="54"/>
      <c r="W192" s="54"/>
      <c r="X192" s="54"/>
      <c r="Y192" s="54"/>
      <c r="Z192" s="27"/>
      <c r="AA192" s="27"/>
    </row>
    <row r="193" spans="19:27" x14ac:dyDescent="0.3">
      <c r="S193" s="96"/>
      <c r="T193" s="54"/>
      <c r="U193" s="54"/>
      <c r="V193" s="54"/>
      <c r="W193" s="54"/>
      <c r="X193" s="54"/>
      <c r="Y193" s="54"/>
      <c r="Z193" s="27"/>
      <c r="AA193" s="27"/>
    </row>
    <row r="194" spans="19:27" x14ac:dyDescent="0.3">
      <c r="S194" s="96"/>
      <c r="T194" s="54"/>
      <c r="U194" s="54"/>
      <c r="V194" s="54"/>
      <c r="W194" s="54"/>
      <c r="X194" s="54"/>
      <c r="Y194" s="54"/>
      <c r="Z194" s="27"/>
      <c r="AA194" s="27"/>
    </row>
    <row r="195" spans="19:27" x14ac:dyDescent="0.3">
      <c r="S195" s="96"/>
      <c r="T195" s="54"/>
      <c r="U195" s="54"/>
      <c r="V195" s="54"/>
      <c r="W195" s="54"/>
      <c r="X195" s="54"/>
      <c r="Y195" s="54"/>
      <c r="Z195" s="27"/>
      <c r="AA195" s="27"/>
    </row>
    <row r="196" spans="19:27" x14ac:dyDescent="0.3">
      <c r="S196" s="96"/>
      <c r="T196" s="54"/>
      <c r="U196" s="54"/>
      <c r="V196" s="54"/>
      <c r="W196" s="54"/>
      <c r="X196" s="54"/>
      <c r="Y196" s="54"/>
      <c r="Z196" s="27"/>
      <c r="AA196" s="27"/>
    </row>
    <row r="197" spans="19:27" x14ac:dyDescent="0.3">
      <c r="S197" s="96"/>
      <c r="T197" s="54"/>
      <c r="U197" s="54"/>
      <c r="V197" s="54"/>
      <c r="W197" s="54"/>
      <c r="X197" s="54"/>
      <c r="Y197" s="54"/>
      <c r="Z197" s="27"/>
      <c r="AA197" s="27"/>
    </row>
    <row r="198" spans="19:27" x14ac:dyDescent="0.3">
      <c r="S198" s="96"/>
      <c r="T198" s="54"/>
      <c r="U198" s="54"/>
      <c r="V198" s="54"/>
      <c r="W198" s="54"/>
      <c r="X198" s="54"/>
      <c r="Y198" s="54"/>
      <c r="Z198" s="27"/>
      <c r="AA198" s="27"/>
    </row>
    <row r="199" spans="19:27" x14ac:dyDescent="0.3">
      <c r="S199" s="96"/>
      <c r="T199" s="54"/>
      <c r="U199" s="54"/>
      <c r="V199" s="54"/>
      <c r="W199" s="54"/>
      <c r="X199" s="54"/>
      <c r="Y199" s="54"/>
      <c r="Z199" s="27"/>
      <c r="AA199" s="27"/>
    </row>
    <row r="200" spans="19:27" x14ac:dyDescent="0.3">
      <c r="S200" s="96"/>
      <c r="T200" s="54"/>
      <c r="U200" s="54"/>
      <c r="V200" s="54"/>
      <c r="W200" s="54"/>
      <c r="X200" s="54"/>
      <c r="Y200" s="54"/>
      <c r="Z200" s="27"/>
      <c r="AA200" s="27"/>
    </row>
    <row r="201" spans="19:27" x14ac:dyDescent="0.3">
      <c r="S201" s="96"/>
      <c r="T201" s="54"/>
      <c r="U201" s="54"/>
      <c r="V201" s="54"/>
      <c r="W201" s="54"/>
      <c r="X201" s="54"/>
      <c r="Y201" s="54"/>
      <c r="Z201" s="27"/>
      <c r="AA201" s="27"/>
    </row>
    <row r="202" spans="19:27" x14ac:dyDescent="0.3">
      <c r="S202" s="96"/>
      <c r="T202" s="54"/>
      <c r="U202" s="54"/>
      <c r="V202" s="54"/>
      <c r="W202" s="54"/>
      <c r="X202" s="54"/>
      <c r="Y202" s="54"/>
      <c r="Z202" s="27"/>
      <c r="AA202" s="27"/>
    </row>
    <row r="203" spans="19:27" x14ac:dyDescent="0.3">
      <c r="S203" s="96"/>
      <c r="T203" s="54"/>
      <c r="U203" s="54"/>
      <c r="V203" s="54"/>
      <c r="W203" s="54"/>
      <c r="X203" s="54"/>
      <c r="Y203" s="54"/>
      <c r="Z203" s="27"/>
      <c r="AA203" s="27"/>
    </row>
    <row r="204" spans="19:27" x14ac:dyDescent="0.3">
      <c r="S204" s="96"/>
      <c r="T204" s="54"/>
      <c r="U204" s="54"/>
      <c r="V204" s="54"/>
      <c r="W204" s="54"/>
      <c r="X204" s="54"/>
      <c r="Y204" s="54"/>
      <c r="Z204" s="27"/>
      <c r="AA204" s="27"/>
    </row>
    <row r="205" spans="19:27" x14ac:dyDescent="0.3">
      <c r="S205" s="96"/>
      <c r="T205" s="54"/>
      <c r="U205" s="54"/>
      <c r="V205" s="54"/>
      <c r="W205" s="54"/>
      <c r="X205" s="54"/>
      <c r="Y205" s="54"/>
      <c r="Z205" s="27"/>
      <c r="AA205" s="27"/>
    </row>
    <row r="206" spans="19:27" x14ac:dyDescent="0.3">
      <c r="S206" s="96"/>
      <c r="T206" s="54"/>
      <c r="U206" s="54"/>
      <c r="V206" s="54"/>
      <c r="W206" s="54"/>
      <c r="X206" s="54"/>
      <c r="Y206" s="54"/>
      <c r="Z206" s="27"/>
      <c r="AA206" s="27"/>
    </row>
    <row r="207" spans="19:27" x14ac:dyDescent="0.3">
      <c r="S207" s="96"/>
      <c r="T207" s="54"/>
      <c r="U207" s="54"/>
      <c r="V207" s="54"/>
      <c r="W207" s="54"/>
      <c r="X207" s="54"/>
      <c r="Y207" s="54"/>
      <c r="Z207" s="27"/>
      <c r="AA207" s="27"/>
    </row>
    <row r="208" spans="19:27" x14ac:dyDescent="0.3">
      <c r="S208" s="96"/>
      <c r="T208" s="54"/>
      <c r="U208" s="54"/>
      <c r="V208" s="54"/>
      <c r="W208" s="54"/>
      <c r="X208" s="54"/>
      <c r="Y208" s="54"/>
      <c r="Z208" s="27"/>
      <c r="AA208" s="27"/>
    </row>
    <row r="209" spans="19:27" x14ac:dyDescent="0.3">
      <c r="S209" s="96"/>
      <c r="T209" s="54"/>
      <c r="U209" s="54"/>
      <c r="V209" s="54"/>
      <c r="W209" s="54"/>
      <c r="X209" s="54"/>
      <c r="Y209" s="54"/>
      <c r="Z209" s="27"/>
      <c r="AA209" s="27"/>
    </row>
    <row r="210" spans="19:27" x14ac:dyDescent="0.3">
      <c r="S210" s="96"/>
      <c r="T210" s="54"/>
      <c r="U210" s="54"/>
      <c r="V210" s="54"/>
      <c r="W210" s="54"/>
      <c r="X210" s="54"/>
      <c r="Y210" s="54"/>
      <c r="Z210" s="27"/>
      <c r="AA210" s="27"/>
    </row>
    <row r="211" spans="19:27" x14ac:dyDescent="0.3">
      <c r="S211" s="96"/>
      <c r="T211" s="54"/>
      <c r="U211" s="54"/>
      <c r="V211" s="54"/>
      <c r="W211" s="54"/>
      <c r="X211" s="54"/>
      <c r="Y211" s="54"/>
      <c r="Z211" s="27"/>
      <c r="AA211" s="27"/>
    </row>
    <row r="212" spans="19:27" x14ac:dyDescent="0.3">
      <c r="S212" s="96"/>
      <c r="T212" s="54"/>
      <c r="U212" s="54"/>
      <c r="V212" s="54"/>
      <c r="W212" s="54"/>
      <c r="X212" s="54"/>
      <c r="Y212" s="54"/>
      <c r="Z212" s="27"/>
      <c r="AA212" s="27"/>
    </row>
    <row r="213" spans="19:27" x14ac:dyDescent="0.3">
      <c r="S213" s="96"/>
      <c r="T213" s="54"/>
      <c r="U213" s="54"/>
      <c r="V213" s="54"/>
      <c r="W213" s="54"/>
      <c r="X213" s="54"/>
      <c r="Y213" s="54"/>
      <c r="Z213" s="27"/>
      <c r="AA213" s="27"/>
    </row>
    <row r="214" spans="19:27" x14ac:dyDescent="0.3">
      <c r="S214" s="96"/>
      <c r="T214" s="54"/>
      <c r="U214" s="54"/>
      <c r="V214" s="54"/>
      <c r="W214" s="54"/>
      <c r="X214" s="54"/>
      <c r="Y214" s="54"/>
      <c r="Z214" s="27"/>
      <c r="AA214" s="27"/>
    </row>
    <row r="215" spans="19:27" x14ac:dyDescent="0.3">
      <c r="S215" s="96"/>
      <c r="T215" s="54"/>
      <c r="U215" s="54"/>
      <c r="V215" s="54"/>
      <c r="W215" s="54"/>
      <c r="X215" s="54"/>
      <c r="Y215" s="54"/>
      <c r="Z215" s="27"/>
      <c r="AA215" s="27"/>
    </row>
    <row r="216" spans="19:27" x14ac:dyDescent="0.3">
      <c r="S216" s="96"/>
      <c r="T216" s="54"/>
      <c r="U216" s="54"/>
      <c r="V216" s="54"/>
      <c r="W216" s="54"/>
      <c r="X216" s="54"/>
      <c r="Y216" s="54"/>
      <c r="Z216" s="27"/>
      <c r="AA216" s="27"/>
    </row>
    <row r="217" spans="19:27" x14ac:dyDescent="0.3">
      <c r="S217" s="96"/>
      <c r="T217" s="54"/>
      <c r="U217" s="54"/>
      <c r="V217" s="54"/>
      <c r="W217" s="54"/>
      <c r="X217" s="54"/>
      <c r="Y217" s="54"/>
      <c r="Z217" s="27"/>
      <c r="AA217" s="27"/>
    </row>
    <row r="218" spans="19:27" x14ac:dyDescent="0.3">
      <c r="S218" s="96"/>
      <c r="T218" s="54"/>
      <c r="U218" s="54"/>
      <c r="V218" s="54"/>
      <c r="W218" s="54"/>
      <c r="X218" s="54"/>
      <c r="Y218" s="54"/>
      <c r="Z218" s="27"/>
      <c r="AA218" s="27"/>
    </row>
    <row r="219" spans="19:27" x14ac:dyDescent="0.3">
      <c r="S219" s="96"/>
      <c r="T219" s="54"/>
      <c r="U219" s="54"/>
      <c r="V219" s="54"/>
      <c r="W219" s="54"/>
      <c r="X219" s="54"/>
      <c r="Y219" s="54"/>
      <c r="Z219" s="27"/>
      <c r="AA219" s="27"/>
    </row>
    <row r="220" spans="19:27" x14ac:dyDescent="0.3">
      <c r="S220" s="96"/>
      <c r="T220" s="54"/>
      <c r="U220" s="54"/>
      <c r="V220" s="54"/>
      <c r="W220" s="54"/>
      <c r="X220" s="54"/>
      <c r="Y220" s="54"/>
      <c r="Z220" s="27"/>
      <c r="AA220" s="27"/>
    </row>
    <row r="221" spans="19:27" x14ac:dyDescent="0.3">
      <c r="S221" s="96"/>
      <c r="T221" s="54"/>
      <c r="U221" s="54"/>
      <c r="V221" s="54"/>
      <c r="W221" s="54"/>
      <c r="X221" s="54"/>
      <c r="Y221" s="54"/>
      <c r="Z221" s="27"/>
      <c r="AA221" s="27"/>
    </row>
    <row r="222" spans="19:27" x14ac:dyDescent="0.3">
      <c r="S222" s="96"/>
      <c r="T222" s="54"/>
      <c r="U222" s="54"/>
      <c r="V222" s="54"/>
      <c r="W222" s="54"/>
      <c r="X222" s="54"/>
      <c r="Y222" s="54"/>
      <c r="Z222" s="27"/>
      <c r="AA222" s="27"/>
    </row>
    <row r="223" spans="19:27" x14ac:dyDescent="0.3">
      <c r="S223" s="96"/>
      <c r="T223" s="54"/>
      <c r="U223" s="54"/>
      <c r="V223" s="54"/>
      <c r="W223" s="54"/>
      <c r="X223" s="54"/>
      <c r="Y223" s="54"/>
      <c r="Z223" s="27"/>
      <c r="AA223" s="27"/>
    </row>
    <row r="224" spans="19:27" x14ac:dyDescent="0.3">
      <c r="S224" s="96"/>
      <c r="T224" s="54"/>
      <c r="U224" s="54"/>
      <c r="V224" s="54"/>
      <c r="W224" s="54"/>
      <c r="X224" s="54"/>
      <c r="Y224" s="54"/>
      <c r="Z224" s="27"/>
      <c r="AA224" s="27"/>
    </row>
    <row r="225" spans="19:27" x14ac:dyDescent="0.3">
      <c r="S225" s="96"/>
      <c r="T225" s="54"/>
      <c r="U225" s="54"/>
      <c r="V225" s="54"/>
      <c r="W225" s="54"/>
      <c r="X225" s="54"/>
      <c r="Y225" s="54"/>
      <c r="Z225" s="27"/>
      <c r="AA225" s="27"/>
    </row>
    <row r="226" spans="19:27" x14ac:dyDescent="0.3">
      <c r="S226" s="96"/>
      <c r="T226" s="54"/>
      <c r="U226" s="54"/>
      <c r="V226" s="54"/>
      <c r="W226" s="54"/>
      <c r="X226" s="54"/>
      <c r="Y226" s="54"/>
      <c r="Z226" s="27"/>
      <c r="AA226" s="27"/>
    </row>
    <row r="227" spans="19:27" x14ac:dyDescent="0.3">
      <c r="S227" s="96"/>
      <c r="T227" s="54"/>
      <c r="U227" s="54"/>
      <c r="V227" s="54"/>
      <c r="W227" s="54"/>
      <c r="X227" s="54"/>
      <c r="Y227" s="54"/>
      <c r="Z227" s="27"/>
      <c r="AA227" s="27"/>
    </row>
    <row r="228" spans="19:27" x14ac:dyDescent="0.3">
      <c r="S228" s="96"/>
      <c r="T228" s="54"/>
      <c r="U228" s="54"/>
      <c r="V228" s="54"/>
      <c r="W228" s="54"/>
      <c r="X228" s="54"/>
      <c r="Y228" s="54"/>
      <c r="Z228" s="27"/>
      <c r="AA228" s="27"/>
    </row>
    <row r="229" spans="19:27" x14ac:dyDescent="0.3">
      <c r="S229" s="96"/>
      <c r="T229" s="54"/>
      <c r="U229" s="54"/>
      <c r="V229" s="54"/>
      <c r="W229" s="54"/>
      <c r="X229" s="54"/>
      <c r="Y229" s="54"/>
      <c r="Z229" s="27"/>
      <c r="AA229" s="27"/>
    </row>
    <row r="230" spans="19:27" x14ac:dyDescent="0.3">
      <c r="S230" s="96"/>
      <c r="T230" s="54"/>
      <c r="U230" s="54"/>
      <c r="V230" s="54"/>
      <c r="W230" s="54"/>
      <c r="X230" s="54"/>
      <c r="Y230" s="54"/>
      <c r="Z230" s="27"/>
      <c r="AA230" s="27"/>
    </row>
    <row r="231" spans="19:27" x14ac:dyDescent="0.3">
      <c r="S231" s="96"/>
      <c r="T231" s="54"/>
      <c r="U231" s="54"/>
      <c r="V231" s="54"/>
      <c r="W231" s="54"/>
      <c r="X231" s="54"/>
      <c r="Y231" s="54"/>
      <c r="Z231" s="27"/>
      <c r="AA231" s="27"/>
    </row>
    <row r="232" spans="19:27" x14ac:dyDescent="0.3">
      <c r="S232" s="96"/>
      <c r="T232" s="54"/>
      <c r="U232" s="54"/>
      <c r="V232" s="54"/>
      <c r="W232" s="54"/>
      <c r="X232" s="54"/>
      <c r="Y232" s="54"/>
      <c r="Z232" s="27"/>
      <c r="AA232" s="27"/>
    </row>
    <row r="233" spans="19:27" x14ac:dyDescent="0.3">
      <c r="S233" s="96"/>
      <c r="T233" s="54"/>
      <c r="U233" s="54"/>
      <c r="V233" s="54"/>
      <c r="W233" s="54"/>
      <c r="X233" s="54"/>
      <c r="Y233" s="54"/>
      <c r="Z233" s="27"/>
      <c r="AA233" s="27"/>
    </row>
    <row r="234" spans="19:27" x14ac:dyDescent="0.3">
      <c r="S234" s="96"/>
      <c r="T234" s="54"/>
      <c r="U234" s="54"/>
      <c r="V234" s="54"/>
      <c r="W234" s="54"/>
      <c r="X234" s="54"/>
      <c r="Y234" s="54"/>
      <c r="Z234" s="27"/>
      <c r="AA234" s="27"/>
    </row>
    <row r="235" spans="19:27" x14ac:dyDescent="0.3">
      <c r="S235" s="96"/>
      <c r="T235" s="54"/>
      <c r="U235" s="54"/>
      <c r="V235" s="54"/>
      <c r="W235" s="54"/>
      <c r="X235" s="54"/>
      <c r="Y235" s="54"/>
      <c r="Z235" s="27"/>
      <c r="AA235" s="27"/>
    </row>
    <row r="236" spans="19:27" x14ac:dyDescent="0.3">
      <c r="S236" s="96"/>
      <c r="T236" s="54"/>
      <c r="U236" s="54"/>
      <c r="V236" s="54"/>
      <c r="W236" s="54"/>
      <c r="X236" s="54"/>
      <c r="Y236" s="54"/>
      <c r="Z236" s="27"/>
      <c r="AA236" s="27"/>
    </row>
    <row r="237" spans="19:27" x14ac:dyDescent="0.3">
      <c r="S237" s="96"/>
      <c r="T237" s="54"/>
      <c r="U237" s="54"/>
      <c r="V237" s="54"/>
      <c r="W237" s="54"/>
      <c r="X237" s="54"/>
      <c r="Y237" s="54"/>
      <c r="Z237" s="27"/>
      <c r="AA237" s="27"/>
    </row>
    <row r="238" spans="19:27" x14ac:dyDescent="0.3">
      <c r="S238" s="96"/>
      <c r="T238" s="54"/>
      <c r="U238" s="54"/>
      <c r="V238" s="54"/>
      <c r="W238" s="54"/>
      <c r="X238" s="54"/>
      <c r="Y238" s="54"/>
      <c r="Z238" s="27"/>
      <c r="AA238" s="27"/>
    </row>
    <row r="239" spans="19:27" x14ac:dyDescent="0.3">
      <c r="S239" s="96"/>
      <c r="T239" s="54"/>
      <c r="U239" s="54"/>
      <c r="V239" s="54"/>
      <c r="W239" s="54"/>
      <c r="X239" s="54"/>
      <c r="Y239" s="54"/>
      <c r="Z239" s="27"/>
      <c r="AA239" s="27"/>
    </row>
    <row r="240" spans="19:27" x14ac:dyDescent="0.3">
      <c r="S240" s="96"/>
      <c r="T240" s="54"/>
      <c r="U240" s="54"/>
      <c r="V240" s="54"/>
      <c r="W240" s="54"/>
      <c r="X240" s="54"/>
      <c r="Y240" s="54"/>
      <c r="Z240" s="27"/>
      <c r="AA240" s="27"/>
    </row>
    <row r="241" spans="19:27" x14ac:dyDescent="0.3">
      <c r="S241" s="96"/>
      <c r="T241" s="54"/>
      <c r="U241" s="54"/>
      <c r="V241" s="54"/>
      <c r="W241" s="54"/>
      <c r="X241" s="54"/>
      <c r="Y241" s="54"/>
      <c r="Z241" s="27"/>
      <c r="AA241" s="27"/>
    </row>
    <row r="242" spans="19:27" x14ac:dyDescent="0.3">
      <c r="S242" s="96"/>
      <c r="T242" s="54"/>
      <c r="U242" s="54"/>
      <c r="V242" s="54"/>
      <c r="W242" s="54"/>
      <c r="X242" s="54"/>
      <c r="Y242" s="54"/>
      <c r="Z242" s="27"/>
      <c r="AA242" s="27"/>
    </row>
    <row r="243" spans="19:27" x14ac:dyDescent="0.3">
      <c r="S243" s="96"/>
      <c r="T243" s="54"/>
      <c r="U243" s="54"/>
      <c r="V243" s="54"/>
      <c r="W243" s="54"/>
      <c r="X243" s="54"/>
      <c r="Y243" s="54"/>
      <c r="Z243" s="27"/>
      <c r="AA243" s="27"/>
    </row>
    <row r="244" spans="19:27" x14ac:dyDescent="0.3">
      <c r="S244" s="96"/>
      <c r="T244" s="54"/>
      <c r="U244" s="54"/>
      <c r="V244" s="54"/>
      <c r="W244" s="54"/>
      <c r="X244" s="54"/>
      <c r="Y244" s="54"/>
      <c r="Z244" s="27"/>
      <c r="AA244" s="27"/>
    </row>
    <row r="245" spans="19:27" x14ac:dyDescent="0.3">
      <c r="S245" s="96"/>
      <c r="T245" s="54"/>
      <c r="U245" s="54"/>
      <c r="V245" s="54"/>
      <c r="W245" s="54"/>
      <c r="X245" s="54"/>
      <c r="Y245" s="54"/>
      <c r="Z245" s="27"/>
      <c r="AA245" s="27"/>
    </row>
    <row r="246" spans="19:27" x14ac:dyDescent="0.3">
      <c r="S246" s="96"/>
      <c r="T246" s="54"/>
      <c r="U246" s="54"/>
      <c r="V246" s="54"/>
      <c r="W246" s="54"/>
      <c r="X246" s="54"/>
      <c r="Y246" s="54"/>
      <c r="Z246" s="27"/>
      <c r="AA246" s="27"/>
    </row>
    <row r="247" spans="19:27" x14ac:dyDescent="0.3">
      <c r="S247" s="96"/>
      <c r="T247" s="54"/>
      <c r="U247" s="54"/>
      <c r="V247" s="54"/>
      <c r="W247" s="54"/>
      <c r="X247" s="54"/>
      <c r="Y247" s="54"/>
      <c r="Z247" s="27"/>
      <c r="AA247" s="27"/>
    </row>
    <row r="248" spans="19:27" x14ac:dyDescent="0.3">
      <c r="S248" s="96"/>
      <c r="T248" s="54"/>
      <c r="U248" s="54"/>
      <c r="V248" s="54"/>
      <c r="W248" s="54"/>
      <c r="X248" s="54"/>
      <c r="Y248" s="54"/>
      <c r="Z248" s="27"/>
      <c r="AA248" s="27"/>
    </row>
    <row r="249" spans="19:27" x14ac:dyDescent="0.3">
      <c r="S249" s="96"/>
      <c r="T249" s="54"/>
      <c r="U249" s="54"/>
      <c r="V249" s="54"/>
      <c r="W249" s="54"/>
      <c r="X249" s="54"/>
      <c r="Y249" s="54"/>
      <c r="Z249" s="27"/>
      <c r="AA249" s="27"/>
    </row>
    <row r="250" spans="19:27" x14ac:dyDescent="0.3">
      <c r="S250" s="96"/>
      <c r="T250" s="54"/>
      <c r="U250" s="54"/>
      <c r="V250" s="54"/>
      <c r="W250" s="54"/>
      <c r="X250" s="54"/>
      <c r="Y250" s="54"/>
      <c r="Z250" s="27"/>
      <c r="AA250" s="27"/>
    </row>
    <row r="251" spans="19:27" x14ac:dyDescent="0.3">
      <c r="S251" s="96"/>
      <c r="T251" s="54"/>
      <c r="U251" s="54"/>
      <c r="V251" s="54"/>
      <c r="W251" s="54"/>
      <c r="X251" s="54"/>
      <c r="Y251" s="54"/>
      <c r="Z251" s="27"/>
      <c r="AA251" s="27"/>
    </row>
    <row r="252" spans="19:27" x14ac:dyDescent="0.3">
      <c r="S252" s="96"/>
      <c r="T252" s="54"/>
      <c r="U252" s="54"/>
      <c r="V252" s="54"/>
      <c r="W252" s="54"/>
      <c r="X252" s="54"/>
      <c r="Y252" s="54"/>
      <c r="Z252" s="27"/>
      <c r="AA252" s="27"/>
    </row>
    <row r="253" spans="19:27" x14ac:dyDescent="0.3">
      <c r="S253" s="96"/>
      <c r="T253" s="54"/>
      <c r="U253" s="54"/>
      <c r="V253" s="54"/>
      <c r="W253" s="54"/>
      <c r="X253" s="54"/>
      <c r="Y253" s="54"/>
      <c r="Z253" s="27"/>
      <c r="AA253" s="27"/>
    </row>
    <row r="254" spans="19:27" x14ac:dyDescent="0.3">
      <c r="S254" s="96"/>
      <c r="T254" s="54"/>
      <c r="U254" s="54"/>
      <c r="V254" s="54"/>
      <c r="W254" s="54"/>
      <c r="X254" s="54"/>
      <c r="Y254" s="54"/>
      <c r="Z254" s="27"/>
      <c r="AA254" s="27"/>
    </row>
    <row r="255" spans="19:27" x14ac:dyDescent="0.3">
      <c r="T255" s="54"/>
      <c r="U255" s="54"/>
      <c r="V255" s="54"/>
      <c r="W255" s="54"/>
      <c r="X255" s="54"/>
      <c r="Y255" s="54"/>
      <c r="Z255" s="27"/>
      <c r="AA255" s="27"/>
    </row>
    <row r="256" spans="19:27" x14ac:dyDescent="0.3">
      <c r="T256" s="27"/>
      <c r="U256" s="27"/>
      <c r="V256" s="27"/>
      <c r="W256" s="27"/>
      <c r="X256" s="27"/>
      <c r="Y256" s="27"/>
    </row>
    <row r="257" spans="20:25" x14ac:dyDescent="0.3">
      <c r="T257" s="27"/>
      <c r="U257" s="27"/>
      <c r="V257" s="27"/>
      <c r="W257" s="27"/>
      <c r="X257" s="27"/>
      <c r="Y257" s="27"/>
    </row>
    <row r="258" spans="20:25" x14ac:dyDescent="0.3">
      <c r="T258" s="27"/>
      <c r="U258" s="27"/>
      <c r="V258" s="27"/>
      <c r="W258" s="27"/>
      <c r="X258" s="27"/>
      <c r="Y258" s="27"/>
    </row>
    <row r="259" spans="20:25" x14ac:dyDescent="0.3">
      <c r="T259" s="27"/>
      <c r="U259" s="27"/>
      <c r="V259" s="27"/>
      <c r="W259" s="27"/>
      <c r="X259" s="27"/>
      <c r="Y259" s="27"/>
    </row>
    <row r="260" spans="20:25" x14ac:dyDescent="0.3">
      <c r="T260" s="27"/>
      <c r="U260" s="27"/>
      <c r="V260" s="27"/>
      <c r="W260" s="27"/>
      <c r="X260" s="27"/>
      <c r="Y260" s="27"/>
    </row>
    <row r="261" spans="20:25" x14ac:dyDescent="0.3">
      <c r="T261" s="27"/>
      <c r="U261" s="27"/>
      <c r="V261" s="27"/>
      <c r="W261" s="27"/>
      <c r="X261" s="27"/>
      <c r="Y261" s="27"/>
    </row>
    <row r="262" spans="20:25" x14ac:dyDescent="0.3">
      <c r="T262" s="27"/>
      <c r="U262" s="27"/>
      <c r="V262" s="27"/>
      <c r="W262" s="27"/>
      <c r="X262" s="27"/>
      <c r="Y262" s="27"/>
    </row>
    <row r="263" spans="20:25" x14ac:dyDescent="0.3">
      <c r="T263" s="27"/>
      <c r="U263" s="27"/>
      <c r="V263" s="27"/>
      <c r="W263" s="27"/>
      <c r="X263" s="27"/>
      <c r="Y263" s="27"/>
    </row>
    <row r="264" spans="20:25" x14ac:dyDescent="0.3">
      <c r="T264" s="27"/>
      <c r="U264" s="27"/>
      <c r="V264" s="27"/>
      <c r="W264" s="27"/>
      <c r="X264" s="27"/>
      <c r="Y264" s="27"/>
    </row>
    <row r="265" spans="20:25" x14ac:dyDescent="0.3">
      <c r="T265" s="27"/>
      <c r="U265" s="27"/>
      <c r="V265" s="27"/>
      <c r="W265" s="27"/>
      <c r="X265" s="27"/>
      <c r="Y265" s="27"/>
    </row>
    <row r="266" spans="20:25" x14ac:dyDescent="0.3">
      <c r="T266" s="27"/>
      <c r="U266" s="27"/>
      <c r="V266" s="27"/>
      <c r="W266" s="27"/>
      <c r="X266" s="27"/>
      <c r="Y266" s="27"/>
    </row>
    <row r="267" spans="20:25" x14ac:dyDescent="0.3">
      <c r="T267" s="27"/>
      <c r="U267" s="27"/>
      <c r="V267" s="27"/>
      <c r="W267" s="27"/>
      <c r="X267" s="27"/>
      <c r="Y267" s="27"/>
    </row>
    <row r="268" spans="20:25" x14ac:dyDescent="0.3">
      <c r="T268" s="27"/>
      <c r="U268" s="27"/>
      <c r="V268" s="27"/>
      <c r="W268" s="27"/>
      <c r="X268" s="27"/>
      <c r="Y268" s="27"/>
    </row>
    <row r="269" spans="20:25" x14ac:dyDescent="0.3">
      <c r="T269" s="27"/>
      <c r="U269" s="27"/>
      <c r="V269" s="27"/>
      <c r="W269" s="27"/>
      <c r="X269" s="27"/>
      <c r="Y269" s="27"/>
    </row>
    <row r="270" spans="20:25" x14ac:dyDescent="0.3">
      <c r="T270" s="27"/>
      <c r="U270" s="27"/>
      <c r="V270" s="27"/>
      <c r="W270" s="27"/>
      <c r="X270" s="27"/>
      <c r="Y270" s="27"/>
    </row>
    <row r="271" spans="20:25" x14ac:dyDescent="0.3">
      <c r="T271" s="27"/>
      <c r="U271" s="27"/>
      <c r="V271" s="27"/>
      <c r="W271" s="27"/>
      <c r="X271" s="27"/>
      <c r="Y271" s="27"/>
    </row>
    <row r="272" spans="20:25" x14ac:dyDescent="0.3">
      <c r="T272" s="27"/>
      <c r="U272" s="27"/>
      <c r="V272" s="27"/>
      <c r="W272" s="27"/>
      <c r="X272" s="27"/>
      <c r="Y272" s="27"/>
    </row>
    <row r="273" spans="20:25" x14ac:dyDescent="0.3">
      <c r="T273" s="27"/>
      <c r="U273" s="27"/>
      <c r="V273" s="27"/>
      <c r="W273" s="27"/>
      <c r="X273" s="27"/>
      <c r="Y273" s="27"/>
    </row>
    <row r="274" spans="20:25" x14ac:dyDescent="0.3">
      <c r="T274" s="27"/>
      <c r="U274" s="27"/>
      <c r="V274" s="27"/>
      <c r="W274" s="27"/>
      <c r="X274" s="27"/>
      <c r="Y274" s="27"/>
    </row>
    <row r="275" spans="20:25" x14ac:dyDescent="0.3">
      <c r="T275" s="27"/>
      <c r="U275" s="27"/>
      <c r="V275" s="27"/>
      <c r="W275" s="27"/>
      <c r="X275" s="27"/>
      <c r="Y275" s="27"/>
    </row>
    <row r="276" spans="20:25" x14ac:dyDescent="0.3">
      <c r="T276" s="27"/>
      <c r="U276" s="27"/>
      <c r="V276" s="27"/>
      <c r="W276" s="27"/>
      <c r="X276" s="27"/>
      <c r="Y276" s="27"/>
    </row>
    <row r="277" spans="20:25" x14ac:dyDescent="0.3">
      <c r="T277" s="27"/>
      <c r="U277" s="27"/>
      <c r="V277" s="27"/>
      <c r="W277" s="27"/>
      <c r="X277" s="27"/>
      <c r="Y277" s="27"/>
    </row>
    <row r="278" spans="20:25" x14ac:dyDescent="0.3">
      <c r="T278" s="27"/>
      <c r="U278" s="27"/>
      <c r="V278" s="27"/>
      <c r="W278" s="27"/>
      <c r="X278" s="27"/>
      <c r="Y278" s="27"/>
    </row>
    <row r="279" spans="20:25" x14ac:dyDescent="0.3">
      <c r="T279" s="27"/>
      <c r="U279" s="27"/>
      <c r="V279" s="27"/>
      <c r="W279" s="27"/>
      <c r="X279" s="27"/>
      <c r="Y279" s="27"/>
    </row>
    <row r="280" spans="20:25" x14ac:dyDescent="0.3">
      <c r="T280" s="27"/>
      <c r="U280" s="27"/>
      <c r="V280" s="27"/>
      <c r="W280" s="27"/>
      <c r="X280" s="27"/>
      <c r="Y280" s="27"/>
    </row>
    <row r="281" spans="20:25" x14ac:dyDescent="0.3">
      <c r="T281" s="27"/>
      <c r="U281" s="27"/>
      <c r="V281" s="27"/>
      <c r="W281" s="27"/>
      <c r="X281" s="27"/>
      <c r="Y281" s="27"/>
    </row>
    <row r="282" spans="20:25" x14ac:dyDescent="0.3">
      <c r="T282" s="27"/>
      <c r="U282" s="27"/>
      <c r="V282" s="27"/>
      <c r="W282" s="27"/>
      <c r="X282" s="27"/>
      <c r="Y282" s="27"/>
    </row>
    <row r="283" spans="20:25" x14ac:dyDescent="0.3">
      <c r="T283" s="27"/>
      <c r="U283" s="27"/>
      <c r="V283" s="27"/>
      <c r="W283" s="27"/>
      <c r="X283" s="27"/>
      <c r="Y283" s="27"/>
    </row>
    <row r="284" spans="20:25" x14ac:dyDescent="0.3">
      <c r="T284" s="27"/>
      <c r="U284" s="27"/>
      <c r="V284" s="27"/>
      <c r="W284" s="27"/>
      <c r="X284" s="27"/>
      <c r="Y284" s="27"/>
    </row>
    <row r="285" spans="20:25" x14ac:dyDescent="0.3">
      <c r="T285" s="27"/>
      <c r="U285" s="27"/>
      <c r="V285" s="27"/>
      <c r="W285" s="27"/>
      <c r="X285" s="27"/>
      <c r="Y285" s="27"/>
    </row>
    <row r="286" spans="20:25" x14ac:dyDescent="0.3">
      <c r="T286" s="27"/>
      <c r="U286" s="27"/>
      <c r="V286" s="27"/>
      <c r="W286" s="27"/>
      <c r="X286" s="27"/>
      <c r="Y286" s="27"/>
    </row>
    <row r="287" spans="20:25" x14ac:dyDescent="0.3">
      <c r="T287" s="27"/>
      <c r="U287" s="27"/>
      <c r="V287" s="27"/>
      <c r="W287" s="27"/>
      <c r="X287" s="27"/>
      <c r="Y287" s="27"/>
    </row>
    <row r="288" spans="20:25" x14ac:dyDescent="0.3">
      <c r="T288" s="27"/>
      <c r="U288" s="27"/>
      <c r="V288" s="27"/>
      <c r="W288" s="27"/>
      <c r="X288" s="27"/>
      <c r="Y288" s="27"/>
    </row>
    <row r="289" spans="20:25" x14ac:dyDescent="0.3">
      <c r="T289" s="27"/>
      <c r="U289" s="27"/>
      <c r="V289" s="27"/>
      <c r="W289" s="27"/>
      <c r="X289" s="27"/>
      <c r="Y289" s="27"/>
    </row>
    <row r="290" spans="20:25" x14ac:dyDescent="0.3">
      <c r="T290" s="27"/>
      <c r="U290" s="27"/>
      <c r="V290" s="27"/>
      <c r="W290" s="27"/>
      <c r="X290" s="27"/>
      <c r="Y290" s="27"/>
    </row>
    <row r="291" spans="20:25" x14ac:dyDescent="0.3">
      <c r="T291" s="27"/>
      <c r="U291" s="27"/>
      <c r="V291" s="27"/>
      <c r="W291" s="27"/>
      <c r="X291" s="27"/>
      <c r="Y291" s="27"/>
    </row>
    <row r="292" spans="20:25" x14ac:dyDescent="0.3">
      <c r="T292" s="27"/>
      <c r="U292" s="27"/>
      <c r="V292" s="27"/>
      <c r="W292" s="27"/>
      <c r="X292" s="27"/>
      <c r="Y292" s="27"/>
    </row>
    <row r="293" spans="20:25" x14ac:dyDescent="0.3">
      <c r="T293" s="27"/>
      <c r="U293" s="27"/>
      <c r="V293" s="27"/>
      <c r="W293" s="27"/>
      <c r="X293" s="27"/>
      <c r="Y293" s="27"/>
    </row>
    <row r="294" spans="20:25" x14ac:dyDescent="0.3">
      <c r="T294" s="27"/>
      <c r="U294" s="27"/>
      <c r="V294" s="27"/>
      <c r="W294" s="27"/>
      <c r="X294" s="27"/>
      <c r="Y294" s="27"/>
    </row>
    <row r="295" spans="20:25" x14ac:dyDescent="0.3">
      <c r="T295" s="27"/>
      <c r="U295" s="27"/>
      <c r="V295" s="27"/>
      <c r="W295" s="27"/>
      <c r="X295" s="27"/>
      <c r="Y295" s="27"/>
    </row>
    <row r="296" spans="20:25" x14ac:dyDescent="0.3">
      <c r="T296" s="27"/>
      <c r="U296" s="27"/>
      <c r="V296" s="27"/>
      <c r="W296" s="27"/>
      <c r="X296" s="27"/>
      <c r="Y296" s="27"/>
    </row>
    <row r="297" spans="20:25" x14ac:dyDescent="0.3">
      <c r="T297" s="27"/>
      <c r="U297" s="27"/>
      <c r="V297" s="27"/>
      <c r="W297" s="27"/>
      <c r="X297" s="27"/>
      <c r="Y297" s="27"/>
    </row>
    <row r="298" spans="20:25" x14ac:dyDescent="0.3">
      <c r="T298" s="27"/>
      <c r="U298" s="27"/>
      <c r="V298" s="27"/>
      <c r="W298" s="27"/>
      <c r="X298" s="27"/>
      <c r="Y298" s="27"/>
    </row>
    <row r="299" spans="20:25" x14ac:dyDescent="0.3">
      <c r="T299" s="27"/>
      <c r="U299" s="27"/>
      <c r="V299" s="27"/>
      <c r="W299" s="27"/>
      <c r="X299" s="27"/>
      <c r="Y299" s="27"/>
    </row>
    <row r="300" spans="20:25" x14ac:dyDescent="0.3">
      <c r="T300" s="27"/>
      <c r="U300" s="27"/>
      <c r="V300" s="27"/>
      <c r="W300" s="27"/>
      <c r="X300" s="27"/>
      <c r="Y300" s="27"/>
    </row>
    <row r="301" spans="20:25" x14ac:dyDescent="0.3">
      <c r="T301" s="27"/>
      <c r="U301" s="27"/>
      <c r="V301" s="27"/>
      <c r="W301" s="27"/>
      <c r="X301" s="27"/>
      <c r="Y301" s="27"/>
    </row>
    <row r="302" spans="20:25" x14ac:dyDescent="0.3">
      <c r="T302" s="27"/>
      <c r="U302" s="27"/>
      <c r="V302" s="27"/>
      <c r="W302" s="27"/>
      <c r="X302" s="27"/>
      <c r="Y302" s="27"/>
    </row>
  </sheetData>
  <pageMargins left="0.511811024" right="0.511811024" top="0.78740157499999996" bottom="0.78740157499999996" header="0.31496062000000002" footer="0.31496062000000002"/>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3D4359-06C0-403F-B329-D942B2CC57DA}">
  <sheetPr>
    <tabColor theme="9" tint="0.59999389629810485"/>
  </sheetPr>
  <dimension ref="A1:P299"/>
  <sheetViews>
    <sheetView showGridLines="0" workbookViewId="0">
      <selection activeCell="J13" sqref="J13"/>
    </sheetView>
  </sheetViews>
  <sheetFormatPr defaultColWidth="8.85546875" defaultRowHeight="18.75" x14ac:dyDescent="0.3"/>
  <cols>
    <col min="1" max="1" width="12.7109375" style="17" customWidth="1"/>
    <col min="2" max="2" width="30.5703125" customWidth="1"/>
    <col min="4" max="4" width="4.5703125" customWidth="1"/>
    <col min="5" max="5" width="11" bestFit="1" customWidth="1"/>
    <col min="6" max="6" width="12.42578125" customWidth="1"/>
    <col min="7" max="8" width="12.42578125" bestFit="1" customWidth="1"/>
    <col min="10" max="13" width="9" style="15" customWidth="1"/>
    <col min="14" max="16" width="8.85546875" style="15"/>
  </cols>
  <sheetData>
    <row r="1" spans="1:16" x14ac:dyDescent="0.3">
      <c r="A1" s="16" t="s">
        <v>347</v>
      </c>
      <c r="J1" s="14"/>
      <c r="K1" s="14"/>
      <c r="L1" s="14"/>
      <c r="M1" s="14"/>
      <c r="N1" s="14"/>
      <c r="O1" s="14"/>
      <c r="P1" s="14"/>
    </row>
    <row r="2" spans="1:16" x14ac:dyDescent="0.3">
      <c r="A2" s="17" t="s">
        <v>348</v>
      </c>
      <c r="J2" s="14"/>
      <c r="K2" s="14"/>
      <c r="L2" s="14"/>
      <c r="M2" s="14"/>
      <c r="N2" s="14"/>
      <c r="O2" s="14"/>
      <c r="P2" s="14"/>
    </row>
    <row r="4" spans="1:16" ht="15.75" x14ac:dyDescent="0.25">
      <c r="A4" s="2" t="s">
        <v>15</v>
      </c>
      <c r="B4" s="2" t="s">
        <v>16</v>
      </c>
    </row>
    <row r="5" spans="1:16" ht="15.75" x14ac:dyDescent="0.25">
      <c r="A5" s="23" t="s">
        <v>357</v>
      </c>
      <c r="B5" s="24" t="s">
        <v>356</v>
      </c>
    </row>
    <row r="6" spans="1:16" ht="15.75" x14ac:dyDescent="0.25">
      <c r="A6" s="23" t="s">
        <v>263</v>
      </c>
      <c r="B6" s="24" t="s">
        <v>351</v>
      </c>
    </row>
    <row r="7" spans="1:16" ht="31.5" x14ac:dyDescent="0.25">
      <c r="A7" s="23" t="s">
        <v>344</v>
      </c>
      <c r="B7" s="24" t="s">
        <v>352</v>
      </c>
    </row>
    <row r="8" spans="1:16" ht="47.25" x14ac:dyDescent="0.25">
      <c r="A8" s="23" t="s">
        <v>345</v>
      </c>
      <c r="B8" s="24" t="s">
        <v>353</v>
      </c>
    </row>
    <row r="9" spans="1:16" ht="15.75" x14ac:dyDescent="0.25">
      <c r="A9" s="94" t="s">
        <v>350</v>
      </c>
      <c r="B9" s="24"/>
    </row>
    <row r="10" spans="1:16" ht="15.75" x14ac:dyDescent="0.25">
      <c r="A10" s="23" t="s">
        <v>354</v>
      </c>
      <c r="B10" s="26"/>
    </row>
    <row r="11" spans="1:16" ht="15.75" x14ac:dyDescent="0.25">
      <c r="A11" s="23"/>
      <c r="B11" s="26"/>
    </row>
    <row r="12" spans="1:16" x14ac:dyDescent="0.3">
      <c r="E12" s="49" t="s">
        <v>349</v>
      </c>
      <c r="F12" s="49" t="s">
        <v>267</v>
      </c>
      <c r="G12" s="49" t="s">
        <v>346</v>
      </c>
      <c r="H12" s="49" t="s">
        <v>209</v>
      </c>
      <c r="J12" s="61" t="s">
        <v>259</v>
      </c>
      <c r="M12" s="90" t="s">
        <v>260</v>
      </c>
    </row>
    <row r="13" spans="1:16" ht="18.75" customHeight="1" x14ac:dyDescent="0.3">
      <c r="E13" s="55">
        <v>20</v>
      </c>
      <c r="F13" s="93">
        <v>0.05</v>
      </c>
      <c r="G13" s="55" t="b">
        <v>1</v>
      </c>
      <c r="H13" s="55" t="b">
        <v>0</v>
      </c>
      <c r="J13" s="63" cm="1">
        <f t="array" ref="J13">_xlfn.LAMBDA(_xlpm.nObs,_xlop.significance,_xlop.constant,_xlop.trend,
_xlfn.LET(
_xlpm.significance,IF(_xlfn.ISOMITTED(_xlpm.significance),FALSE,_xlpm.significance),
_xlpm.constant,IF(_xlfn.ISOMITTED(_xlpm.constant),FALSE,_xlpm.constant),
_xlpm.trend,IF(_xlfn.ISOMITTED(_xlpm.trend),FALSE,_xlpm.trend),
_xlpm.noConstant_noTrend,
{-2.56574,-2.22213,-1.941,-1.61682;-2.2358,-1.15384,-0.2686,0.2656;-3.627,-3.4829,-3.365,-2.714;0,17.17265,31.223,25.364},
_xlpm.constant_noTrend,
{-3.43035,-3.1175,-2.86154,-256677;-6.5393,-4.53235,-2.8903,-1.5384;-16.786,-9.8824,-4.234,-2.809;-79.433,-57.7669,-40.04,0},
_xlpm.constant_trend,
{-3.95877,-3.65722,-3.41049,-3.12705;-9.0531,-6.48862,-4.3904,-2.5856;-28.428,-17.7624,-9.036,-3.925;-134.155,-85.3255,-45.374,-22.38},
_xlpm.matrix, _xlfn.IFS( AND(_xlpm.constant,_xlpm.trend), _xlpm.constant_trend, _xlpm.constant, _xlpm.constant_noTrend, _xlpm.trend, #VALUE!, TRUE, _xlpm.noConstant_noTrend ),
_xlpm.colIdx, _xlfn.IFS(_xlpm.significance = 0.01, 1, _xlpm.significance = 0.025, 2, _xlpm.significance = 0.05, 3, _xlpm.significance = 0.1, 4, TRUE, #VALUE!),
_xlpm.N, _xlpm.nObs,
SLICE(_xlpm.matrix,1,1,_xlpm.colIdx,_xlpm.colIdx) + SLICE(_xlpm.matrix,2,2,_xlpm.colIdx,_xlpm.colIdx)/_xlpm.N + SLICE(_xlpm.matrix,3,3,_xlpm.colIdx,_xlpm.colIdx)/(_xlpm.N^2) + SLICE(_xlpm.matrix,4,4,_xlpm.colIdx,_xlpm.colIdx)/(_xlpm.N^3)
))($E$13,$F$13,$G$13,$H$13)</f>
        <v>-3.0216450000000004</v>
      </c>
      <c r="K13" s="54"/>
      <c r="L13" s="54"/>
      <c r="M13" s="63" cm="1">
        <f t="array" ref="M13">DFTABLE($E$13,$F$13,$G$13,$H$13)</f>
        <v>-3.0216450000000004</v>
      </c>
    </row>
    <row r="14" spans="1:16" x14ac:dyDescent="0.3">
      <c r="J14" s="54"/>
      <c r="K14" s="54"/>
      <c r="L14" s="54"/>
      <c r="M14" s="54"/>
    </row>
    <row r="15" spans="1:16" x14ac:dyDescent="0.3">
      <c r="J15" s="54"/>
      <c r="K15" s="54"/>
      <c r="L15" s="54"/>
      <c r="M15" s="54"/>
    </row>
    <row r="16" spans="1:16" x14ac:dyDescent="0.3">
      <c r="J16" s="54"/>
      <c r="K16" s="54"/>
      <c r="L16" s="54"/>
      <c r="M16" s="54"/>
    </row>
    <row r="17" spans="10:13" x14ac:dyDescent="0.3">
      <c r="J17" s="54"/>
      <c r="K17" s="54"/>
      <c r="L17" s="54"/>
      <c r="M17" s="54"/>
    </row>
    <row r="18" spans="10:13" x14ac:dyDescent="0.3">
      <c r="J18" s="54"/>
      <c r="K18" s="54"/>
      <c r="L18" s="54"/>
      <c r="M18" s="54"/>
    </row>
    <row r="19" spans="10:13" x14ac:dyDescent="0.3">
      <c r="J19" s="54"/>
      <c r="K19" s="54"/>
      <c r="L19" s="54"/>
      <c r="M19" s="54"/>
    </row>
    <row r="20" spans="10:13" x14ac:dyDescent="0.3">
      <c r="J20" s="54"/>
      <c r="K20" s="54"/>
      <c r="L20" s="54"/>
      <c r="M20" s="54"/>
    </row>
    <row r="21" spans="10:13" x14ac:dyDescent="0.3">
      <c r="J21" s="54"/>
      <c r="K21" s="54"/>
      <c r="L21" s="54"/>
      <c r="M21" s="54"/>
    </row>
    <row r="22" spans="10:13" x14ac:dyDescent="0.3">
      <c r="J22" s="54"/>
      <c r="K22" s="54"/>
      <c r="L22" s="54"/>
      <c r="M22" s="54"/>
    </row>
    <row r="23" spans="10:13" x14ac:dyDescent="0.3">
      <c r="J23" s="54"/>
      <c r="K23" s="54"/>
      <c r="L23" s="54"/>
      <c r="M23" s="54"/>
    </row>
    <row r="24" spans="10:13" x14ac:dyDescent="0.3">
      <c r="J24" s="54"/>
      <c r="K24" s="54"/>
      <c r="L24" s="54"/>
      <c r="M24" s="54"/>
    </row>
    <row r="25" spans="10:13" x14ac:dyDescent="0.3">
      <c r="J25" s="54"/>
      <c r="K25" s="54"/>
      <c r="L25" s="54"/>
      <c r="M25" s="54"/>
    </row>
    <row r="26" spans="10:13" x14ac:dyDescent="0.3">
      <c r="J26" s="54"/>
      <c r="K26" s="54"/>
      <c r="L26" s="54"/>
      <c r="M26" s="54"/>
    </row>
    <row r="27" spans="10:13" x14ac:dyDescent="0.3">
      <c r="J27" s="54"/>
      <c r="K27" s="54"/>
      <c r="L27" s="54"/>
      <c r="M27" s="54"/>
    </row>
    <row r="28" spans="10:13" x14ac:dyDescent="0.3">
      <c r="J28" s="54"/>
      <c r="K28" s="54"/>
      <c r="L28" s="54"/>
      <c r="M28" s="54"/>
    </row>
    <row r="29" spans="10:13" x14ac:dyDescent="0.3">
      <c r="J29" s="54"/>
      <c r="K29" s="54"/>
      <c r="L29" s="54"/>
      <c r="M29" s="54"/>
    </row>
    <row r="30" spans="10:13" x14ac:dyDescent="0.3">
      <c r="J30" s="54"/>
      <c r="K30" s="54"/>
      <c r="L30" s="54"/>
      <c r="M30" s="54"/>
    </row>
    <row r="31" spans="10:13" x14ac:dyDescent="0.3">
      <c r="J31" s="54"/>
      <c r="K31" s="54"/>
      <c r="L31" s="54"/>
      <c r="M31" s="54"/>
    </row>
    <row r="32" spans="10:13" x14ac:dyDescent="0.3">
      <c r="J32" s="54"/>
      <c r="K32" s="54"/>
      <c r="L32" s="54"/>
      <c r="M32" s="54"/>
    </row>
    <row r="33" spans="10:13" x14ac:dyDescent="0.3">
      <c r="J33" s="54"/>
      <c r="K33" s="54"/>
      <c r="L33" s="54"/>
      <c r="M33" s="54"/>
    </row>
    <row r="34" spans="10:13" x14ac:dyDescent="0.3">
      <c r="J34" s="54"/>
      <c r="K34" s="54"/>
      <c r="L34" s="54"/>
      <c r="M34" s="54"/>
    </row>
    <row r="35" spans="10:13" x14ac:dyDescent="0.3">
      <c r="J35" s="54"/>
      <c r="K35" s="54"/>
      <c r="L35" s="54"/>
      <c r="M35" s="54"/>
    </row>
    <row r="36" spans="10:13" x14ac:dyDescent="0.3">
      <c r="J36" s="54"/>
      <c r="K36" s="54"/>
      <c r="L36" s="54"/>
      <c r="M36" s="54"/>
    </row>
    <row r="37" spans="10:13" x14ac:dyDescent="0.3">
      <c r="J37" s="54"/>
      <c r="K37" s="54"/>
      <c r="L37" s="54"/>
      <c r="M37" s="54"/>
    </row>
    <row r="38" spans="10:13" x14ac:dyDescent="0.3">
      <c r="J38" s="54"/>
      <c r="K38" s="54"/>
      <c r="L38" s="54"/>
      <c r="M38" s="54"/>
    </row>
    <row r="39" spans="10:13" x14ac:dyDescent="0.3">
      <c r="J39" s="54"/>
      <c r="K39" s="54"/>
      <c r="L39" s="54"/>
      <c r="M39" s="54"/>
    </row>
    <row r="40" spans="10:13" x14ac:dyDescent="0.3">
      <c r="J40" s="54"/>
      <c r="K40" s="54"/>
      <c r="L40" s="54"/>
      <c r="M40" s="54"/>
    </row>
    <row r="41" spans="10:13" x14ac:dyDescent="0.3">
      <c r="J41" s="54"/>
      <c r="K41" s="54"/>
      <c r="L41" s="54"/>
      <c r="M41" s="54"/>
    </row>
    <row r="42" spans="10:13" x14ac:dyDescent="0.3">
      <c r="J42" s="54"/>
      <c r="K42" s="54"/>
      <c r="L42" s="54"/>
      <c r="M42" s="54"/>
    </row>
    <row r="43" spans="10:13" x14ac:dyDescent="0.3">
      <c r="J43" s="54"/>
      <c r="K43" s="54"/>
      <c r="L43" s="54"/>
      <c r="M43" s="54"/>
    </row>
    <row r="44" spans="10:13" x14ac:dyDescent="0.3">
      <c r="J44" s="54"/>
      <c r="K44" s="54"/>
      <c r="L44" s="54"/>
      <c r="M44" s="54"/>
    </row>
    <row r="45" spans="10:13" x14ac:dyDescent="0.3">
      <c r="J45" s="54"/>
      <c r="K45" s="54"/>
      <c r="L45" s="54"/>
      <c r="M45" s="54"/>
    </row>
    <row r="46" spans="10:13" x14ac:dyDescent="0.3">
      <c r="J46" s="54"/>
      <c r="K46" s="54"/>
      <c r="L46" s="54"/>
      <c r="M46" s="54"/>
    </row>
    <row r="47" spans="10:13" x14ac:dyDescent="0.3">
      <c r="J47" s="54"/>
      <c r="K47" s="54"/>
      <c r="L47" s="54"/>
      <c r="M47" s="54"/>
    </row>
    <row r="48" spans="10:13" x14ac:dyDescent="0.3">
      <c r="J48" s="54"/>
      <c r="K48" s="54"/>
      <c r="L48" s="54"/>
      <c r="M48" s="54"/>
    </row>
    <row r="49" spans="10:13" x14ac:dyDescent="0.3">
      <c r="J49" s="54"/>
      <c r="K49" s="54"/>
      <c r="L49" s="54"/>
      <c r="M49" s="54"/>
    </row>
    <row r="50" spans="10:13" x14ac:dyDescent="0.3">
      <c r="J50" s="54"/>
      <c r="K50" s="54"/>
      <c r="L50" s="54"/>
      <c r="M50" s="54"/>
    </row>
    <row r="51" spans="10:13" x14ac:dyDescent="0.3">
      <c r="J51" s="54"/>
      <c r="K51" s="54"/>
      <c r="L51" s="54"/>
      <c r="M51" s="54"/>
    </row>
    <row r="52" spans="10:13" x14ac:dyDescent="0.3">
      <c r="J52" s="54"/>
      <c r="K52" s="54"/>
      <c r="L52" s="54"/>
      <c r="M52" s="54"/>
    </row>
    <row r="53" spans="10:13" x14ac:dyDescent="0.3">
      <c r="J53" s="54"/>
      <c r="K53" s="54"/>
      <c r="L53" s="54"/>
      <c r="M53" s="54"/>
    </row>
    <row r="54" spans="10:13" x14ac:dyDescent="0.3">
      <c r="J54" s="54"/>
      <c r="K54" s="54"/>
      <c r="L54" s="54"/>
      <c r="M54" s="54"/>
    </row>
    <row r="55" spans="10:13" x14ac:dyDescent="0.3">
      <c r="J55" s="54"/>
      <c r="K55" s="54"/>
      <c r="L55" s="54"/>
      <c r="M55" s="54"/>
    </row>
    <row r="56" spans="10:13" x14ac:dyDescent="0.3">
      <c r="J56" s="54"/>
      <c r="K56" s="54"/>
      <c r="L56" s="54"/>
      <c r="M56" s="54"/>
    </row>
    <row r="57" spans="10:13" x14ac:dyDescent="0.3">
      <c r="J57" s="54"/>
      <c r="K57" s="54"/>
      <c r="L57" s="54"/>
      <c r="M57" s="54"/>
    </row>
    <row r="58" spans="10:13" x14ac:dyDescent="0.3">
      <c r="J58" s="54"/>
      <c r="K58" s="54"/>
      <c r="L58" s="54"/>
      <c r="M58" s="54"/>
    </row>
    <row r="59" spans="10:13" x14ac:dyDescent="0.3">
      <c r="J59" s="54"/>
      <c r="K59" s="54"/>
      <c r="L59" s="54"/>
      <c r="M59" s="54"/>
    </row>
    <row r="60" spans="10:13" x14ac:dyDescent="0.3">
      <c r="J60" s="54"/>
      <c r="K60" s="54"/>
      <c r="L60" s="54"/>
      <c r="M60" s="54"/>
    </row>
    <row r="61" spans="10:13" x14ac:dyDescent="0.3">
      <c r="J61" s="54"/>
      <c r="K61" s="54"/>
      <c r="L61" s="54"/>
      <c r="M61" s="54"/>
    </row>
    <row r="62" spans="10:13" x14ac:dyDescent="0.3">
      <c r="J62" s="54"/>
      <c r="K62" s="54"/>
      <c r="L62" s="54"/>
      <c r="M62" s="54"/>
    </row>
    <row r="63" spans="10:13" x14ac:dyDescent="0.3">
      <c r="J63" s="54"/>
      <c r="K63" s="54"/>
      <c r="L63" s="54"/>
      <c r="M63" s="54"/>
    </row>
    <row r="64" spans="10:13" x14ac:dyDescent="0.3">
      <c r="J64" s="54"/>
      <c r="K64" s="54"/>
      <c r="L64" s="54"/>
      <c r="M64" s="54"/>
    </row>
    <row r="65" spans="10:13" x14ac:dyDescent="0.3">
      <c r="J65" s="54"/>
      <c r="K65" s="54"/>
      <c r="L65" s="54"/>
      <c r="M65" s="54"/>
    </row>
    <row r="66" spans="10:13" x14ac:dyDescent="0.3">
      <c r="J66" s="54"/>
      <c r="K66" s="54"/>
      <c r="L66" s="54"/>
      <c r="M66" s="54"/>
    </row>
    <row r="67" spans="10:13" x14ac:dyDescent="0.3">
      <c r="J67" s="54"/>
      <c r="K67" s="54"/>
      <c r="L67" s="54"/>
      <c r="M67" s="54"/>
    </row>
    <row r="68" spans="10:13" x14ac:dyDescent="0.3">
      <c r="J68" s="54"/>
      <c r="K68" s="54"/>
      <c r="L68" s="54"/>
      <c r="M68" s="54"/>
    </row>
    <row r="69" spans="10:13" x14ac:dyDescent="0.3">
      <c r="J69" s="54"/>
      <c r="K69" s="54"/>
      <c r="L69" s="54"/>
      <c r="M69" s="54"/>
    </row>
    <row r="70" spans="10:13" x14ac:dyDescent="0.3">
      <c r="J70" s="54"/>
      <c r="K70" s="54"/>
      <c r="L70" s="54"/>
      <c r="M70" s="54"/>
    </row>
    <row r="71" spans="10:13" x14ac:dyDescent="0.3">
      <c r="J71" s="54"/>
      <c r="K71" s="54"/>
      <c r="L71" s="54"/>
      <c r="M71" s="54"/>
    </row>
    <row r="72" spans="10:13" x14ac:dyDescent="0.3">
      <c r="J72" s="54"/>
      <c r="K72" s="54"/>
      <c r="L72" s="54"/>
      <c r="M72" s="54"/>
    </row>
    <row r="73" spans="10:13" x14ac:dyDescent="0.3">
      <c r="J73" s="54"/>
      <c r="K73" s="54"/>
      <c r="L73" s="54"/>
      <c r="M73" s="54"/>
    </row>
    <row r="74" spans="10:13" x14ac:dyDescent="0.3">
      <c r="J74" s="54"/>
      <c r="K74" s="54"/>
      <c r="L74" s="54"/>
      <c r="M74" s="54"/>
    </row>
    <row r="75" spans="10:13" x14ac:dyDescent="0.3">
      <c r="J75" s="54"/>
      <c r="K75" s="54"/>
      <c r="L75" s="54"/>
      <c r="M75" s="54"/>
    </row>
    <row r="76" spans="10:13" x14ac:dyDescent="0.3">
      <c r="J76" s="54"/>
      <c r="K76" s="54"/>
      <c r="L76" s="54"/>
      <c r="M76" s="54"/>
    </row>
    <row r="77" spans="10:13" x14ac:dyDescent="0.3">
      <c r="J77" s="54"/>
      <c r="K77" s="54"/>
      <c r="L77" s="54"/>
      <c r="M77" s="54"/>
    </row>
    <row r="78" spans="10:13" x14ac:dyDescent="0.3">
      <c r="J78" s="54"/>
      <c r="K78" s="54"/>
      <c r="L78" s="54"/>
      <c r="M78" s="54"/>
    </row>
    <row r="79" spans="10:13" x14ac:dyDescent="0.3">
      <c r="J79" s="54"/>
      <c r="K79" s="54"/>
      <c r="L79" s="54"/>
      <c r="M79" s="54"/>
    </row>
    <row r="80" spans="10:13" x14ac:dyDescent="0.3">
      <c r="J80" s="54"/>
      <c r="K80" s="54"/>
      <c r="L80" s="54"/>
      <c r="M80" s="54"/>
    </row>
    <row r="81" spans="10:13" x14ac:dyDescent="0.3">
      <c r="J81" s="54"/>
      <c r="K81" s="54"/>
      <c r="L81" s="54"/>
      <c r="M81" s="54"/>
    </row>
    <row r="82" spans="10:13" x14ac:dyDescent="0.3">
      <c r="J82" s="54"/>
      <c r="K82" s="54"/>
      <c r="L82" s="54"/>
      <c r="M82" s="54"/>
    </row>
    <row r="83" spans="10:13" x14ac:dyDescent="0.3">
      <c r="J83" s="54"/>
      <c r="K83" s="54"/>
      <c r="L83" s="54"/>
      <c r="M83" s="54"/>
    </row>
    <row r="84" spans="10:13" x14ac:dyDescent="0.3">
      <c r="J84" s="54"/>
      <c r="K84" s="54"/>
      <c r="L84" s="54"/>
      <c r="M84" s="54"/>
    </row>
    <row r="85" spans="10:13" x14ac:dyDescent="0.3">
      <c r="J85" s="54"/>
      <c r="K85" s="54"/>
      <c r="L85" s="54"/>
      <c r="M85" s="54"/>
    </row>
    <row r="86" spans="10:13" x14ac:dyDescent="0.3">
      <c r="J86" s="54"/>
      <c r="K86" s="54"/>
      <c r="L86" s="54"/>
      <c r="M86" s="54"/>
    </row>
    <row r="87" spans="10:13" x14ac:dyDescent="0.3">
      <c r="J87" s="54"/>
      <c r="K87" s="54"/>
      <c r="L87" s="54"/>
      <c r="M87" s="54"/>
    </row>
    <row r="88" spans="10:13" x14ac:dyDescent="0.3">
      <c r="J88" s="54"/>
      <c r="K88" s="54"/>
      <c r="L88" s="54"/>
      <c r="M88" s="54"/>
    </row>
    <row r="89" spans="10:13" x14ac:dyDescent="0.3">
      <c r="J89" s="54"/>
      <c r="K89" s="54"/>
      <c r="L89" s="54"/>
      <c r="M89" s="54"/>
    </row>
    <row r="90" spans="10:13" x14ac:dyDescent="0.3">
      <c r="J90" s="54"/>
      <c r="K90" s="54"/>
      <c r="L90" s="54"/>
      <c r="M90" s="54"/>
    </row>
    <row r="91" spans="10:13" x14ac:dyDescent="0.3">
      <c r="J91" s="54"/>
      <c r="K91" s="54"/>
      <c r="L91" s="54"/>
      <c r="M91" s="54"/>
    </row>
    <row r="92" spans="10:13" x14ac:dyDescent="0.3">
      <c r="J92" s="54"/>
      <c r="K92" s="54"/>
      <c r="L92" s="54"/>
      <c r="M92" s="54"/>
    </row>
    <row r="93" spans="10:13" x14ac:dyDescent="0.3">
      <c r="J93" s="54"/>
      <c r="K93" s="54"/>
      <c r="L93" s="54"/>
      <c r="M93" s="54"/>
    </row>
    <row r="94" spans="10:13" x14ac:dyDescent="0.3">
      <c r="J94" s="54"/>
      <c r="K94" s="54"/>
      <c r="L94" s="54"/>
      <c r="M94" s="54"/>
    </row>
    <row r="95" spans="10:13" x14ac:dyDescent="0.3">
      <c r="J95" s="54"/>
      <c r="K95" s="54"/>
      <c r="L95" s="54"/>
      <c r="M95" s="54"/>
    </row>
    <row r="96" spans="10:13" x14ac:dyDescent="0.3">
      <c r="J96" s="54"/>
      <c r="K96" s="54"/>
      <c r="L96" s="54"/>
      <c r="M96" s="54"/>
    </row>
    <row r="97" spans="10:13" x14ac:dyDescent="0.3">
      <c r="J97" s="54"/>
      <c r="K97" s="54"/>
      <c r="L97" s="54"/>
      <c r="M97" s="54"/>
    </row>
    <row r="98" spans="10:13" x14ac:dyDescent="0.3">
      <c r="J98" s="54"/>
      <c r="K98" s="54"/>
      <c r="L98" s="54"/>
      <c r="M98" s="54"/>
    </row>
    <row r="99" spans="10:13" x14ac:dyDescent="0.3">
      <c r="J99" s="54"/>
      <c r="K99" s="54"/>
      <c r="L99" s="54"/>
      <c r="M99" s="54"/>
    </row>
    <row r="100" spans="10:13" x14ac:dyDescent="0.3">
      <c r="J100" s="54"/>
      <c r="K100" s="54"/>
      <c r="L100" s="54"/>
      <c r="M100" s="54"/>
    </row>
    <row r="101" spans="10:13" x14ac:dyDescent="0.3">
      <c r="J101" s="54"/>
      <c r="K101" s="54"/>
      <c r="L101" s="54"/>
      <c r="M101" s="54"/>
    </row>
    <row r="102" spans="10:13" x14ac:dyDescent="0.3">
      <c r="J102" s="54"/>
      <c r="K102" s="54"/>
      <c r="L102" s="54"/>
      <c r="M102" s="54"/>
    </row>
    <row r="103" spans="10:13" x14ac:dyDescent="0.3">
      <c r="J103" s="54"/>
      <c r="K103" s="54"/>
      <c r="L103" s="54"/>
      <c r="M103" s="54"/>
    </row>
    <row r="104" spans="10:13" x14ac:dyDescent="0.3">
      <c r="J104" s="54"/>
      <c r="K104" s="54"/>
      <c r="L104" s="54"/>
      <c r="M104" s="54"/>
    </row>
    <row r="105" spans="10:13" x14ac:dyDescent="0.3">
      <c r="J105" s="54"/>
      <c r="K105" s="54"/>
      <c r="L105" s="54"/>
      <c r="M105" s="54"/>
    </row>
    <row r="106" spans="10:13" x14ac:dyDescent="0.3">
      <c r="J106" s="54"/>
      <c r="K106" s="54"/>
      <c r="L106" s="54"/>
      <c r="M106" s="54"/>
    </row>
    <row r="107" spans="10:13" x14ac:dyDescent="0.3">
      <c r="J107" s="54"/>
      <c r="K107" s="54"/>
      <c r="L107" s="54"/>
      <c r="M107" s="54"/>
    </row>
    <row r="108" spans="10:13" x14ac:dyDescent="0.3">
      <c r="J108" s="54"/>
      <c r="K108" s="54"/>
      <c r="L108" s="54"/>
      <c r="M108" s="54"/>
    </row>
    <row r="109" spans="10:13" x14ac:dyDescent="0.3">
      <c r="J109" s="54"/>
      <c r="K109" s="54"/>
      <c r="L109" s="54"/>
      <c r="M109" s="54"/>
    </row>
    <row r="110" spans="10:13" x14ac:dyDescent="0.3">
      <c r="J110" s="54"/>
      <c r="K110" s="54"/>
      <c r="L110" s="54"/>
      <c r="M110" s="54"/>
    </row>
    <row r="111" spans="10:13" x14ac:dyDescent="0.3">
      <c r="J111" s="54"/>
      <c r="K111" s="54"/>
      <c r="L111" s="54"/>
      <c r="M111" s="54"/>
    </row>
    <row r="112" spans="10:13" x14ac:dyDescent="0.3">
      <c r="J112" s="54"/>
      <c r="K112" s="54"/>
      <c r="L112" s="54"/>
      <c r="M112" s="54"/>
    </row>
    <row r="113" spans="10:13" x14ac:dyDescent="0.3">
      <c r="J113" s="54"/>
      <c r="K113" s="54"/>
      <c r="L113" s="54"/>
      <c r="M113" s="54"/>
    </row>
    <row r="114" spans="10:13" x14ac:dyDescent="0.3">
      <c r="J114" s="54"/>
      <c r="K114" s="54"/>
      <c r="L114" s="54"/>
      <c r="M114" s="54"/>
    </row>
    <row r="115" spans="10:13" x14ac:dyDescent="0.3">
      <c r="J115" s="54"/>
      <c r="K115" s="54"/>
      <c r="L115" s="54"/>
      <c r="M115" s="54"/>
    </row>
    <row r="116" spans="10:13" x14ac:dyDescent="0.3">
      <c r="J116" s="54"/>
      <c r="K116" s="54"/>
      <c r="L116" s="54"/>
      <c r="M116" s="54"/>
    </row>
    <row r="117" spans="10:13" x14ac:dyDescent="0.3">
      <c r="J117" s="54"/>
      <c r="K117" s="54"/>
      <c r="L117" s="54"/>
      <c r="M117" s="54"/>
    </row>
    <row r="118" spans="10:13" x14ac:dyDescent="0.3">
      <c r="J118" s="54"/>
      <c r="K118" s="54"/>
      <c r="L118" s="54"/>
      <c r="M118" s="54"/>
    </row>
    <row r="119" spans="10:13" x14ac:dyDescent="0.3">
      <c r="J119" s="54"/>
      <c r="K119" s="54"/>
      <c r="L119" s="54"/>
      <c r="M119" s="54"/>
    </row>
    <row r="120" spans="10:13" x14ac:dyDescent="0.3">
      <c r="J120" s="54"/>
      <c r="K120" s="54"/>
      <c r="L120" s="54"/>
      <c r="M120" s="54"/>
    </row>
    <row r="121" spans="10:13" x14ac:dyDescent="0.3">
      <c r="J121" s="54"/>
      <c r="K121" s="54"/>
      <c r="L121" s="54"/>
      <c r="M121" s="54"/>
    </row>
    <row r="122" spans="10:13" x14ac:dyDescent="0.3">
      <c r="J122" s="54"/>
      <c r="K122" s="54"/>
      <c r="L122" s="54"/>
      <c r="M122" s="54"/>
    </row>
    <row r="123" spans="10:13" x14ac:dyDescent="0.3">
      <c r="J123" s="54"/>
      <c r="K123" s="54"/>
      <c r="L123" s="54"/>
      <c r="M123" s="54"/>
    </row>
    <row r="124" spans="10:13" x14ac:dyDescent="0.3">
      <c r="J124" s="54"/>
      <c r="K124" s="54"/>
      <c r="L124" s="54"/>
      <c r="M124" s="54"/>
    </row>
    <row r="125" spans="10:13" x14ac:dyDescent="0.3">
      <c r="J125" s="54"/>
      <c r="K125" s="54"/>
      <c r="L125" s="54"/>
      <c r="M125" s="54"/>
    </row>
    <row r="126" spans="10:13" x14ac:dyDescent="0.3">
      <c r="J126" s="54"/>
      <c r="K126" s="54"/>
      <c r="L126" s="54"/>
      <c r="M126" s="54"/>
    </row>
    <row r="127" spans="10:13" x14ac:dyDescent="0.3">
      <c r="J127" s="54"/>
      <c r="K127" s="54"/>
      <c r="L127" s="54"/>
      <c r="M127" s="54"/>
    </row>
    <row r="128" spans="10:13" x14ac:dyDescent="0.3">
      <c r="J128" s="54"/>
      <c r="K128" s="54"/>
      <c r="L128" s="54"/>
      <c r="M128" s="54"/>
    </row>
    <row r="129" spans="10:13" x14ac:dyDescent="0.3">
      <c r="J129" s="54"/>
      <c r="K129" s="54"/>
      <c r="L129" s="54"/>
      <c r="M129" s="54"/>
    </row>
    <row r="130" spans="10:13" x14ac:dyDescent="0.3">
      <c r="J130" s="54"/>
      <c r="K130" s="54"/>
      <c r="L130" s="54"/>
      <c r="M130" s="54"/>
    </row>
    <row r="131" spans="10:13" x14ac:dyDescent="0.3">
      <c r="J131" s="54"/>
      <c r="K131" s="54"/>
      <c r="L131" s="54"/>
      <c r="M131" s="54"/>
    </row>
    <row r="132" spans="10:13" x14ac:dyDescent="0.3">
      <c r="J132" s="54"/>
      <c r="K132" s="54"/>
      <c r="L132" s="54"/>
      <c r="M132" s="54"/>
    </row>
    <row r="133" spans="10:13" x14ac:dyDescent="0.3">
      <c r="J133" s="54"/>
      <c r="K133" s="54"/>
      <c r="L133" s="54"/>
      <c r="M133" s="54"/>
    </row>
    <row r="134" spans="10:13" x14ac:dyDescent="0.3">
      <c r="J134" s="54"/>
      <c r="K134" s="54"/>
      <c r="L134" s="54"/>
      <c r="M134" s="54"/>
    </row>
    <row r="135" spans="10:13" x14ac:dyDescent="0.3">
      <c r="J135" s="54"/>
      <c r="K135" s="54"/>
      <c r="L135" s="54"/>
      <c r="M135" s="54"/>
    </row>
    <row r="136" spans="10:13" x14ac:dyDescent="0.3">
      <c r="J136" s="54"/>
      <c r="K136" s="54"/>
      <c r="L136" s="54"/>
      <c r="M136" s="54"/>
    </row>
    <row r="137" spans="10:13" x14ac:dyDescent="0.3">
      <c r="J137" s="54"/>
      <c r="K137" s="54"/>
      <c r="L137" s="54"/>
      <c r="M137" s="54"/>
    </row>
    <row r="138" spans="10:13" x14ac:dyDescent="0.3">
      <c r="J138" s="54"/>
      <c r="K138" s="54"/>
      <c r="L138" s="54"/>
      <c r="M138" s="54"/>
    </row>
    <row r="139" spans="10:13" x14ac:dyDescent="0.3">
      <c r="J139" s="54"/>
      <c r="K139" s="54"/>
      <c r="L139" s="54"/>
      <c r="M139" s="54"/>
    </row>
    <row r="140" spans="10:13" x14ac:dyDescent="0.3">
      <c r="J140" s="54"/>
      <c r="K140" s="54"/>
      <c r="L140" s="54"/>
      <c r="M140" s="54"/>
    </row>
    <row r="141" spans="10:13" x14ac:dyDescent="0.3">
      <c r="J141" s="54"/>
      <c r="K141" s="54"/>
      <c r="L141" s="54"/>
      <c r="M141" s="54"/>
    </row>
    <row r="142" spans="10:13" x14ac:dyDescent="0.3">
      <c r="J142" s="54"/>
      <c r="K142" s="54"/>
      <c r="L142" s="54"/>
      <c r="M142" s="54"/>
    </row>
    <row r="143" spans="10:13" x14ac:dyDescent="0.3">
      <c r="J143" s="54"/>
      <c r="K143" s="54"/>
      <c r="L143" s="54"/>
      <c r="M143" s="54"/>
    </row>
    <row r="144" spans="10:13" x14ac:dyDescent="0.3">
      <c r="J144" s="54"/>
      <c r="K144" s="54"/>
      <c r="L144" s="54"/>
      <c r="M144" s="54"/>
    </row>
    <row r="145" spans="10:13" x14ac:dyDescent="0.3">
      <c r="J145" s="54"/>
      <c r="K145" s="54"/>
      <c r="L145" s="54"/>
      <c r="M145" s="54"/>
    </row>
    <row r="146" spans="10:13" x14ac:dyDescent="0.3">
      <c r="J146" s="54"/>
      <c r="K146" s="54"/>
      <c r="L146" s="54"/>
      <c r="M146" s="54"/>
    </row>
    <row r="147" spans="10:13" x14ac:dyDescent="0.3">
      <c r="J147" s="54"/>
      <c r="K147" s="54"/>
      <c r="L147" s="54"/>
      <c r="M147" s="54"/>
    </row>
    <row r="148" spans="10:13" x14ac:dyDescent="0.3">
      <c r="J148" s="54"/>
      <c r="K148" s="54"/>
      <c r="L148" s="54"/>
      <c r="M148" s="54"/>
    </row>
    <row r="149" spans="10:13" x14ac:dyDescent="0.3">
      <c r="J149" s="54"/>
      <c r="K149" s="54"/>
      <c r="L149" s="54"/>
      <c r="M149" s="54"/>
    </row>
    <row r="150" spans="10:13" x14ac:dyDescent="0.3">
      <c r="J150" s="54"/>
      <c r="K150" s="54"/>
      <c r="L150" s="54"/>
      <c r="M150" s="54"/>
    </row>
    <row r="151" spans="10:13" x14ac:dyDescent="0.3">
      <c r="J151" s="54"/>
      <c r="K151" s="54"/>
      <c r="L151" s="54"/>
      <c r="M151" s="54"/>
    </row>
    <row r="152" spans="10:13" x14ac:dyDescent="0.3">
      <c r="J152" s="54"/>
      <c r="K152" s="54"/>
      <c r="L152" s="54"/>
      <c r="M152" s="54"/>
    </row>
    <row r="153" spans="10:13" x14ac:dyDescent="0.3">
      <c r="J153" s="54"/>
      <c r="K153" s="54"/>
      <c r="L153" s="54"/>
      <c r="M153" s="54"/>
    </row>
    <row r="154" spans="10:13" x14ac:dyDescent="0.3">
      <c r="J154" s="54"/>
      <c r="K154" s="54"/>
      <c r="L154" s="54"/>
      <c r="M154" s="54"/>
    </row>
    <row r="155" spans="10:13" x14ac:dyDescent="0.3">
      <c r="J155" s="54"/>
      <c r="K155" s="54"/>
      <c r="L155" s="54"/>
      <c r="M155" s="54"/>
    </row>
    <row r="156" spans="10:13" x14ac:dyDescent="0.3">
      <c r="J156" s="54"/>
      <c r="K156" s="54"/>
      <c r="L156" s="54"/>
      <c r="M156" s="54"/>
    </row>
    <row r="157" spans="10:13" x14ac:dyDescent="0.3">
      <c r="J157" s="54"/>
      <c r="K157" s="54"/>
      <c r="L157" s="54"/>
      <c r="M157" s="54"/>
    </row>
    <row r="158" spans="10:13" x14ac:dyDescent="0.3">
      <c r="J158" s="54"/>
      <c r="K158" s="54"/>
      <c r="L158" s="54"/>
      <c r="M158" s="54"/>
    </row>
    <row r="159" spans="10:13" x14ac:dyDescent="0.3">
      <c r="J159" s="54"/>
      <c r="K159" s="54"/>
      <c r="L159" s="54"/>
      <c r="M159" s="54"/>
    </row>
    <row r="160" spans="10:13" x14ac:dyDescent="0.3">
      <c r="J160" s="54"/>
      <c r="K160" s="54"/>
      <c r="L160" s="54"/>
      <c r="M160" s="54"/>
    </row>
    <row r="161" spans="10:13" x14ac:dyDescent="0.3">
      <c r="J161" s="54"/>
      <c r="K161" s="54"/>
      <c r="L161" s="54"/>
      <c r="M161" s="54"/>
    </row>
    <row r="162" spans="10:13" x14ac:dyDescent="0.3">
      <c r="J162" s="54"/>
      <c r="K162" s="54"/>
      <c r="L162" s="54"/>
      <c r="M162" s="54"/>
    </row>
    <row r="163" spans="10:13" x14ac:dyDescent="0.3">
      <c r="J163" s="54"/>
      <c r="K163" s="54"/>
      <c r="L163" s="54"/>
      <c r="M163" s="54"/>
    </row>
    <row r="164" spans="10:13" x14ac:dyDescent="0.3">
      <c r="J164" s="54"/>
      <c r="K164" s="54"/>
      <c r="L164" s="54"/>
      <c r="M164" s="54"/>
    </row>
    <row r="165" spans="10:13" x14ac:dyDescent="0.3">
      <c r="J165" s="54"/>
      <c r="K165" s="54"/>
      <c r="L165" s="54"/>
      <c r="M165" s="54"/>
    </row>
    <row r="166" spans="10:13" x14ac:dyDescent="0.3">
      <c r="J166" s="54"/>
      <c r="K166" s="54"/>
      <c r="L166" s="54"/>
      <c r="M166" s="54"/>
    </row>
    <row r="167" spans="10:13" x14ac:dyDescent="0.3">
      <c r="J167" s="54"/>
      <c r="K167" s="54"/>
      <c r="L167" s="54"/>
      <c r="M167" s="54"/>
    </row>
    <row r="168" spans="10:13" x14ac:dyDescent="0.3">
      <c r="J168" s="54"/>
      <c r="K168" s="54"/>
      <c r="L168" s="54"/>
      <c r="M168" s="54"/>
    </row>
    <row r="169" spans="10:13" x14ac:dyDescent="0.3">
      <c r="J169" s="54"/>
      <c r="K169" s="54"/>
      <c r="L169" s="54"/>
      <c r="M169" s="54"/>
    </row>
    <row r="170" spans="10:13" x14ac:dyDescent="0.3">
      <c r="J170" s="54"/>
      <c r="K170" s="54"/>
      <c r="L170" s="54"/>
      <c r="M170" s="54"/>
    </row>
    <row r="171" spans="10:13" x14ac:dyDescent="0.3">
      <c r="J171" s="54"/>
      <c r="K171" s="54"/>
      <c r="L171" s="54"/>
      <c r="M171" s="54"/>
    </row>
    <row r="172" spans="10:13" x14ac:dyDescent="0.3">
      <c r="J172" s="54"/>
      <c r="K172" s="54"/>
      <c r="L172" s="54"/>
      <c r="M172" s="54"/>
    </row>
    <row r="173" spans="10:13" x14ac:dyDescent="0.3">
      <c r="J173" s="54"/>
      <c r="K173" s="54"/>
      <c r="L173" s="54"/>
      <c r="M173" s="54"/>
    </row>
    <row r="174" spans="10:13" x14ac:dyDescent="0.3">
      <c r="J174" s="54"/>
      <c r="K174" s="54"/>
      <c r="L174" s="54"/>
      <c r="M174" s="54"/>
    </row>
    <row r="175" spans="10:13" x14ac:dyDescent="0.3">
      <c r="J175" s="54"/>
      <c r="K175" s="54"/>
      <c r="L175" s="54"/>
      <c r="M175" s="54"/>
    </row>
    <row r="176" spans="10:13" x14ac:dyDescent="0.3">
      <c r="J176" s="54"/>
      <c r="K176" s="54"/>
      <c r="L176" s="54"/>
      <c r="M176" s="54"/>
    </row>
    <row r="177" spans="10:13" x14ac:dyDescent="0.3">
      <c r="J177" s="54"/>
      <c r="K177" s="54"/>
      <c r="L177" s="54"/>
      <c r="M177" s="54"/>
    </row>
    <row r="178" spans="10:13" x14ac:dyDescent="0.3">
      <c r="J178" s="54"/>
      <c r="K178" s="54"/>
      <c r="L178" s="54"/>
      <c r="M178" s="54"/>
    </row>
    <row r="179" spans="10:13" x14ac:dyDescent="0.3">
      <c r="J179" s="54"/>
      <c r="K179" s="54"/>
      <c r="L179" s="54"/>
      <c r="M179" s="54"/>
    </row>
    <row r="180" spans="10:13" x14ac:dyDescent="0.3">
      <c r="J180" s="54"/>
      <c r="K180" s="54"/>
      <c r="L180" s="54"/>
      <c r="M180" s="54"/>
    </row>
    <row r="181" spans="10:13" x14ac:dyDescent="0.3">
      <c r="J181" s="54"/>
      <c r="K181" s="54"/>
      <c r="L181" s="54"/>
      <c r="M181" s="54"/>
    </row>
    <row r="182" spans="10:13" x14ac:dyDescent="0.3">
      <c r="J182" s="54"/>
      <c r="K182" s="54"/>
      <c r="L182" s="54"/>
      <c r="M182" s="54"/>
    </row>
    <row r="183" spans="10:13" x14ac:dyDescent="0.3">
      <c r="J183" s="54"/>
      <c r="K183" s="54"/>
      <c r="L183" s="54"/>
      <c r="M183" s="54"/>
    </row>
    <row r="184" spans="10:13" x14ac:dyDescent="0.3">
      <c r="J184" s="54"/>
      <c r="K184" s="54"/>
      <c r="L184" s="54"/>
      <c r="M184" s="54"/>
    </row>
    <row r="185" spans="10:13" x14ac:dyDescent="0.3">
      <c r="J185" s="54"/>
      <c r="K185" s="54"/>
      <c r="L185" s="54"/>
      <c r="M185" s="54"/>
    </row>
    <row r="186" spans="10:13" x14ac:dyDescent="0.3">
      <c r="J186" s="54"/>
      <c r="K186" s="54"/>
      <c r="L186" s="54"/>
      <c r="M186" s="54"/>
    </row>
    <row r="187" spans="10:13" x14ac:dyDescent="0.3">
      <c r="J187" s="54"/>
      <c r="K187" s="54"/>
      <c r="L187" s="54"/>
      <c r="M187" s="54"/>
    </row>
    <row r="188" spans="10:13" x14ac:dyDescent="0.3">
      <c r="J188" s="54"/>
      <c r="K188" s="54"/>
      <c r="L188" s="54"/>
      <c r="M188" s="54"/>
    </row>
    <row r="189" spans="10:13" x14ac:dyDescent="0.3">
      <c r="J189" s="54"/>
      <c r="K189" s="54"/>
      <c r="L189" s="54"/>
      <c r="M189" s="54"/>
    </row>
    <row r="190" spans="10:13" x14ac:dyDescent="0.3">
      <c r="J190" s="54"/>
      <c r="K190" s="54"/>
      <c r="L190" s="54"/>
      <c r="M190" s="54"/>
    </row>
    <row r="191" spans="10:13" x14ac:dyDescent="0.3">
      <c r="J191" s="54"/>
      <c r="K191" s="54"/>
      <c r="L191" s="54"/>
      <c r="M191" s="54"/>
    </row>
    <row r="192" spans="10:13" x14ac:dyDescent="0.3">
      <c r="J192" s="54"/>
      <c r="K192" s="54"/>
      <c r="L192" s="54"/>
      <c r="M192" s="54"/>
    </row>
    <row r="193" spans="10:13" x14ac:dyDescent="0.3">
      <c r="J193" s="54"/>
      <c r="K193" s="54"/>
      <c r="L193" s="54"/>
      <c r="M193" s="54"/>
    </row>
    <row r="194" spans="10:13" x14ac:dyDescent="0.3">
      <c r="J194" s="54"/>
      <c r="K194" s="54"/>
      <c r="L194" s="54"/>
      <c r="M194" s="54"/>
    </row>
    <row r="195" spans="10:13" x14ac:dyDescent="0.3">
      <c r="J195" s="54"/>
      <c r="K195" s="54"/>
      <c r="L195" s="54"/>
      <c r="M195" s="54"/>
    </row>
    <row r="196" spans="10:13" x14ac:dyDescent="0.3">
      <c r="J196" s="54"/>
      <c r="K196" s="54"/>
      <c r="L196" s="54"/>
      <c r="M196" s="54"/>
    </row>
    <row r="197" spans="10:13" x14ac:dyDescent="0.3">
      <c r="J197" s="54"/>
      <c r="K197" s="54"/>
      <c r="L197" s="54"/>
      <c r="M197" s="54"/>
    </row>
    <row r="198" spans="10:13" x14ac:dyDescent="0.3">
      <c r="J198" s="54"/>
      <c r="K198" s="54"/>
      <c r="L198" s="54"/>
      <c r="M198" s="54"/>
    </row>
    <row r="199" spans="10:13" x14ac:dyDescent="0.3">
      <c r="J199" s="54"/>
      <c r="K199" s="54"/>
      <c r="L199" s="54"/>
      <c r="M199" s="54"/>
    </row>
    <row r="200" spans="10:13" x14ac:dyDescent="0.3">
      <c r="J200" s="54"/>
      <c r="K200" s="54"/>
      <c r="L200" s="54"/>
      <c r="M200" s="54"/>
    </row>
    <row r="201" spans="10:13" x14ac:dyDescent="0.3">
      <c r="J201" s="54"/>
      <c r="K201" s="54"/>
      <c r="L201" s="54"/>
      <c r="M201" s="54"/>
    </row>
    <row r="202" spans="10:13" x14ac:dyDescent="0.3">
      <c r="J202" s="54"/>
      <c r="K202" s="54"/>
      <c r="L202" s="54"/>
      <c r="M202" s="54"/>
    </row>
    <row r="203" spans="10:13" x14ac:dyDescent="0.3">
      <c r="J203" s="54"/>
      <c r="K203" s="54"/>
      <c r="L203" s="54"/>
      <c r="M203" s="54"/>
    </row>
    <row r="204" spans="10:13" x14ac:dyDescent="0.3">
      <c r="J204" s="54"/>
      <c r="K204" s="54"/>
      <c r="L204" s="54"/>
      <c r="M204" s="54"/>
    </row>
    <row r="205" spans="10:13" x14ac:dyDescent="0.3">
      <c r="J205" s="54"/>
      <c r="K205" s="54"/>
      <c r="L205" s="54"/>
      <c r="M205" s="54"/>
    </row>
    <row r="206" spans="10:13" x14ac:dyDescent="0.3">
      <c r="J206" s="54"/>
      <c r="K206" s="54"/>
      <c r="L206" s="54"/>
      <c r="M206" s="54"/>
    </row>
    <row r="207" spans="10:13" x14ac:dyDescent="0.3">
      <c r="J207" s="54"/>
      <c r="K207" s="54"/>
      <c r="L207" s="54"/>
      <c r="M207" s="54"/>
    </row>
    <row r="208" spans="10:13" x14ac:dyDescent="0.3">
      <c r="J208" s="54"/>
      <c r="K208" s="54"/>
      <c r="L208" s="54"/>
      <c r="M208" s="54"/>
    </row>
    <row r="209" spans="10:13" x14ac:dyDescent="0.3">
      <c r="J209" s="54"/>
      <c r="K209" s="54"/>
      <c r="L209" s="54"/>
      <c r="M209" s="54"/>
    </row>
    <row r="210" spans="10:13" x14ac:dyDescent="0.3">
      <c r="J210" s="54"/>
      <c r="K210" s="54"/>
      <c r="L210" s="54"/>
      <c r="M210" s="54"/>
    </row>
    <row r="211" spans="10:13" x14ac:dyDescent="0.3">
      <c r="J211" s="54"/>
      <c r="K211" s="54"/>
      <c r="L211" s="54"/>
      <c r="M211" s="54"/>
    </row>
    <row r="212" spans="10:13" x14ac:dyDescent="0.3">
      <c r="J212" s="54"/>
      <c r="K212" s="54"/>
      <c r="L212" s="54"/>
      <c r="M212" s="54"/>
    </row>
    <row r="213" spans="10:13" x14ac:dyDescent="0.3">
      <c r="J213" s="54"/>
      <c r="K213" s="54"/>
      <c r="L213" s="54"/>
      <c r="M213" s="54"/>
    </row>
    <row r="214" spans="10:13" x14ac:dyDescent="0.3">
      <c r="J214" s="54"/>
      <c r="K214" s="54"/>
      <c r="L214" s="54"/>
      <c r="M214" s="54"/>
    </row>
    <row r="215" spans="10:13" x14ac:dyDescent="0.3">
      <c r="J215" s="54"/>
      <c r="K215" s="54"/>
      <c r="L215" s="54"/>
      <c r="M215" s="54"/>
    </row>
    <row r="216" spans="10:13" x14ac:dyDescent="0.3">
      <c r="J216" s="54"/>
      <c r="K216" s="54"/>
      <c r="L216" s="54"/>
      <c r="M216" s="54"/>
    </row>
    <row r="217" spans="10:13" x14ac:dyDescent="0.3">
      <c r="J217" s="54"/>
      <c r="K217" s="54"/>
      <c r="L217" s="54"/>
      <c r="M217" s="54"/>
    </row>
    <row r="218" spans="10:13" x14ac:dyDescent="0.3">
      <c r="J218" s="54"/>
      <c r="K218" s="54"/>
      <c r="L218" s="54"/>
      <c r="M218" s="54"/>
    </row>
    <row r="219" spans="10:13" x14ac:dyDescent="0.3">
      <c r="J219" s="54"/>
      <c r="K219" s="54"/>
      <c r="L219" s="54"/>
      <c r="M219" s="54"/>
    </row>
    <row r="220" spans="10:13" x14ac:dyDescent="0.3">
      <c r="J220" s="54"/>
      <c r="K220" s="54"/>
      <c r="L220" s="54"/>
      <c r="M220" s="54"/>
    </row>
    <row r="221" spans="10:13" x14ac:dyDescent="0.3">
      <c r="J221" s="54"/>
      <c r="K221" s="54"/>
      <c r="L221" s="54"/>
      <c r="M221" s="54"/>
    </row>
    <row r="222" spans="10:13" x14ac:dyDescent="0.3">
      <c r="J222" s="54"/>
      <c r="K222" s="54"/>
      <c r="L222" s="54"/>
      <c r="M222" s="54"/>
    </row>
    <row r="223" spans="10:13" x14ac:dyDescent="0.3">
      <c r="J223" s="54"/>
      <c r="K223" s="54"/>
      <c r="L223" s="54"/>
      <c r="M223" s="54"/>
    </row>
    <row r="224" spans="10:13" x14ac:dyDescent="0.3">
      <c r="J224" s="54"/>
      <c r="K224" s="54"/>
      <c r="L224" s="54"/>
      <c r="M224" s="54"/>
    </row>
    <row r="225" spans="10:13" x14ac:dyDescent="0.3">
      <c r="J225" s="54"/>
      <c r="K225" s="54"/>
      <c r="L225" s="54"/>
      <c r="M225" s="54"/>
    </row>
    <row r="226" spans="10:13" x14ac:dyDescent="0.3">
      <c r="J226" s="54"/>
      <c r="K226" s="54"/>
      <c r="L226" s="54"/>
      <c r="M226" s="54"/>
    </row>
    <row r="227" spans="10:13" x14ac:dyDescent="0.3">
      <c r="J227" s="54"/>
      <c r="K227" s="54"/>
      <c r="L227" s="54"/>
      <c r="M227" s="54"/>
    </row>
    <row r="228" spans="10:13" x14ac:dyDescent="0.3">
      <c r="J228" s="54"/>
      <c r="K228" s="54"/>
      <c r="L228" s="54"/>
      <c r="M228" s="54"/>
    </row>
    <row r="229" spans="10:13" x14ac:dyDescent="0.3">
      <c r="J229" s="54"/>
      <c r="K229" s="54"/>
      <c r="L229" s="54"/>
      <c r="M229" s="54"/>
    </row>
    <row r="230" spans="10:13" x14ac:dyDescent="0.3">
      <c r="J230" s="54"/>
      <c r="K230" s="54"/>
      <c r="L230" s="54"/>
      <c r="M230" s="54"/>
    </row>
    <row r="231" spans="10:13" x14ac:dyDescent="0.3">
      <c r="J231" s="54"/>
      <c r="K231" s="54"/>
      <c r="L231" s="54"/>
      <c r="M231" s="54"/>
    </row>
    <row r="232" spans="10:13" x14ac:dyDescent="0.3">
      <c r="J232" s="54"/>
      <c r="K232" s="54"/>
      <c r="L232" s="54"/>
      <c r="M232" s="54"/>
    </row>
    <row r="233" spans="10:13" x14ac:dyDescent="0.3">
      <c r="J233" s="54"/>
      <c r="K233" s="54"/>
      <c r="L233" s="54"/>
      <c r="M233" s="54"/>
    </row>
    <row r="234" spans="10:13" x14ac:dyDescent="0.3">
      <c r="J234" s="54"/>
      <c r="K234" s="54"/>
      <c r="L234" s="54"/>
      <c r="M234" s="54"/>
    </row>
    <row r="235" spans="10:13" x14ac:dyDescent="0.3">
      <c r="J235" s="54"/>
      <c r="K235" s="54"/>
      <c r="L235" s="54"/>
      <c r="M235" s="54"/>
    </row>
    <row r="236" spans="10:13" x14ac:dyDescent="0.3">
      <c r="J236" s="54"/>
      <c r="K236" s="54"/>
      <c r="L236" s="54"/>
      <c r="M236" s="54"/>
    </row>
    <row r="237" spans="10:13" x14ac:dyDescent="0.3">
      <c r="J237" s="54"/>
      <c r="K237" s="54"/>
      <c r="L237" s="54"/>
      <c r="M237" s="54"/>
    </row>
    <row r="238" spans="10:13" x14ac:dyDescent="0.3">
      <c r="J238" s="54"/>
      <c r="K238" s="54"/>
      <c r="L238" s="54"/>
      <c r="M238" s="54"/>
    </row>
    <row r="239" spans="10:13" x14ac:dyDescent="0.3">
      <c r="J239" s="54"/>
      <c r="K239" s="54"/>
      <c r="L239" s="54"/>
      <c r="M239" s="54"/>
    </row>
    <row r="240" spans="10:13" x14ac:dyDescent="0.3">
      <c r="J240" s="54"/>
      <c r="K240" s="54"/>
      <c r="L240" s="54"/>
      <c r="M240" s="54"/>
    </row>
    <row r="241" spans="10:13" x14ac:dyDescent="0.3">
      <c r="J241" s="54"/>
      <c r="K241" s="54"/>
      <c r="L241" s="54"/>
      <c r="M241" s="54"/>
    </row>
    <row r="242" spans="10:13" x14ac:dyDescent="0.3">
      <c r="J242" s="54"/>
      <c r="K242" s="54"/>
      <c r="L242" s="54"/>
      <c r="M242" s="54"/>
    </row>
    <row r="243" spans="10:13" x14ac:dyDescent="0.3">
      <c r="J243" s="54"/>
      <c r="K243" s="54"/>
      <c r="L243" s="54"/>
      <c r="M243" s="54"/>
    </row>
    <row r="244" spans="10:13" x14ac:dyDescent="0.3">
      <c r="J244" s="54"/>
      <c r="K244" s="54"/>
      <c r="L244" s="54"/>
      <c r="M244" s="54"/>
    </row>
    <row r="245" spans="10:13" x14ac:dyDescent="0.3">
      <c r="J245" s="54"/>
      <c r="K245" s="54"/>
      <c r="L245" s="54"/>
      <c r="M245" s="54"/>
    </row>
    <row r="246" spans="10:13" x14ac:dyDescent="0.3">
      <c r="J246" s="54"/>
      <c r="K246" s="54"/>
      <c r="L246" s="54"/>
      <c r="M246" s="54"/>
    </row>
    <row r="247" spans="10:13" x14ac:dyDescent="0.3">
      <c r="J247" s="54"/>
      <c r="K247" s="54"/>
      <c r="L247" s="54"/>
      <c r="M247" s="54"/>
    </row>
    <row r="248" spans="10:13" x14ac:dyDescent="0.3">
      <c r="J248" s="54"/>
      <c r="K248" s="54"/>
      <c r="L248" s="54"/>
      <c r="M248" s="54"/>
    </row>
    <row r="249" spans="10:13" x14ac:dyDescent="0.3">
      <c r="J249" s="54"/>
      <c r="K249" s="54"/>
      <c r="L249" s="54"/>
      <c r="M249" s="54"/>
    </row>
    <row r="250" spans="10:13" x14ac:dyDescent="0.3">
      <c r="J250" s="54"/>
      <c r="K250" s="54"/>
      <c r="L250" s="54"/>
      <c r="M250" s="54"/>
    </row>
    <row r="251" spans="10:13" x14ac:dyDescent="0.3">
      <c r="J251" s="54"/>
      <c r="K251" s="54"/>
      <c r="L251" s="54"/>
      <c r="M251" s="54"/>
    </row>
    <row r="252" spans="10:13" x14ac:dyDescent="0.3">
      <c r="J252" s="54"/>
      <c r="K252" s="54"/>
      <c r="L252" s="54"/>
      <c r="M252" s="54"/>
    </row>
    <row r="253" spans="10:13" x14ac:dyDescent="0.3">
      <c r="J253" s="27"/>
      <c r="K253" s="27"/>
      <c r="L253" s="27"/>
      <c r="M253" s="27"/>
    </row>
    <row r="254" spans="10:13" x14ac:dyDescent="0.3">
      <c r="J254" s="27"/>
      <c r="K254" s="27"/>
      <c r="L254" s="27"/>
      <c r="M254" s="27"/>
    </row>
    <row r="255" spans="10:13" x14ac:dyDescent="0.3">
      <c r="J255" s="27"/>
      <c r="K255" s="27"/>
      <c r="L255" s="27"/>
      <c r="M255" s="27"/>
    </row>
    <row r="256" spans="10:13" x14ac:dyDescent="0.3">
      <c r="J256" s="27"/>
      <c r="K256" s="27"/>
      <c r="L256" s="27"/>
      <c r="M256" s="27"/>
    </row>
    <row r="257" spans="10:13" x14ac:dyDescent="0.3">
      <c r="J257" s="27"/>
      <c r="K257" s="27"/>
      <c r="L257" s="27"/>
      <c r="M257" s="27"/>
    </row>
    <row r="258" spans="10:13" x14ac:dyDescent="0.3">
      <c r="J258" s="27"/>
      <c r="K258" s="27"/>
      <c r="L258" s="27"/>
      <c r="M258" s="27"/>
    </row>
    <row r="259" spans="10:13" x14ac:dyDescent="0.3">
      <c r="J259" s="27"/>
      <c r="K259" s="27"/>
      <c r="L259" s="27"/>
      <c r="M259" s="27"/>
    </row>
    <row r="260" spans="10:13" x14ac:dyDescent="0.3">
      <c r="J260" s="27"/>
      <c r="K260" s="27"/>
      <c r="L260" s="27"/>
      <c r="M260" s="27"/>
    </row>
    <row r="261" spans="10:13" x14ac:dyDescent="0.3">
      <c r="J261" s="27"/>
      <c r="K261" s="27"/>
      <c r="L261" s="27"/>
      <c r="M261" s="27"/>
    </row>
    <row r="262" spans="10:13" x14ac:dyDescent="0.3">
      <c r="J262" s="27"/>
      <c r="K262" s="27"/>
      <c r="L262" s="27"/>
      <c r="M262" s="27"/>
    </row>
    <row r="263" spans="10:13" x14ac:dyDescent="0.3">
      <c r="J263" s="27"/>
      <c r="K263" s="27"/>
      <c r="L263" s="27"/>
      <c r="M263" s="27"/>
    </row>
    <row r="264" spans="10:13" x14ac:dyDescent="0.3">
      <c r="J264" s="27"/>
      <c r="K264" s="27"/>
      <c r="L264" s="27"/>
      <c r="M264" s="27"/>
    </row>
    <row r="265" spans="10:13" x14ac:dyDescent="0.3">
      <c r="J265" s="27"/>
      <c r="K265" s="27"/>
      <c r="L265" s="27"/>
      <c r="M265" s="27"/>
    </row>
    <row r="266" spans="10:13" x14ac:dyDescent="0.3">
      <c r="J266" s="27"/>
      <c r="K266" s="27"/>
      <c r="L266" s="27"/>
      <c r="M266" s="27"/>
    </row>
    <row r="267" spans="10:13" x14ac:dyDescent="0.3">
      <c r="J267" s="27"/>
      <c r="K267" s="27"/>
      <c r="L267" s="27"/>
      <c r="M267" s="27"/>
    </row>
    <row r="268" spans="10:13" x14ac:dyDescent="0.3">
      <c r="J268" s="27"/>
      <c r="K268" s="27"/>
      <c r="L268" s="27"/>
      <c r="M268" s="27"/>
    </row>
    <row r="269" spans="10:13" x14ac:dyDescent="0.3">
      <c r="J269" s="27"/>
      <c r="K269" s="27"/>
      <c r="L269" s="27"/>
      <c r="M269" s="27"/>
    </row>
    <row r="270" spans="10:13" x14ac:dyDescent="0.3">
      <c r="J270" s="27"/>
      <c r="K270" s="27"/>
      <c r="L270" s="27"/>
      <c r="M270" s="27"/>
    </row>
    <row r="271" spans="10:13" x14ac:dyDescent="0.3">
      <c r="J271" s="27"/>
      <c r="K271" s="27"/>
      <c r="L271" s="27"/>
      <c r="M271" s="27"/>
    </row>
    <row r="272" spans="10:13" x14ac:dyDescent="0.3">
      <c r="J272" s="27"/>
      <c r="K272" s="27"/>
      <c r="L272" s="27"/>
      <c r="M272" s="27"/>
    </row>
    <row r="273" spans="10:13" x14ac:dyDescent="0.3">
      <c r="J273" s="27"/>
      <c r="K273" s="27"/>
      <c r="L273" s="27"/>
      <c r="M273" s="27"/>
    </row>
    <row r="274" spans="10:13" x14ac:dyDescent="0.3">
      <c r="J274" s="27"/>
      <c r="K274" s="27"/>
      <c r="L274" s="27"/>
      <c r="M274" s="27"/>
    </row>
    <row r="275" spans="10:13" x14ac:dyDescent="0.3">
      <c r="J275" s="27"/>
      <c r="K275" s="27"/>
      <c r="L275" s="27"/>
      <c r="M275" s="27"/>
    </row>
    <row r="276" spans="10:13" x14ac:dyDescent="0.3">
      <c r="J276" s="27"/>
      <c r="K276" s="27"/>
      <c r="L276" s="27"/>
      <c r="M276" s="27"/>
    </row>
    <row r="277" spans="10:13" x14ac:dyDescent="0.3">
      <c r="J277" s="27"/>
      <c r="K277" s="27"/>
      <c r="L277" s="27"/>
      <c r="M277" s="27"/>
    </row>
    <row r="278" spans="10:13" x14ac:dyDescent="0.3">
      <c r="J278" s="27"/>
      <c r="K278" s="27"/>
      <c r="L278" s="27"/>
      <c r="M278" s="27"/>
    </row>
    <row r="279" spans="10:13" x14ac:dyDescent="0.3">
      <c r="J279" s="27"/>
      <c r="K279" s="27"/>
      <c r="L279" s="27"/>
      <c r="M279" s="27"/>
    </row>
    <row r="280" spans="10:13" x14ac:dyDescent="0.3">
      <c r="J280" s="27"/>
      <c r="K280" s="27"/>
      <c r="L280" s="27"/>
      <c r="M280" s="27"/>
    </row>
    <row r="281" spans="10:13" x14ac:dyDescent="0.3">
      <c r="J281" s="27"/>
      <c r="K281" s="27"/>
      <c r="L281" s="27"/>
      <c r="M281" s="27"/>
    </row>
    <row r="282" spans="10:13" x14ac:dyDescent="0.3">
      <c r="J282" s="27"/>
      <c r="K282" s="27"/>
      <c r="L282" s="27"/>
      <c r="M282" s="27"/>
    </row>
    <row r="283" spans="10:13" x14ac:dyDescent="0.3">
      <c r="J283" s="27"/>
      <c r="K283" s="27"/>
      <c r="L283" s="27"/>
      <c r="M283" s="27"/>
    </row>
    <row r="284" spans="10:13" x14ac:dyDescent="0.3">
      <c r="J284" s="27"/>
      <c r="K284" s="27"/>
      <c r="L284" s="27"/>
      <c r="M284" s="27"/>
    </row>
    <row r="285" spans="10:13" x14ac:dyDescent="0.3">
      <c r="J285" s="27"/>
      <c r="K285" s="27"/>
      <c r="L285" s="27"/>
      <c r="M285" s="27"/>
    </row>
    <row r="286" spans="10:13" x14ac:dyDescent="0.3">
      <c r="J286" s="27"/>
      <c r="K286" s="27"/>
      <c r="L286" s="27"/>
      <c r="M286" s="27"/>
    </row>
    <row r="287" spans="10:13" x14ac:dyDescent="0.3">
      <c r="J287" s="27"/>
      <c r="K287" s="27"/>
      <c r="L287" s="27"/>
      <c r="M287" s="27"/>
    </row>
    <row r="288" spans="10:13" x14ac:dyDescent="0.3">
      <c r="J288" s="27"/>
      <c r="K288" s="27"/>
      <c r="L288" s="27"/>
      <c r="M288" s="27"/>
    </row>
    <row r="289" spans="10:13" x14ac:dyDescent="0.3">
      <c r="J289" s="27"/>
      <c r="K289" s="27"/>
      <c r="L289" s="27"/>
      <c r="M289" s="27"/>
    </row>
    <row r="290" spans="10:13" x14ac:dyDescent="0.3">
      <c r="J290" s="27"/>
      <c r="K290" s="27"/>
      <c r="L290" s="27"/>
      <c r="M290" s="27"/>
    </row>
    <row r="291" spans="10:13" x14ac:dyDescent="0.3">
      <c r="J291" s="27"/>
      <c r="K291" s="27"/>
      <c r="L291" s="27"/>
      <c r="M291" s="27"/>
    </row>
    <row r="292" spans="10:13" x14ac:dyDescent="0.3">
      <c r="J292" s="27"/>
      <c r="K292" s="27"/>
      <c r="L292" s="27"/>
      <c r="M292" s="27"/>
    </row>
    <row r="293" spans="10:13" x14ac:dyDescent="0.3">
      <c r="J293" s="27"/>
      <c r="K293" s="27"/>
      <c r="L293" s="27"/>
      <c r="M293" s="27"/>
    </row>
    <row r="294" spans="10:13" x14ac:dyDescent="0.3">
      <c r="J294" s="27"/>
      <c r="K294" s="27"/>
      <c r="L294" s="27"/>
      <c r="M294" s="27"/>
    </row>
    <row r="295" spans="10:13" x14ac:dyDescent="0.3">
      <c r="J295" s="27"/>
      <c r="K295" s="27"/>
      <c r="L295" s="27"/>
      <c r="M295" s="27"/>
    </row>
    <row r="296" spans="10:13" x14ac:dyDescent="0.3">
      <c r="J296" s="27"/>
      <c r="K296" s="27"/>
      <c r="L296" s="27"/>
      <c r="M296" s="27"/>
    </row>
    <row r="297" spans="10:13" x14ac:dyDescent="0.3">
      <c r="J297" s="27"/>
      <c r="K297" s="27"/>
      <c r="L297" s="27"/>
      <c r="M297" s="27"/>
    </row>
    <row r="298" spans="10:13" x14ac:dyDescent="0.3">
      <c r="J298" s="27"/>
      <c r="K298" s="27"/>
      <c r="L298" s="27"/>
      <c r="M298" s="27"/>
    </row>
    <row r="299" spans="10:13" x14ac:dyDescent="0.3">
      <c r="J299" s="27"/>
      <c r="K299" s="27"/>
      <c r="L299" s="27"/>
      <c r="M299" s="27"/>
    </row>
  </sheetData>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92F56-1854-4FE6-98FC-B064FFDBAE21}">
  <sheetPr>
    <tabColor theme="9" tint="0.59999389629810485"/>
  </sheetPr>
  <dimension ref="A1:AB298"/>
  <sheetViews>
    <sheetView showGridLines="0" workbookViewId="0">
      <selection activeCell="T6" sqref="T6"/>
    </sheetView>
  </sheetViews>
  <sheetFormatPr defaultColWidth="8.85546875" defaultRowHeight="18.75" x14ac:dyDescent="0.3"/>
  <cols>
    <col min="1" max="1" width="19.28515625" style="17" bestFit="1" customWidth="1"/>
    <col min="2" max="2" width="31.85546875" customWidth="1"/>
    <col min="4" max="4" width="44.28515625" bestFit="1" customWidth="1"/>
    <col min="5" max="5" width="4.5703125" customWidth="1"/>
    <col min="6" max="6" width="7.140625" bestFit="1" customWidth="1"/>
    <col min="7" max="7" width="9" bestFit="1" customWidth="1"/>
    <col min="8" max="8" width="10.140625" bestFit="1" customWidth="1"/>
    <col min="9" max="9" width="10.7109375" bestFit="1" customWidth="1"/>
    <col min="10" max="10" width="10.140625" customWidth="1"/>
    <col min="11" max="11" width="12.140625" bestFit="1" customWidth="1"/>
    <col min="12" max="12" width="10.42578125" customWidth="1"/>
    <col min="13" max="13" width="10.28515625" style="15" bestFit="1" customWidth="1"/>
    <col min="14" max="14" width="9" style="15" customWidth="1"/>
    <col min="15" max="16" width="13.28515625" style="15" customWidth="1"/>
    <col min="17" max="28" width="8.85546875" style="15"/>
  </cols>
  <sheetData>
    <row r="1" spans="1:28" x14ac:dyDescent="0.3">
      <c r="A1" s="16" t="s">
        <v>225</v>
      </c>
      <c r="M1" s="14"/>
      <c r="N1" s="14"/>
      <c r="O1" s="14"/>
      <c r="P1" s="14"/>
      <c r="Q1" s="14"/>
      <c r="R1" s="14"/>
      <c r="S1" s="14"/>
      <c r="T1" s="14"/>
      <c r="U1" s="14"/>
      <c r="V1" s="14"/>
      <c r="W1" s="14"/>
      <c r="X1" s="14"/>
      <c r="Y1" s="14"/>
      <c r="Z1" s="14"/>
      <c r="AA1" s="14"/>
      <c r="AB1" s="14"/>
    </row>
    <row r="2" spans="1:28" x14ac:dyDescent="0.3">
      <c r="A2" s="17" t="s">
        <v>226</v>
      </c>
      <c r="M2" s="14"/>
      <c r="N2" s="14"/>
      <c r="O2" s="14"/>
      <c r="P2" s="14"/>
      <c r="Q2" s="14"/>
      <c r="R2" s="14"/>
      <c r="S2" s="14"/>
      <c r="T2" s="14"/>
      <c r="U2" s="14"/>
      <c r="V2" s="14"/>
      <c r="W2" s="14"/>
      <c r="X2" s="14"/>
      <c r="Y2" s="14"/>
      <c r="Z2" s="14"/>
      <c r="AA2" s="14"/>
      <c r="AB2" s="14"/>
    </row>
    <row r="4" spans="1:28" ht="15.75" x14ac:dyDescent="0.25">
      <c r="A4" s="2" t="s">
        <v>15</v>
      </c>
      <c r="B4" s="2" t="s">
        <v>16</v>
      </c>
    </row>
    <row r="5" spans="1:28" ht="15.75" x14ac:dyDescent="0.25">
      <c r="A5" s="23" t="s">
        <v>227</v>
      </c>
      <c r="B5" s="24" t="s">
        <v>246</v>
      </c>
    </row>
    <row r="6" spans="1:28" ht="15.75" x14ac:dyDescent="0.25">
      <c r="A6" s="23" t="s">
        <v>228</v>
      </c>
      <c r="B6" s="24" t="s">
        <v>247</v>
      </c>
    </row>
    <row r="7" spans="1:28" ht="15.75" x14ac:dyDescent="0.25">
      <c r="A7" s="23" t="s">
        <v>229</v>
      </c>
      <c r="B7" s="24" t="s">
        <v>248</v>
      </c>
      <c r="Q7" s="61"/>
    </row>
    <row r="8" spans="1:28" ht="47.25" x14ac:dyDescent="0.25">
      <c r="A8" s="23" t="s">
        <v>253</v>
      </c>
      <c r="B8" s="24" t="s">
        <v>274</v>
      </c>
      <c r="Q8" s="61" t="s">
        <v>244</v>
      </c>
    </row>
    <row r="9" spans="1:28" x14ac:dyDescent="0.3">
      <c r="D9" s="1" t="s">
        <v>17</v>
      </c>
      <c r="F9" t="s">
        <v>239</v>
      </c>
      <c r="G9" s="13" t="s">
        <v>240</v>
      </c>
      <c r="H9" s="13" t="s">
        <v>243</v>
      </c>
      <c r="I9" s="13" t="s">
        <v>245</v>
      </c>
      <c r="J9" s="13" t="s">
        <v>229</v>
      </c>
      <c r="K9" s="13" t="s">
        <v>252</v>
      </c>
      <c r="M9" s="61" t="s">
        <v>259</v>
      </c>
      <c r="O9" s="61" t="s">
        <v>242</v>
      </c>
      <c r="P9" s="61" t="s">
        <v>241</v>
      </c>
      <c r="Q9" s="15">
        <v>1</v>
      </c>
      <c r="R9" s="15">
        <v>2</v>
      </c>
      <c r="S9" s="15">
        <v>3</v>
      </c>
      <c r="T9" s="15">
        <v>4</v>
      </c>
      <c r="U9" s="15">
        <v>5</v>
      </c>
      <c r="V9" s="15">
        <v>6</v>
      </c>
      <c r="W9" s="15">
        <v>7</v>
      </c>
      <c r="X9" s="15">
        <v>8</v>
      </c>
      <c r="Y9" s="15">
        <v>9</v>
      </c>
      <c r="Z9" s="15">
        <v>10</v>
      </c>
      <c r="AA9" s="15">
        <v>11</v>
      </c>
      <c r="AB9" s="15">
        <v>12</v>
      </c>
    </row>
    <row r="10" spans="1:28" x14ac:dyDescent="0.3">
      <c r="D10" t="s">
        <v>203</v>
      </c>
      <c r="F10" s="50">
        <v>37622</v>
      </c>
      <c r="G10" s="53" t="e">
        <v>#N/A</v>
      </c>
      <c r="H10" s="53">
        <v>0.12547051442910201</v>
      </c>
      <c r="I10" s="53">
        <v>0.27312454479242276</v>
      </c>
      <c r="J10" s="55">
        <v>1</v>
      </c>
      <c r="K10" s="55" t="b">
        <v>1</v>
      </c>
      <c r="M10" s="59" cm="1">
        <f t="array" ref="M10">_xlfn.LAMBDA(_xlpm.predicted,_xlpm.predictors,_xlpm.nLags,_xlop.returnPValue,
_xlfn.LET(
_xlpm.returnPValue, IF( _xlfn.ISOMITTED(_xlpm.returnPValue), TRUE, FALSE),
_xlpm.dataRestrictedBeforeCleaning, HORZCAT(_xlpm.predicted, ADDCONST( LAG(_xlpm.predicted, _xlpm.nLags, TRUE, TRUE) ) ),
_xlpm.dataUnrestrictedBeforeCleaning, HORZCAT( _xlpm.dataRestrictedBeforeCleaning, LAG(_xlpm.predictors, _xlpm.nLags, TRUE, TRUE) ),
_xlpm.dataUnrestricted, RMMISSING(_xlpm.dataUnrestrictedBeforeCleaning, 1),
_xlpm.dataRestricted, SLICE( _xlpm.dataUnrestricted, 0, 0, 1, 2 + _xlpm.nLags ),
_xlpm.sumSquaredResidRes, SUM(OLS_RESIDUALS( SLICE(_xlpm.dataRestricted, 0, 0, 1, 1), SLICE(_xlpm.dataRestricted, 0, 0, 2, -1) )^2),
_xlpm.sumSquaredResidUnr, SUM(OLS_RESIDUALS( SLICE(_xlpm.dataUnrestricted, 0, 0, 1, 1), SLICE(_xlpm.dataUnrestricted, 0, 0, 2, -1) )^2),
_xlpm.m, _xlpm.nLags,
_xlpm.n, DIM(_xlpm.dataUnrestricted,1),
_xlpm.k, 1 + 2* _xlpm.nLags,
_xlpm.Fstat, ( (_xlpm.sumSquaredResidRes - _xlpm.sumSquaredResidUnr)/ _xlpm.m) / (_xlpm.sumSquaredResidUnr / (_xlpm.n-_xlpm.k) ),
_xlpm.pValue, FDIST(_xlpm.Fstat, _xlpm.m, _xlpm.n-_xlpm.k),
IF(_xlpm.returnPValue, _xlpm.pValue, _xlpm.Fstat)
))($G$10:$G$239,$H$10:$H$239,$J$10)</f>
        <v>0.54972593627806643</v>
      </c>
      <c r="N10" s="54"/>
      <c r="O10" s="15" t="s">
        <v>243</v>
      </c>
      <c r="P10" s="15" t="s">
        <v>240</v>
      </c>
      <c r="Q10" s="91" cm="1">
        <f t="array" ref="Q10">GRANGER($G$10:$G$239,$H$10:$H$239,Q$9)</f>
        <v>0.54972593627806643</v>
      </c>
      <c r="R10" s="91" cm="1">
        <f t="array" ref="R10">GRANGER($G$10:$G$239,$H$10:$H$239,R$9)</f>
        <v>0.8447783042115059</v>
      </c>
      <c r="S10" s="91" cm="1">
        <f t="array" ref="S10">GRANGER($G$10:$G$239,$H$10:$H$239,S$9)</f>
        <v>0.98130859628104705</v>
      </c>
      <c r="T10" s="91" cm="1">
        <f t="array" ref="T10">GRANGER($G$10:$G$239,$H$10:$H$239,T$9)</f>
        <v>0.90126632039850296</v>
      </c>
      <c r="U10" s="91" cm="1">
        <f t="array" ref="U10">GRANGER($G$10:$G$239,$H$10:$H$239,U$9)</f>
        <v>0.9399037507584449</v>
      </c>
      <c r="V10" s="91" cm="1">
        <f t="array" ref="V10">GRANGER($G$10:$G$239,$H$10:$H$239,V$9)</f>
        <v>0.97779949501639618</v>
      </c>
      <c r="W10" s="91" cm="1">
        <f t="array" ref="W10">GRANGER($G$10:$G$239,$H$10:$H$239,W$9)</f>
        <v>0.96437622893054997</v>
      </c>
      <c r="X10" s="91" cm="1">
        <f t="array" ref="X10">GRANGER($G$10:$G$239,$H$10:$H$239,X$9)</f>
        <v>0.95807741913894262</v>
      </c>
      <c r="Y10" s="91" cm="1">
        <f t="array" ref="Y10">GRANGER($G$10:$G$239,$H$10:$H$239,Y$9)</f>
        <v>0.9696377950950581</v>
      </c>
      <c r="Z10" s="91" cm="1">
        <f t="array" ref="Z10">GRANGER($G$10:$G$239,$H$10:$H$239,Z$9)</f>
        <v>0.99148848315318561</v>
      </c>
      <c r="AA10" s="91" cm="1">
        <f t="array" ref="AA10">GRANGER($G$10:$G$239,$H$10:$H$239,AA$9)</f>
        <v>0.98230198386909184</v>
      </c>
      <c r="AB10" s="91" cm="1">
        <f t="array" ref="AB10">GRANGER($G$10:$G$239,$H$10:$H$239,AB$9)</f>
        <v>0.96787985029768087</v>
      </c>
    </row>
    <row r="11" spans="1:28" x14ac:dyDescent="0.3">
      <c r="D11" t="s">
        <v>230</v>
      </c>
      <c r="F11" s="50">
        <v>37653</v>
      </c>
      <c r="G11" s="53">
        <v>1.4932802389248383</v>
      </c>
      <c r="H11" s="53">
        <v>-0.37593984962405663</v>
      </c>
      <c r="I11" s="53">
        <v>1.0532050118031564</v>
      </c>
      <c r="M11" s="60"/>
      <c r="N11" s="54"/>
      <c r="O11" s="15" t="s">
        <v>240</v>
      </c>
      <c r="P11" s="15" t="s">
        <v>243</v>
      </c>
      <c r="Q11" s="91" cm="1">
        <f t="array" ref="Q11">GRANGER($H$10:$H$239,$G$10:$G$239,Q$9)</f>
        <v>5.1624531291754091E-3</v>
      </c>
      <c r="R11" s="91" cm="1">
        <f t="array" ref="R11">GRANGER($H$10:$H$239,$G$10:$G$239,R$9)</f>
        <v>1.7880490902237867E-3</v>
      </c>
      <c r="S11" s="91" cm="1">
        <f t="array" ref="S11">GRANGER($H$10:$H$239,$G$10:$G$239,S$9)</f>
        <v>5.4608254747030866E-3</v>
      </c>
      <c r="T11" s="91" cm="1">
        <f t="array" ref="T11">GRANGER($H$10:$H$239,$G$10:$G$239,T$9)</f>
        <v>1.4004145833793256E-2</v>
      </c>
      <c r="U11" s="91" cm="1">
        <f t="array" ref="U11">GRANGER($H$10:$H$239,$G$10:$G$239,U$9)</f>
        <v>1.1783917941776665E-2</v>
      </c>
      <c r="V11" s="91" cm="1">
        <f t="array" ref="V11">GRANGER($H$10:$H$239,$G$10:$G$239,V$9)</f>
        <v>2.7650894764679954E-2</v>
      </c>
      <c r="W11" s="91" cm="1">
        <f t="array" ref="W11">GRANGER($H$10:$H$239,$G$10:$G$239,W$9)</f>
        <v>1.4923116402252032E-2</v>
      </c>
      <c r="X11" s="91" cm="1">
        <f t="array" ref="X11">GRANGER($H$10:$H$239,$G$10:$G$239,X$9)</f>
        <v>2.7593939492914367E-2</v>
      </c>
      <c r="Y11" s="91" cm="1">
        <f t="array" ref="Y11">GRANGER($H$10:$H$239,$G$10:$G$239,Y$9)</f>
        <v>4.1693926962677992E-2</v>
      </c>
      <c r="Z11" s="91" cm="1">
        <f t="array" ref="Z11">GRANGER($H$10:$H$239,$G$10:$G$239,Z$9)</f>
        <v>6.3601004833073946E-2</v>
      </c>
      <c r="AA11" s="91" cm="1">
        <f t="array" ref="AA11">GRANGER($H$10:$H$239,$G$10:$G$239,AA$9)</f>
        <v>9.3078763656952418E-2</v>
      </c>
      <c r="AB11" s="91" cm="1">
        <f t="array" ref="AB11">GRANGER($H$10:$H$239,$G$10:$G$239,AB$9)</f>
        <v>0.12534292685708717</v>
      </c>
    </row>
    <row r="12" spans="1:28" ht="18.75" customHeight="1" x14ac:dyDescent="0.3">
      <c r="F12" s="50">
        <v>37681</v>
      </c>
      <c r="G12" s="53">
        <v>7.8469838155957122E-2</v>
      </c>
      <c r="H12" s="53">
        <v>-0.12578616352200545</v>
      </c>
      <c r="I12" s="53">
        <v>-2.3539982030547981</v>
      </c>
      <c r="M12" s="60"/>
      <c r="N12" s="54"/>
      <c r="O12" s="15" t="s">
        <v>245</v>
      </c>
      <c r="P12" s="15" t="s">
        <v>240</v>
      </c>
      <c r="Q12" s="91" cm="1">
        <f t="array" ref="Q12">GRANGER($G$10:$G$239,$I$10:$I$239,Q$9)</f>
        <v>5.6171151429618262E-3</v>
      </c>
      <c r="R12" s="91" cm="1">
        <f t="array" ref="R12">GRANGER($G$10:$G$239,$I$10:$I$239,R$9)</f>
        <v>2.0351794072524076E-2</v>
      </c>
      <c r="S12" s="91" cm="1">
        <f t="array" ref="S12">GRANGER($G$10:$G$239,$I$10:$I$239,S$9)</f>
        <v>4.1668250806052489E-3</v>
      </c>
      <c r="T12" s="91" cm="1">
        <f t="array" ref="T12">GRANGER($G$10:$G$239,$I$10:$I$239,T$9)</f>
        <v>2.9426065456621205E-3</v>
      </c>
      <c r="U12" s="91" cm="1">
        <f t="array" ref="U12">GRANGER($G$10:$G$239,$I$10:$I$239,U$9)</f>
        <v>1.6296202681381133E-3</v>
      </c>
      <c r="V12" s="91" cm="1">
        <f t="array" ref="V12">GRANGER($G$10:$G$239,$I$10:$I$239,V$9)</f>
        <v>2.9527508885524231E-3</v>
      </c>
      <c r="W12" s="91" cm="1">
        <f t="array" ref="W12">GRANGER($G$10:$G$239,$I$10:$I$239,W$9)</f>
        <v>3.1120239795264272E-3</v>
      </c>
      <c r="X12" s="91" cm="1">
        <f t="array" ref="X12">GRANGER($G$10:$G$239,$I$10:$I$239,X$9)</f>
        <v>3.100482389548949E-3</v>
      </c>
      <c r="Y12" s="91" cm="1">
        <f t="array" ref="Y12">GRANGER($G$10:$G$239,$I$10:$I$239,Y$9)</f>
        <v>2.9780759033151863E-3</v>
      </c>
      <c r="Z12" s="91" cm="1">
        <f t="array" ref="Z12">GRANGER($G$10:$G$239,$I$10:$I$239,Z$9)</f>
        <v>5.2741820348499542E-3</v>
      </c>
      <c r="AA12" s="91" cm="1">
        <f t="array" ref="AA12">GRANGER($G$10:$G$239,$I$10:$I$239,AA$9)</f>
        <v>6.0528608153609127E-3</v>
      </c>
      <c r="AB12" s="91" cm="1">
        <f t="array" ref="AB12">GRANGER($G$10:$G$239,$I$10:$I$239,AB$9)</f>
        <v>6.2005901482876805E-3</v>
      </c>
    </row>
    <row r="13" spans="1:28" x14ac:dyDescent="0.3">
      <c r="D13" t="s">
        <v>231</v>
      </c>
      <c r="F13" s="50">
        <v>37712</v>
      </c>
      <c r="G13" s="53">
        <v>-1.087915319023816</v>
      </c>
      <c r="H13" s="53">
        <v>-0.12594458438288228</v>
      </c>
      <c r="I13" s="53">
        <v>9.2013249907981515E-2</v>
      </c>
      <c r="M13" s="60"/>
      <c r="N13" s="54"/>
      <c r="O13" s="15" t="s">
        <v>240</v>
      </c>
      <c r="P13" s="15" t="s">
        <v>245</v>
      </c>
      <c r="Q13" s="91" cm="1">
        <f t="array" ref="Q13">GRANGER($I$10:$I$239,$G$10:$G$239,Q$9)</f>
        <v>0.44967248124221926</v>
      </c>
      <c r="R13" s="91" cm="1">
        <f t="array" ref="R13">GRANGER($I$10:$I$239,$G$10:$G$239,R$9)</f>
        <v>0.5355671050004609</v>
      </c>
      <c r="S13" s="91" cm="1">
        <f t="array" ref="S13">GRANGER($I$10:$I$239,$G$10:$G$239,S$9)</f>
        <v>0.61945757076882435</v>
      </c>
      <c r="T13" s="91" cm="1">
        <f t="array" ref="T13">GRANGER($I$10:$I$239,$G$10:$G$239,T$9)</f>
        <v>0.78165284339635444</v>
      </c>
      <c r="U13" s="91" cm="1">
        <f t="array" ref="U13">GRANGER($I$10:$I$239,$G$10:$G$239,U$9)</f>
        <v>0.60791523062395658</v>
      </c>
      <c r="V13" s="91" cm="1">
        <f t="array" ref="V13">GRANGER($I$10:$I$239,$G$10:$G$239,V$9)</f>
        <v>0.60535042989626064</v>
      </c>
      <c r="W13" s="91" cm="1">
        <f t="array" ref="W13">GRANGER($I$10:$I$239,$G$10:$G$239,W$9)</f>
        <v>0.4728104235403745</v>
      </c>
      <c r="X13" s="91" cm="1">
        <f t="array" ref="X13">GRANGER($I$10:$I$239,$G$10:$G$239,X$9)</f>
        <v>0.58231219130519762</v>
      </c>
      <c r="Y13" s="91" cm="1">
        <f t="array" ref="Y13">GRANGER($I$10:$I$239,$G$10:$G$239,Y$9)</f>
        <v>0.48700402086727057</v>
      </c>
      <c r="Z13" s="91" cm="1">
        <f t="array" ref="Z13">GRANGER($I$10:$I$239,$G$10:$G$239,Z$9)</f>
        <v>0.51522548810169722</v>
      </c>
      <c r="AA13" s="91" cm="1">
        <f t="array" ref="AA13">GRANGER($I$10:$I$239,$G$10:$G$239,AA$9)</f>
        <v>0.51170055071507481</v>
      </c>
      <c r="AB13" s="91" cm="1">
        <f t="array" ref="AB13">GRANGER($I$10:$I$239,$G$10:$G$239,AB$9)</f>
        <v>0.62912533599316478</v>
      </c>
    </row>
    <row r="14" spans="1:28" x14ac:dyDescent="0.3">
      <c r="D14" t="s">
        <v>232</v>
      </c>
      <c r="F14" s="50">
        <v>37742</v>
      </c>
      <c r="G14" s="53">
        <v>-1.0206103844629422</v>
      </c>
      <c r="H14" s="53">
        <v>-1.5132408575031562</v>
      </c>
      <c r="I14" s="53">
        <v>0.29417172274314501</v>
      </c>
      <c r="M14" s="60"/>
      <c r="N14" s="54"/>
      <c r="O14" s="15" t="s">
        <v>245</v>
      </c>
      <c r="P14" s="15" t="s">
        <v>243</v>
      </c>
      <c r="Q14" s="91" cm="1">
        <f t="array" ref="Q14">GRANGER($H$10:$H$239,$I$10:$I$239,Q$9)</f>
        <v>1.7521755869695454E-3</v>
      </c>
      <c r="R14" s="91" cm="1">
        <f t="array" ref="R14">GRANGER($H$10:$H$239,$I$10:$I$239,R$9)</f>
        <v>9.6364513233900828E-3</v>
      </c>
      <c r="S14" s="91" cm="1">
        <f t="array" ref="S14">GRANGER($H$10:$H$239,$I$10:$I$239,S$9)</f>
        <v>8.9740739617251066E-3</v>
      </c>
      <c r="T14" s="91" cm="1">
        <f t="array" ref="T14">GRANGER($H$10:$H$239,$I$10:$I$239,T$9)</f>
        <v>1.288142955377294E-2</v>
      </c>
      <c r="U14" s="91" cm="1">
        <f t="array" ref="U14">GRANGER($H$10:$H$239,$I$10:$I$239,U$9)</f>
        <v>5.4972486938780363E-3</v>
      </c>
      <c r="V14" s="91" cm="1">
        <f t="array" ref="V14">GRANGER($H$10:$H$239,$I$10:$I$239,V$9)</f>
        <v>5.3247215777824132E-3</v>
      </c>
      <c r="W14" s="91" cm="1">
        <f t="array" ref="W14">GRANGER($H$10:$H$239,$I$10:$I$239,W$9)</f>
        <v>6.0437973057326502E-3</v>
      </c>
      <c r="X14" s="91" cm="1">
        <f t="array" ref="X14">GRANGER($H$10:$H$239,$I$10:$I$239,X$9)</f>
        <v>1.186732195186435E-2</v>
      </c>
      <c r="Y14" s="91" cm="1">
        <f t="array" ref="Y14">GRANGER($H$10:$H$239,$I$10:$I$239,Y$9)</f>
        <v>6.4235245510123563E-3</v>
      </c>
      <c r="Z14" s="91" cm="1">
        <f t="array" ref="Z14">GRANGER($H$10:$H$239,$I$10:$I$239,Z$9)</f>
        <v>1.0490742103907616E-2</v>
      </c>
      <c r="AA14" s="91" cm="1">
        <f t="array" ref="AA14">GRANGER($H$10:$H$239,$I$10:$I$239,AA$9)</f>
        <v>1.5218099365060604E-2</v>
      </c>
      <c r="AB14" s="91" cm="1">
        <f t="array" ref="AB14">GRANGER($H$10:$H$239,$I$10:$I$239,AB$9)</f>
        <v>1.910761018669567E-2</v>
      </c>
    </row>
    <row r="15" spans="1:28" x14ac:dyDescent="0.3">
      <c r="F15" s="50">
        <v>37773</v>
      </c>
      <c r="G15" s="53">
        <v>0.39042947241966219</v>
      </c>
      <c r="H15" s="53">
        <v>0.38412291933420156</v>
      </c>
      <c r="I15" s="53">
        <v>-0.87992667277726289</v>
      </c>
      <c r="M15" s="54"/>
      <c r="N15" s="54"/>
      <c r="O15" s="15" t="s">
        <v>243</v>
      </c>
      <c r="P15" s="15" t="s">
        <v>245</v>
      </c>
      <c r="Q15" s="91" cm="1">
        <f t="array" ref="Q15">GRANGER($I$10:$I$239,$H$10:$H$239,Q$9)</f>
        <v>0.11473926714435931</v>
      </c>
      <c r="R15" s="91" cm="1">
        <f t="array" ref="R15">GRANGER($I$10:$I$239,$H$10:$H$239,R$9)</f>
        <v>0.47176345232158412</v>
      </c>
      <c r="S15" s="91" cm="1">
        <f t="array" ref="S15">GRANGER($I$10:$I$239,$H$10:$H$239,S$9)</f>
        <v>0.42249335032676982</v>
      </c>
      <c r="T15" s="91" cm="1">
        <f t="array" ref="T15">GRANGER($I$10:$I$239,$H$10:$H$239,T$9)</f>
        <v>0.67136594273787764</v>
      </c>
      <c r="U15" s="91" cm="1">
        <f t="array" ref="U15">GRANGER($I$10:$I$239,$H$10:$H$239,U$9)</f>
        <v>0.55856320794355108</v>
      </c>
      <c r="V15" s="91" cm="1">
        <f t="array" ref="V15">GRANGER($I$10:$I$239,$H$10:$H$239,V$9)</f>
        <v>0.47359059971690576</v>
      </c>
      <c r="W15" s="91" cm="1">
        <f t="array" ref="W15">GRANGER($I$10:$I$239,$H$10:$H$239,W$9)</f>
        <v>0.37499341227756849</v>
      </c>
      <c r="X15" s="91" cm="1">
        <f t="array" ref="X15">GRANGER($I$10:$I$239,$H$10:$H$239,X$9)</f>
        <v>0.43796198777644724</v>
      </c>
      <c r="Y15" s="91" cm="1">
        <f t="array" ref="Y15">GRANGER($I$10:$I$239,$H$10:$H$239,Y$9)</f>
        <v>0.49250486944345895</v>
      </c>
      <c r="Z15" s="91" cm="1">
        <f t="array" ref="Z15">GRANGER($I$10:$I$239,$H$10:$H$239,Z$9)</f>
        <v>0.56395517453235788</v>
      </c>
      <c r="AA15" s="91" cm="1">
        <f t="array" ref="AA15">GRANGER($I$10:$I$239,$H$10:$H$239,AA$9)</f>
        <v>0.58183083678717018</v>
      </c>
      <c r="AB15" s="91" cm="1">
        <f t="array" ref="AB15">GRANGER($I$10:$I$239,$H$10:$H$239,AB$9)</f>
        <v>0.67777278101991523</v>
      </c>
    </row>
    <row r="16" spans="1:28" x14ac:dyDescent="0.3">
      <c r="D16" t="s">
        <v>233</v>
      </c>
      <c r="F16" s="50">
        <v>37803</v>
      </c>
      <c r="G16" s="53">
        <v>-1.2066214599122538</v>
      </c>
      <c r="H16" s="53">
        <v>-0.89285714285714646</v>
      </c>
      <c r="I16" s="53">
        <v>0.42537451451821134</v>
      </c>
      <c r="M16" s="54"/>
      <c r="N16" s="54"/>
      <c r="P16" s="54"/>
    </row>
    <row r="17" spans="4:16" x14ac:dyDescent="0.3">
      <c r="D17" t="s">
        <v>234</v>
      </c>
      <c r="F17" s="50">
        <v>37834</v>
      </c>
      <c r="G17" s="53">
        <v>0.66619561925912074</v>
      </c>
      <c r="H17" s="53">
        <v>1.544401544401548</v>
      </c>
      <c r="I17" s="53">
        <v>0.88397790055249359</v>
      </c>
      <c r="M17" s="54"/>
      <c r="N17" s="54"/>
      <c r="P17" s="54"/>
    </row>
    <row r="18" spans="4:16" x14ac:dyDescent="0.3">
      <c r="F18" s="50">
        <v>37865</v>
      </c>
      <c r="G18" s="53">
        <v>1.9853604732778398</v>
      </c>
      <c r="H18" s="53">
        <v>2.9150823827629875</v>
      </c>
      <c r="I18" s="53">
        <v>-0.18254837531946225</v>
      </c>
      <c r="M18" s="54"/>
      <c r="N18" s="54"/>
      <c r="P18" s="54"/>
    </row>
    <row r="19" spans="4:16" x14ac:dyDescent="0.3">
      <c r="F19" s="50">
        <v>37895</v>
      </c>
      <c r="G19" s="53">
        <v>0.16714187395536498</v>
      </c>
      <c r="H19" s="53">
        <v>0.2463054187192153</v>
      </c>
      <c r="I19" s="53">
        <v>0</v>
      </c>
      <c r="M19" s="54"/>
      <c r="N19" s="54"/>
      <c r="P19" s="54"/>
    </row>
    <row r="20" spans="4:16" x14ac:dyDescent="0.3">
      <c r="F20" s="50">
        <v>37926</v>
      </c>
      <c r="G20" s="53">
        <v>8.8339222614844337E-2</v>
      </c>
      <c r="H20" s="53">
        <v>1.3513513513513442</v>
      </c>
      <c r="I20" s="53">
        <v>1.1521580102414093</v>
      </c>
      <c r="M20" s="54"/>
      <c r="N20" s="54"/>
      <c r="P20" s="54"/>
    </row>
    <row r="21" spans="4:16" x14ac:dyDescent="0.3">
      <c r="F21" s="50">
        <v>37956</v>
      </c>
      <c r="G21" s="53">
        <v>-0.38246543100912089</v>
      </c>
      <c r="H21" s="53">
        <v>-1.5757575757575724</v>
      </c>
      <c r="I21" s="53">
        <v>0.6327969625745693</v>
      </c>
      <c r="M21" s="54"/>
      <c r="N21" s="54"/>
      <c r="P21" s="54"/>
    </row>
    <row r="22" spans="4:16" x14ac:dyDescent="0.3">
      <c r="F22" s="50">
        <v>37987</v>
      </c>
      <c r="G22" s="53">
        <v>1.9590470565071814</v>
      </c>
      <c r="H22" s="53">
        <v>1.8472906403940885</v>
      </c>
      <c r="I22" s="53">
        <v>0.233560905497669</v>
      </c>
      <c r="M22" s="54"/>
      <c r="N22" s="54"/>
      <c r="P22" s="54"/>
    </row>
    <row r="23" spans="4:16" x14ac:dyDescent="0.3">
      <c r="F23" s="50">
        <v>38018</v>
      </c>
      <c r="G23" s="53">
        <v>0.88828811431881993</v>
      </c>
      <c r="H23" s="53">
        <v>1.5719467956469131</v>
      </c>
      <c r="I23" s="53">
        <v>1.7565872020075355</v>
      </c>
      <c r="M23" s="54"/>
      <c r="N23" s="54"/>
      <c r="P23" s="54"/>
    </row>
    <row r="24" spans="4:16" x14ac:dyDescent="0.3">
      <c r="F24" s="50">
        <v>38047</v>
      </c>
      <c r="G24" s="53">
        <v>1.4259737773949748</v>
      </c>
      <c r="H24" s="53">
        <v>0.47619047619048299</v>
      </c>
      <c r="I24" s="53">
        <v>1.144970935353177</v>
      </c>
      <c r="M24" s="54"/>
      <c r="N24" s="54"/>
      <c r="P24" s="54"/>
    </row>
    <row r="25" spans="4:16" x14ac:dyDescent="0.3">
      <c r="F25" s="50">
        <v>38078</v>
      </c>
      <c r="G25" s="53">
        <v>0.40573693149650175</v>
      </c>
      <c r="H25" s="53">
        <v>0.82938388625591075</v>
      </c>
      <c r="I25" s="53">
        <v>0.62695924764890187</v>
      </c>
      <c r="M25" s="54"/>
      <c r="N25" s="54"/>
      <c r="P25" s="54"/>
    </row>
    <row r="26" spans="4:16" x14ac:dyDescent="0.3">
      <c r="F26" s="50">
        <v>38108</v>
      </c>
      <c r="G26" s="53">
        <v>2.8192839018890269E-2</v>
      </c>
      <c r="H26" s="53">
        <v>1.0575793184488904</v>
      </c>
      <c r="I26" s="53">
        <v>0.65766701280719186</v>
      </c>
      <c r="M26" s="54"/>
      <c r="N26" s="54"/>
      <c r="P26" s="54"/>
    </row>
    <row r="27" spans="4:16" x14ac:dyDescent="0.3">
      <c r="F27" s="50">
        <v>38139</v>
      </c>
      <c r="G27" s="53">
        <v>0.73280721533258286</v>
      </c>
      <c r="H27" s="53">
        <v>0.23255813953488702</v>
      </c>
      <c r="I27" s="53">
        <v>0.75653370013755994</v>
      </c>
      <c r="M27" s="54"/>
      <c r="N27" s="54"/>
      <c r="P27" s="54"/>
    </row>
    <row r="28" spans="4:16" x14ac:dyDescent="0.3">
      <c r="F28" s="50">
        <v>38169</v>
      </c>
      <c r="G28" s="53">
        <v>0.55959709009512615</v>
      </c>
      <c r="H28" s="53">
        <v>0.69605568445474975</v>
      </c>
      <c r="I28" s="53">
        <v>0.40955631399317743</v>
      </c>
      <c r="M28" s="54"/>
      <c r="N28" s="54"/>
      <c r="P28" s="54"/>
    </row>
    <row r="29" spans="4:16" x14ac:dyDescent="0.3">
      <c r="F29" s="50">
        <v>38200</v>
      </c>
      <c r="G29" s="53">
        <v>0.34316453348173304</v>
      </c>
      <c r="H29" s="53">
        <v>1.0368663594470111</v>
      </c>
      <c r="I29" s="53">
        <v>3.3990482664847076E-2</v>
      </c>
      <c r="M29" s="54"/>
      <c r="N29" s="54"/>
      <c r="P29" s="54"/>
    </row>
    <row r="30" spans="4:16" x14ac:dyDescent="0.3">
      <c r="F30" s="50">
        <v>38231</v>
      </c>
      <c r="G30" s="53">
        <v>1.1738608004436604</v>
      </c>
      <c r="H30" s="53">
        <v>0.5701254275940707</v>
      </c>
      <c r="I30" s="53">
        <v>0.50968399592252323</v>
      </c>
      <c r="M30" s="54"/>
      <c r="N30" s="54"/>
      <c r="P30" s="54"/>
    </row>
    <row r="31" spans="4:16" x14ac:dyDescent="0.3">
      <c r="F31" s="50">
        <v>38261</v>
      </c>
      <c r="G31" s="53">
        <v>-0.66691028686277165</v>
      </c>
      <c r="H31" s="53">
        <v>-0.68027210884354705</v>
      </c>
      <c r="I31" s="53">
        <v>1.622718052738338</v>
      </c>
      <c r="M31" s="54"/>
      <c r="N31" s="54"/>
      <c r="P31" s="54"/>
    </row>
    <row r="32" spans="4:16" x14ac:dyDescent="0.3">
      <c r="F32" s="50">
        <v>38292</v>
      </c>
      <c r="G32" s="53">
        <v>0.81854134093626474</v>
      </c>
      <c r="H32" s="53">
        <v>0</v>
      </c>
      <c r="I32" s="53">
        <v>0.58216899534265043</v>
      </c>
      <c r="M32" s="54"/>
      <c r="N32" s="54"/>
      <c r="P32" s="54"/>
    </row>
    <row r="33" spans="6:16" x14ac:dyDescent="0.3">
      <c r="F33" s="50">
        <v>38322</v>
      </c>
      <c r="G33" s="53">
        <v>-0.75716110198868658</v>
      </c>
      <c r="H33" s="53">
        <v>0.57077625570776258</v>
      </c>
      <c r="I33" s="53">
        <v>2.3317347445014116</v>
      </c>
      <c r="M33" s="54"/>
      <c r="N33" s="54"/>
      <c r="P33" s="54"/>
    </row>
    <row r="34" spans="6:16" x14ac:dyDescent="0.3">
      <c r="F34" s="50">
        <v>38353</v>
      </c>
      <c r="G34" s="53">
        <v>0.76293777001562491</v>
      </c>
      <c r="H34" s="53">
        <v>0.56753688989784346</v>
      </c>
      <c r="I34" s="53">
        <v>-2.4886877828054281</v>
      </c>
      <c r="M34" s="54"/>
      <c r="N34" s="54"/>
      <c r="P34" s="54"/>
    </row>
    <row r="35" spans="6:16" x14ac:dyDescent="0.3">
      <c r="F35" s="50">
        <v>38384</v>
      </c>
      <c r="G35" s="53">
        <v>0.47436599160736725</v>
      </c>
      <c r="H35" s="53">
        <v>-1.3544018058690619</v>
      </c>
      <c r="I35" s="53">
        <v>-3.9111700364600703</v>
      </c>
      <c r="M35" s="54"/>
      <c r="N35" s="54"/>
      <c r="P35" s="54"/>
    </row>
    <row r="36" spans="6:16" x14ac:dyDescent="0.3">
      <c r="F36" s="50">
        <v>38412</v>
      </c>
      <c r="G36" s="53">
        <v>0.26330125295079559</v>
      </c>
      <c r="H36" s="53">
        <v>0.91533180778031709</v>
      </c>
      <c r="I36" s="53">
        <v>1.586754053121769</v>
      </c>
      <c r="M36" s="54"/>
      <c r="N36" s="54"/>
      <c r="P36" s="54"/>
    </row>
    <row r="37" spans="6:16" x14ac:dyDescent="0.3">
      <c r="F37" s="50">
        <v>38443</v>
      </c>
      <c r="G37" s="53">
        <v>0.47088653445621304</v>
      </c>
      <c r="H37" s="53">
        <v>0.11337868480724977</v>
      </c>
      <c r="I37" s="53">
        <v>-0.33955857385398258</v>
      </c>
      <c r="M37" s="54"/>
      <c r="N37" s="54"/>
      <c r="P37" s="54"/>
    </row>
    <row r="38" spans="6:16" x14ac:dyDescent="0.3">
      <c r="F38" s="50">
        <v>38473</v>
      </c>
      <c r="G38" s="53">
        <v>3.6052275799902694E-2</v>
      </c>
      <c r="H38" s="53">
        <v>3.171007927519816</v>
      </c>
      <c r="I38" s="53">
        <v>1.5332197614991459</v>
      </c>
      <c r="M38" s="54"/>
      <c r="N38" s="54"/>
      <c r="P38" s="54"/>
    </row>
    <row r="39" spans="6:16" x14ac:dyDescent="0.3">
      <c r="F39" s="50">
        <v>38504</v>
      </c>
      <c r="G39" s="53">
        <v>-0.32435354536444677</v>
      </c>
      <c r="H39" s="53">
        <v>-1.7563117453347907</v>
      </c>
      <c r="I39" s="53">
        <v>0.13422818791946023</v>
      </c>
      <c r="M39" s="54"/>
      <c r="N39" s="54"/>
      <c r="P39" s="54"/>
    </row>
    <row r="40" spans="6:16" x14ac:dyDescent="0.3">
      <c r="F40" s="50">
        <v>38534</v>
      </c>
      <c r="G40" s="53">
        <v>0</v>
      </c>
      <c r="H40" s="53">
        <v>-0.6703910614525076</v>
      </c>
      <c r="I40" s="53">
        <v>1.508042895442357</v>
      </c>
      <c r="M40" s="54"/>
      <c r="N40" s="54"/>
      <c r="P40" s="54"/>
    </row>
    <row r="41" spans="6:16" x14ac:dyDescent="0.3">
      <c r="F41" s="50">
        <v>38565</v>
      </c>
      <c r="G41" s="53">
        <v>0.59658320527886721</v>
      </c>
      <c r="H41" s="53">
        <v>0.11248593925758639</v>
      </c>
      <c r="I41" s="53">
        <v>8.2535490260819189E-2</v>
      </c>
      <c r="M41" s="54"/>
      <c r="N41" s="54"/>
      <c r="P41" s="54"/>
    </row>
    <row r="42" spans="6:16" x14ac:dyDescent="0.3">
      <c r="F42" s="50">
        <v>38596</v>
      </c>
      <c r="G42" s="53">
        <v>-0.38637793153024241</v>
      </c>
      <c r="H42" s="53">
        <v>-0.5617977528089888</v>
      </c>
      <c r="I42" s="53">
        <v>-0.19792182088075957</v>
      </c>
      <c r="M42" s="54"/>
      <c r="N42" s="54"/>
      <c r="P42" s="54"/>
    </row>
    <row r="43" spans="6:16" x14ac:dyDescent="0.3">
      <c r="F43" s="50">
        <v>38626</v>
      </c>
      <c r="G43" s="53">
        <v>0.17138733537795212</v>
      </c>
      <c r="H43" s="53">
        <v>-0.67796610169490878</v>
      </c>
      <c r="I43" s="53">
        <v>0.77673111882333312</v>
      </c>
      <c r="M43" s="54"/>
      <c r="N43" s="54"/>
      <c r="P43" s="54"/>
    </row>
    <row r="44" spans="6:16" x14ac:dyDescent="0.3">
      <c r="F44" s="50">
        <v>38657</v>
      </c>
      <c r="G44" s="53">
        <v>0.68437640702386771</v>
      </c>
      <c r="H44" s="53">
        <v>1.0238907849829255</v>
      </c>
      <c r="I44" s="53">
        <v>-0.11479173499508082</v>
      </c>
      <c r="M44" s="54"/>
      <c r="N44" s="54"/>
      <c r="P44" s="54"/>
    </row>
    <row r="45" spans="6:16" x14ac:dyDescent="0.3">
      <c r="F45" s="50">
        <v>38687</v>
      </c>
      <c r="G45" s="53">
        <v>0.4561309364099731</v>
      </c>
      <c r="H45" s="53">
        <v>1.6891891891891893</v>
      </c>
      <c r="I45" s="53">
        <v>1.0343129207026802</v>
      </c>
      <c r="M45" s="54"/>
      <c r="N45" s="54"/>
      <c r="P45" s="54"/>
    </row>
    <row r="46" spans="6:16" x14ac:dyDescent="0.3">
      <c r="F46" s="50">
        <v>38718</v>
      </c>
      <c r="G46" s="53">
        <v>0.94373219373219586</v>
      </c>
      <c r="H46" s="53">
        <v>0.33222591362125931</v>
      </c>
      <c r="I46" s="53">
        <v>3.8836529086772842</v>
      </c>
      <c r="M46" s="54"/>
      <c r="N46" s="54"/>
      <c r="P46" s="54"/>
    </row>
    <row r="47" spans="6:16" x14ac:dyDescent="0.3">
      <c r="F47" s="50">
        <v>38749</v>
      </c>
      <c r="G47" s="53">
        <v>0.20285764685130003</v>
      </c>
      <c r="H47" s="53">
        <v>0.88300220750553138</v>
      </c>
      <c r="I47" s="53">
        <v>-2.3776005005474787</v>
      </c>
      <c r="M47" s="54"/>
      <c r="N47" s="54"/>
      <c r="P47" s="54"/>
    </row>
    <row r="48" spans="6:16" x14ac:dyDescent="0.3">
      <c r="F48" s="50">
        <v>38777</v>
      </c>
      <c r="G48" s="53">
        <v>-5.281225244256868E-2</v>
      </c>
      <c r="H48" s="53">
        <v>-0.65645514223195678</v>
      </c>
      <c r="I48" s="53">
        <v>0.94536132030123932</v>
      </c>
      <c r="M48" s="54"/>
      <c r="N48" s="54"/>
      <c r="P48" s="54"/>
    </row>
    <row r="49" spans="6:16" x14ac:dyDescent="0.3">
      <c r="F49" s="50">
        <v>38808</v>
      </c>
      <c r="G49" s="53">
        <v>0.59885512989872902</v>
      </c>
      <c r="H49" s="53">
        <v>0.55066079295154191</v>
      </c>
      <c r="I49" s="53">
        <v>1.6507936507936607</v>
      </c>
      <c r="M49" s="54"/>
      <c r="N49" s="54"/>
      <c r="P49" s="54"/>
    </row>
    <row r="50" spans="6:16" x14ac:dyDescent="0.3">
      <c r="F50" s="50">
        <v>38838</v>
      </c>
      <c r="G50" s="53">
        <v>1.2518602818874136</v>
      </c>
      <c r="H50" s="53">
        <v>0.65717415115006417</v>
      </c>
      <c r="I50" s="53">
        <v>-0.46845721424110592</v>
      </c>
      <c r="M50" s="54"/>
      <c r="N50" s="54"/>
      <c r="P50" s="54"/>
    </row>
    <row r="51" spans="6:16" x14ac:dyDescent="0.3">
      <c r="F51" s="50">
        <v>38869</v>
      </c>
      <c r="G51" s="53">
        <v>-0.81272695832612629</v>
      </c>
      <c r="H51" s="53">
        <v>-1.4145810663765084</v>
      </c>
      <c r="I51" s="53">
        <v>1.7100721681832385</v>
      </c>
      <c r="M51" s="54"/>
      <c r="N51" s="54"/>
      <c r="P51" s="54"/>
    </row>
    <row r="52" spans="6:16" x14ac:dyDescent="0.3">
      <c r="F52" s="50">
        <v>38899</v>
      </c>
      <c r="G52" s="53">
        <v>1.9351464435146435</v>
      </c>
      <c r="H52" s="53">
        <v>0.88300220750553138</v>
      </c>
      <c r="I52" s="53">
        <v>-0.38562393953416629</v>
      </c>
      <c r="M52" s="54"/>
      <c r="N52" s="54"/>
      <c r="P52" s="54"/>
    </row>
    <row r="53" spans="6:16" x14ac:dyDescent="0.3">
      <c r="F53" s="50">
        <v>38930</v>
      </c>
      <c r="G53" s="53">
        <v>-0.27364460407045765</v>
      </c>
      <c r="H53" s="53">
        <v>-0.10940919037200057</v>
      </c>
      <c r="I53" s="53">
        <v>0.68132548776710711</v>
      </c>
      <c r="M53" s="54"/>
      <c r="N53" s="54"/>
      <c r="P53" s="54"/>
    </row>
    <row r="54" spans="6:16" x14ac:dyDescent="0.3">
      <c r="F54" s="50">
        <v>38961</v>
      </c>
      <c r="G54" s="53">
        <v>0.17149717029668035</v>
      </c>
      <c r="H54" s="53">
        <v>-0.76670317634173368</v>
      </c>
      <c r="I54" s="53">
        <v>1.8455859735466054</v>
      </c>
      <c r="M54" s="54"/>
      <c r="N54" s="54"/>
      <c r="P54" s="54"/>
    </row>
    <row r="55" spans="6:16" x14ac:dyDescent="0.3">
      <c r="F55" s="50">
        <v>38991</v>
      </c>
      <c r="G55" s="53">
        <v>1.0700222564629345</v>
      </c>
      <c r="H55" s="53">
        <v>0.44150110375276569</v>
      </c>
      <c r="I55" s="53">
        <v>0.39263062518877245</v>
      </c>
      <c r="M55" s="54"/>
      <c r="N55" s="54"/>
      <c r="P55" s="54"/>
    </row>
    <row r="56" spans="6:16" x14ac:dyDescent="0.3">
      <c r="F56" s="50">
        <v>39022</v>
      </c>
      <c r="G56" s="53">
        <v>0.67756415685611193</v>
      </c>
      <c r="H56" s="53">
        <v>1.3186813186813218</v>
      </c>
      <c r="I56" s="53">
        <v>0.10529482551142175</v>
      </c>
      <c r="M56" s="54"/>
      <c r="N56" s="54"/>
      <c r="P56" s="54"/>
    </row>
    <row r="57" spans="6:16" x14ac:dyDescent="0.3">
      <c r="F57" s="50">
        <v>39052</v>
      </c>
      <c r="G57" s="53">
        <v>0.84125515268781026</v>
      </c>
      <c r="H57" s="53">
        <v>0.86767895878524637</v>
      </c>
      <c r="I57" s="53">
        <v>-0.16528925619834625</v>
      </c>
      <c r="M57" s="54"/>
      <c r="N57" s="54"/>
      <c r="P57" s="54"/>
    </row>
    <row r="58" spans="6:16" x14ac:dyDescent="0.3">
      <c r="F58" s="50">
        <v>39083</v>
      </c>
      <c r="G58" s="53">
        <v>-0.17518978893802281</v>
      </c>
      <c r="H58" s="53">
        <v>-0.32258064516128726</v>
      </c>
      <c r="I58" s="53">
        <v>0.49668874172185173</v>
      </c>
      <c r="M58" s="54"/>
      <c r="N58" s="54"/>
      <c r="P58" s="54"/>
    </row>
    <row r="59" spans="6:16" x14ac:dyDescent="0.3">
      <c r="F59" s="50">
        <v>39114</v>
      </c>
      <c r="G59" s="53">
        <v>0.42620758816647591</v>
      </c>
      <c r="H59" s="53">
        <v>1.2944983818770257</v>
      </c>
      <c r="I59" s="53">
        <v>1.3628875243372935</v>
      </c>
      <c r="M59" s="54"/>
      <c r="N59" s="54"/>
      <c r="P59" s="54"/>
    </row>
    <row r="60" spans="6:16" x14ac:dyDescent="0.3">
      <c r="F60" s="50">
        <v>39142</v>
      </c>
      <c r="G60" s="53">
        <v>-0.64075892485645003</v>
      </c>
      <c r="H60" s="53">
        <v>1.2779552715654829</v>
      </c>
      <c r="I60" s="53">
        <v>1.0933806146572027</v>
      </c>
      <c r="M60" s="54"/>
      <c r="N60" s="54"/>
      <c r="P60" s="54"/>
    </row>
    <row r="61" spans="6:16" x14ac:dyDescent="0.3">
      <c r="F61" s="50">
        <v>39173</v>
      </c>
      <c r="G61" s="53">
        <v>1.490787269681743</v>
      </c>
      <c r="H61" s="53">
        <v>0.94637223974764018</v>
      </c>
      <c r="I61" s="53">
        <v>0.70154925460392281</v>
      </c>
      <c r="M61" s="54"/>
      <c r="N61" s="54"/>
      <c r="P61" s="54"/>
    </row>
    <row r="62" spans="6:16" x14ac:dyDescent="0.3">
      <c r="F62" s="50">
        <v>39203</v>
      </c>
      <c r="G62" s="53">
        <v>0.99026241954116889</v>
      </c>
      <c r="H62" s="53">
        <v>0.312499999999997</v>
      </c>
      <c r="I62" s="53">
        <v>-0.13062409288824878</v>
      </c>
      <c r="M62" s="54"/>
      <c r="N62" s="54"/>
      <c r="P62" s="54"/>
    </row>
    <row r="63" spans="6:16" x14ac:dyDescent="0.3">
      <c r="F63" s="50">
        <v>39234</v>
      </c>
      <c r="G63" s="53">
        <v>0.84164079097891908</v>
      </c>
      <c r="H63" s="53">
        <v>0.62305295950156647</v>
      </c>
      <c r="I63" s="53">
        <v>0.49411422758320506</v>
      </c>
      <c r="M63" s="54"/>
      <c r="N63" s="54"/>
      <c r="P63" s="54"/>
    </row>
    <row r="64" spans="6:16" x14ac:dyDescent="0.3">
      <c r="F64" s="50">
        <v>39264</v>
      </c>
      <c r="G64" s="53">
        <v>0.66445182724253093</v>
      </c>
      <c r="H64" s="53">
        <v>-0.41279669762642485</v>
      </c>
      <c r="I64" s="53">
        <v>0.49168474331162565</v>
      </c>
      <c r="M64" s="54"/>
      <c r="N64" s="54"/>
      <c r="P64" s="54"/>
    </row>
    <row r="65" spans="6:16" x14ac:dyDescent="0.3">
      <c r="F65" s="50">
        <v>39295</v>
      </c>
      <c r="G65" s="53">
        <v>8.854543990984419E-2</v>
      </c>
      <c r="H65" s="53">
        <v>1.3471502590673545</v>
      </c>
      <c r="I65" s="53">
        <v>-1.3671031803136979</v>
      </c>
      <c r="M65" s="54"/>
      <c r="N65" s="54"/>
      <c r="P65" s="54"/>
    </row>
    <row r="66" spans="6:16" x14ac:dyDescent="0.3">
      <c r="F66" s="50">
        <v>39326</v>
      </c>
      <c r="G66" s="53">
        <v>0.81228888531445309</v>
      </c>
      <c r="H66" s="53">
        <v>-0.5112474437627812</v>
      </c>
      <c r="I66" s="53">
        <v>3.7058651882112512</v>
      </c>
      <c r="M66" s="54"/>
      <c r="N66" s="54"/>
      <c r="P66" s="54"/>
    </row>
    <row r="67" spans="6:16" x14ac:dyDescent="0.3">
      <c r="F67" s="50">
        <v>39356</v>
      </c>
      <c r="G67" s="53">
        <v>0.77383326685281129</v>
      </c>
      <c r="H67" s="53">
        <v>2.2610483042137748</v>
      </c>
      <c r="I67" s="53">
        <v>-1.9555430500844129</v>
      </c>
      <c r="M67" s="54"/>
      <c r="N67" s="54"/>
      <c r="P67" s="54"/>
    </row>
    <row r="68" spans="6:16" x14ac:dyDescent="0.3">
      <c r="F68" s="50">
        <v>39387</v>
      </c>
      <c r="G68" s="53">
        <v>-0.11874604179859997</v>
      </c>
      <c r="H68" s="53">
        <v>-0.90452261306533233</v>
      </c>
      <c r="I68" s="53">
        <v>1.3918783182666077</v>
      </c>
      <c r="M68" s="54"/>
      <c r="N68" s="54"/>
      <c r="P68" s="54"/>
    </row>
    <row r="69" spans="6:16" x14ac:dyDescent="0.3">
      <c r="F69" s="50">
        <v>39417</v>
      </c>
      <c r="G69" s="53">
        <v>0.62613933581674885</v>
      </c>
      <c r="H69" s="53">
        <v>0.30425963488844965</v>
      </c>
      <c r="I69" s="53">
        <v>1.1746391168978183</v>
      </c>
      <c r="M69" s="54"/>
      <c r="N69" s="54"/>
      <c r="P69" s="54"/>
    </row>
    <row r="70" spans="6:16" x14ac:dyDescent="0.3">
      <c r="F70" s="50">
        <v>39448</v>
      </c>
      <c r="G70" s="53">
        <v>0.20478890989288367</v>
      </c>
      <c r="H70" s="53">
        <v>1.6177957532861418</v>
      </c>
      <c r="I70" s="53">
        <v>0.71338648762065349</v>
      </c>
      <c r="M70" s="54"/>
      <c r="N70" s="54"/>
      <c r="P70" s="54"/>
    </row>
    <row r="71" spans="6:16" x14ac:dyDescent="0.3">
      <c r="F71" s="50">
        <v>39479</v>
      </c>
      <c r="G71" s="53">
        <v>-0.30655557302311004</v>
      </c>
      <c r="H71" s="53">
        <v>-0.29850746268656436</v>
      </c>
      <c r="I71" s="53">
        <v>-2.0694444444444371</v>
      </c>
      <c r="M71" s="54"/>
      <c r="N71" s="54"/>
      <c r="P71" s="54"/>
    </row>
    <row r="72" spans="6:16" x14ac:dyDescent="0.3">
      <c r="F72" s="50">
        <v>39508</v>
      </c>
      <c r="G72" s="53">
        <v>-0.30749822597177368</v>
      </c>
      <c r="H72" s="53">
        <v>0.39920159680637868</v>
      </c>
      <c r="I72" s="53">
        <v>1.3615090058147692</v>
      </c>
      <c r="M72" s="54"/>
      <c r="N72" s="54"/>
      <c r="P72" s="54"/>
    </row>
    <row r="73" spans="6:16" x14ac:dyDescent="0.3">
      <c r="F73" s="50">
        <v>39539</v>
      </c>
      <c r="G73" s="53">
        <v>0.99652008857956753</v>
      </c>
      <c r="H73" s="53">
        <v>0</v>
      </c>
      <c r="I73" s="53">
        <v>0.5176997341541969</v>
      </c>
      <c r="M73" s="54"/>
      <c r="N73" s="54"/>
      <c r="P73" s="54"/>
    </row>
    <row r="74" spans="6:16" x14ac:dyDescent="0.3">
      <c r="F74" s="50">
        <v>39569</v>
      </c>
      <c r="G74" s="53">
        <v>1.3312451057165253</v>
      </c>
      <c r="H74" s="53">
        <v>0.59642147117297073</v>
      </c>
      <c r="I74" s="53">
        <v>1.1275055679287336</v>
      </c>
      <c r="M74" s="54"/>
      <c r="N74" s="54"/>
      <c r="P74" s="54"/>
    </row>
    <row r="75" spans="6:16" x14ac:dyDescent="0.3">
      <c r="F75" s="50">
        <v>39600</v>
      </c>
      <c r="G75" s="53">
        <v>1.3833075734157589</v>
      </c>
      <c r="H75" s="53">
        <v>1.5810276679841841</v>
      </c>
      <c r="I75" s="53">
        <v>-0.5092911218169367</v>
      </c>
      <c r="M75" s="54"/>
      <c r="N75" s="54"/>
      <c r="P75" s="54"/>
    </row>
    <row r="76" spans="6:16" x14ac:dyDescent="0.3">
      <c r="F76" s="50">
        <v>39630</v>
      </c>
      <c r="G76" s="53">
        <v>-0.1981858373351558</v>
      </c>
      <c r="H76" s="53">
        <v>0.29182879377431631</v>
      </c>
      <c r="I76" s="53">
        <v>-0.12451577199779111</v>
      </c>
      <c r="M76" s="54"/>
      <c r="N76" s="54"/>
      <c r="P76" s="54"/>
    </row>
    <row r="77" spans="6:16" x14ac:dyDescent="0.3">
      <c r="F77" s="50">
        <v>39661</v>
      </c>
      <c r="G77" s="53">
        <v>4.5826013900559286E-2</v>
      </c>
      <c r="H77" s="53">
        <v>-1.0669253152279286</v>
      </c>
      <c r="I77" s="53">
        <v>0.81728771297964187</v>
      </c>
      <c r="M77" s="54"/>
      <c r="N77" s="54"/>
      <c r="P77" s="54"/>
    </row>
    <row r="78" spans="6:16" x14ac:dyDescent="0.3">
      <c r="F78" s="50">
        <v>39692</v>
      </c>
      <c r="G78" s="53">
        <v>-4.5805023284221903E-2</v>
      </c>
      <c r="H78" s="53">
        <v>1.2745098039215659</v>
      </c>
      <c r="I78" s="53">
        <v>0.83814234679857025</v>
      </c>
      <c r="M78" s="54"/>
      <c r="N78" s="54"/>
      <c r="P78" s="54"/>
    </row>
    <row r="79" spans="6:16" x14ac:dyDescent="0.3">
      <c r="F79" s="50">
        <v>39722</v>
      </c>
      <c r="G79" s="53">
        <v>-2.0927213014588015</v>
      </c>
      <c r="H79" s="53">
        <v>-3.0977734753146207</v>
      </c>
      <c r="I79" s="53">
        <v>0.21801335331788607</v>
      </c>
      <c r="M79" s="54"/>
      <c r="N79" s="54"/>
      <c r="P79" s="54"/>
    </row>
    <row r="80" spans="6:16" x14ac:dyDescent="0.3">
      <c r="F80" s="50">
        <v>39753</v>
      </c>
      <c r="G80" s="53">
        <v>-2.5274982447928815</v>
      </c>
      <c r="H80" s="53">
        <v>-5.6943056943056831</v>
      </c>
      <c r="I80" s="53">
        <v>0.67980965329707677</v>
      </c>
      <c r="M80" s="54"/>
      <c r="N80" s="54"/>
      <c r="P80" s="54"/>
    </row>
    <row r="81" spans="6:16" x14ac:dyDescent="0.3">
      <c r="F81" s="50">
        <v>39783</v>
      </c>
      <c r="G81" s="53">
        <v>-3.2172869147659031</v>
      </c>
      <c r="H81" s="53">
        <v>-11.228813559322044</v>
      </c>
      <c r="I81" s="53">
        <v>1.5124915597569273</v>
      </c>
      <c r="M81" s="54"/>
      <c r="N81" s="54"/>
      <c r="P81" s="54"/>
    </row>
    <row r="82" spans="6:16" x14ac:dyDescent="0.3">
      <c r="F82" s="50">
        <v>39814</v>
      </c>
      <c r="G82" s="53">
        <v>-9.0961713387921639E-2</v>
      </c>
      <c r="H82" s="53">
        <v>2.0286396181384285</v>
      </c>
      <c r="I82" s="53">
        <v>-0.30597312757749634</v>
      </c>
      <c r="M82" s="54"/>
      <c r="N82" s="54"/>
      <c r="P82" s="54"/>
    </row>
    <row r="83" spans="6:16" x14ac:dyDescent="0.3">
      <c r="F83" s="50">
        <v>39845</v>
      </c>
      <c r="G83" s="53">
        <v>1.1339182254593647</v>
      </c>
      <c r="H83" s="53">
        <v>2.4561403508771864</v>
      </c>
      <c r="I83" s="53">
        <v>2.8823058446757361</v>
      </c>
      <c r="M83" s="54"/>
      <c r="N83" s="54"/>
      <c r="P83" s="54"/>
    </row>
    <row r="84" spans="6:16" x14ac:dyDescent="0.3">
      <c r="F84" s="50">
        <v>39873</v>
      </c>
      <c r="G84" s="53">
        <v>0.63835011048367385</v>
      </c>
      <c r="H84" s="53">
        <v>0.45662100456621652</v>
      </c>
      <c r="I84" s="53">
        <v>-0.79118028534370877</v>
      </c>
      <c r="M84" s="54"/>
      <c r="N84" s="54"/>
      <c r="P84" s="54"/>
    </row>
    <row r="85" spans="6:16" x14ac:dyDescent="0.3">
      <c r="F85" s="50">
        <v>39904</v>
      </c>
      <c r="G85" s="53">
        <v>0.5448483369927638</v>
      </c>
      <c r="H85" s="53">
        <v>1.2499999999999936</v>
      </c>
      <c r="I85" s="53">
        <v>1.0458883514185011</v>
      </c>
      <c r="M85" s="54"/>
      <c r="N85" s="54"/>
      <c r="P85" s="54"/>
    </row>
    <row r="86" spans="6:16" x14ac:dyDescent="0.3">
      <c r="F86" s="50">
        <v>39934</v>
      </c>
      <c r="G86" s="53">
        <v>0.9948236816564251</v>
      </c>
      <c r="H86" s="53">
        <v>1.4590347923681386</v>
      </c>
      <c r="I86" s="53">
        <v>0.75042049424246116</v>
      </c>
      <c r="M86" s="54"/>
      <c r="N86" s="54"/>
      <c r="P86" s="54"/>
    </row>
    <row r="87" spans="6:16" x14ac:dyDescent="0.3">
      <c r="F87" s="50">
        <v>39965</v>
      </c>
      <c r="G87" s="53">
        <v>0.84888283815167964</v>
      </c>
      <c r="H87" s="53">
        <v>1.1061946902654867</v>
      </c>
      <c r="I87" s="53">
        <v>0.34673173237446514</v>
      </c>
      <c r="M87" s="54"/>
      <c r="N87" s="54"/>
      <c r="P87" s="54"/>
    </row>
    <row r="88" spans="6:16" x14ac:dyDescent="0.3">
      <c r="F88" s="50">
        <v>39995</v>
      </c>
      <c r="G88" s="53">
        <v>0.28587310410545491</v>
      </c>
      <c r="H88" s="53">
        <v>1.3129102844638825</v>
      </c>
      <c r="I88" s="53">
        <v>0.78065011517788507</v>
      </c>
      <c r="M88" s="54"/>
      <c r="N88" s="54"/>
      <c r="P88" s="54"/>
    </row>
    <row r="89" spans="6:16" x14ac:dyDescent="0.3">
      <c r="F89" s="50">
        <v>40026</v>
      </c>
      <c r="G89" s="53">
        <v>1.4252909969118672</v>
      </c>
      <c r="H89" s="53">
        <v>1.6198704103671708</v>
      </c>
      <c r="I89" s="53">
        <v>1.0920634920634913</v>
      </c>
      <c r="M89" s="54"/>
      <c r="N89" s="54"/>
      <c r="P89" s="54"/>
    </row>
    <row r="90" spans="6:16" x14ac:dyDescent="0.3">
      <c r="F90" s="50">
        <v>40057</v>
      </c>
      <c r="G90" s="53">
        <v>0.80412210164728015</v>
      </c>
      <c r="H90" s="53">
        <v>1.5940488841657812</v>
      </c>
      <c r="I90" s="53">
        <v>2.5122472051244845E-2</v>
      </c>
      <c r="M90" s="54"/>
      <c r="N90" s="54"/>
      <c r="P90" s="54"/>
    </row>
    <row r="91" spans="6:16" x14ac:dyDescent="0.3">
      <c r="F91" s="50">
        <v>40087</v>
      </c>
      <c r="G91" s="53">
        <v>0.51889714993803238</v>
      </c>
      <c r="H91" s="53">
        <v>1.8828451882845307</v>
      </c>
      <c r="I91" s="53">
        <v>1.8962702499058208</v>
      </c>
      <c r="M91" s="54"/>
      <c r="N91" s="54"/>
      <c r="P91" s="54"/>
    </row>
    <row r="92" spans="6:16" x14ac:dyDescent="0.3">
      <c r="F92" s="50">
        <v>40118</v>
      </c>
      <c r="G92" s="53">
        <v>0.17720933816165976</v>
      </c>
      <c r="H92" s="53">
        <v>1.4373716632443443</v>
      </c>
      <c r="I92" s="53">
        <v>0.69016514666009643</v>
      </c>
      <c r="M92" s="54"/>
      <c r="N92" s="54"/>
      <c r="P92" s="54"/>
    </row>
    <row r="93" spans="6:16" x14ac:dyDescent="0.3">
      <c r="F93" s="50">
        <v>40148</v>
      </c>
      <c r="G93" s="53">
        <v>0.98446392862636589</v>
      </c>
      <c r="H93" s="53">
        <v>0.30364372469635342</v>
      </c>
      <c r="I93" s="53">
        <v>0.30599755201958384</v>
      </c>
      <c r="M93" s="54"/>
      <c r="N93" s="54"/>
      <c r="P93" s="54"/>
    </row>
    <row r="94" spans="6:16" x14ac:dyDescent="0.3">
      <c r="F94" s="50">
        <v>40179</v>
      </c>
      <c r="G94" s="53">
        <v>1.6527037319116429</v>
      </c>
      <c r="H94" s="53">
        <v>1.6145307769929451</v>
      </c>
      <c r="I94" s="53">
        <v>0.79316656497863502</v>
      </c>
      <c r="M94" s="54"/>
      <c r="N94" s="54"/>
      <c r="P94" s="54"/>
    </row>
    <row r="95" spans="6:16" x14ac:dyDescent="0.3">
      <c r="F95" s="50">
        <v>40210</v>
      </c>
      <c r="G95" s="53">
        <v>1.2736944631752369</v>
      </c>
      <c r="H95" s="53">
        <v>-0.19860973187686479</v>
      </c>
      <c r="I95" s="53">
        <v>3.4866828087167194</v>
      </c>
      <c r="M95" s="54"/>
      <c r="N95" s="54"/>
      <c r="P95" s="54"/>
    </row>
    <row r="96" spans="6:16" x14ac:dyDescent="0.3">
      <c r="F96" s="50">
        <v>40238</v>
      </c>
      <c r="G96" s="53">
        <v>1.0505289635274218</v>
      </c>
      <c r="H96" s="53">
        <v>2.1890547263681621</v>
      </c>
      <c r="I96" s="53">
        <v>-1.1581656527842876</v>
      </c>
      <c r="M96" s="54"/>
      <c r="N96" s="54"/>
      <c r="P96" s="54"/>
    </row>
    <row r="97" spans="6:16" x14ac:dyDescent="0.3">
      <c r="F97" s="50">
        <v>40269</v>
      </c>
      <c r="G97" s="53">
        <v>0.33677428801523385</v>
      </c>
      <c r="H97" s="53">
        <v>0.38948393378772295</v>
      </c>
      <c r="I97" s="53">
        <v>-0.28405728488577925</v>
      </c>
      <c r="M97" s="54"/>
      <c r="N97" s="54"/>
      <c r="P97" s="54"/>
    </row>
    <row r="98" spans="6:16" x14ac:dyDescent="0.3">
      <c r="F98" s="50">
        <v>40299</v>
      </c>
      <c r="G98" s="53">
        <v>-0.40860999635169809</v>
      </c>
      <c r="H98" s="53">
        <v>-0.19398642095052246</v>
      </c>
      <c r="I98" s="53">
        <v>0.99703264094955901</v>
      </c>
      <c r="M98" s="54"/>
      <c r="N98" s="54"/>
      <c r="P98" s="54"/>
    </row>
    <row r="99" spans="6:16" x14ac:dyDescent="0.3">
      <c r="F99" s="50">
        <v>40330</v>
      </c>
      <c r="G99" s="53">
        <v>-0.19049014579824111</v>
      </c>
      <c r="H99" s="53">
        <v>-0.48590864917395532</v>
      </c>
      <c r="I99" s="53">
        <v>1.7393348219532139</v>
      </c>
      <c r="M99" s="54"/>
      <c r="N99" s="54"/>
      <c r="P99" s="54"/>
    </row>
    <row r="100" spans="6:16" x14ac:dyDescent="0.3">
      <c r="F100" s="50">
        <v>40360</v>
      </c>
      <c r="G100" s="53">
        <v>0.51383689348896511</v>
      </c>
      <c r="H100" s="53">
        <v>-0.58593750000000833</v>
      </c>
      <c r="I100" s="53">
        <v>-1.1435832274459916</v>
      </c>
      <c r="M100" s="54"/>
      <c r="N100" s="54"/>
      <c r="P100" s="54"/>
    </row>
    <row r="101" spans="6:16" x14ac:dyDescent="0.3">
      <c r="F101" s="50">
        <v>40391</v>
      </c>
      <c r="G101" s="53">
        <v>0.54042211348862979</v>
      </c>
      <c r="H101" s="53">
        <v>-0.29469548133595008</v>
      </c>
      <c r="I101" s="53">
        <v>1.4723066136947944</v>
      </c>
      <c r="M101" s="54"/>
      <c r="N101" s="54"/>
      <c r="P101" s="54"/>
    </row>
    <row r="102" spans="6:16" x14ac:dyDescent="0.3">
      <c r="F102" s="50">
        <v>40422</v>
      </c>
      <c r="G102" s="53">
        <v>1.2638919154499959</v>
      </c>
      <c r="H102" s="53">
        <v>0.19704433497537227</v>
      </c>
      <c r="I102" s="53">
        <v>-0.19576232151082645</v>
      </c>
      <c r="M102" s="54"/>
      <c r="N102" s="54"/>
      <c r="P102" s="54"/>
    </row>
    <row r="103" spans="6:16" x14ac:dyDescent="0.3">
      <c r="F103" s="50">
        <v>40452</v>
      </c>
      <c r="G103" s="53">
        <v>-0.49494297396169407</v>
      </c>
      <c r="H103" s="53">
        <v>-0.1966568338249782</v>
      </c>
      <c r="I103" s="53">
        <v>5.7690088842733536E-2</v>
      </c>
      <c r="M103" s="54"/>
      <c r="N103" s="54"/>
      <c r="P103" s="54"/>
    </row>
    <row r="104" spans="6:16" x14ac:dyDescent="0.3">
      <c r="F104" s="50">
        <v>40483</v>
      </c>
      <c r="G104" s="53">
        <v>0.98760092272203326</v>
      </c>
      <c r="H104" s="53">
        <v>0.59113300492610277</v>
      </c>
      <c r="I104" s="53">
        <v>-0.96863468634686734</v>
      </c>
      <c r="M104" s="54"/>
      <c r="N104" s="54"/>
      <c r="P104" s="54"/>
    </row>
    <row r="105" spans="6:16" x14ac:dyDescent="0.3">
      <c r="F105" s="50">
        <v>40513</v>
      </c>
      <c r="G105" s="53">
        <v>-1.2848882861017996</v>
      </c>
      <c r="H105" s="53">
        <v>0.48971596474045059</v>
      </c>
      <c r="I105" s="53">
        <v>0.62878435025617874</v>
      </c>
      <c r="M105" s="54"/>
      <c r="N105" s="54"/>
      <c r="P105" s="54"/>
    </row>
    <row r="106" spans="6:16" x14ac:dyDescent="0.3">
      <c r="F106" s="50">
        <v>40544</v>
      </c>
      <c r="G106" s="53">
        <v>1.3377684575891202</v>
      </c>
      <c r="H106" s="53">
        <v>0.38986354775829019</v>
      </c>
      <c r="I106" s="53">
        <v>0.24299930571626216</v>
      </c>
      <c r="M106" s="54"/>
      <c r="N106" s="54"/>
      <c r="P106" s="54"/>
    </row>
    <row r="107" spans="6:16" x14ac:dyDescent="0.3">
      <c r="F107" s="50">
        <v>40575</v>
      </c>
      <c r="G107" s="53">
        <v>0.41387184244328001</v>
      </c>
      <c r="H107" s="53">
        <v>1.0679611650485381</v>
      </c>
      <c r="I107" s="53">
        <v>0.99272769248528159</v>
      </c>
      <c r="M107" s="54"/>
      <c r="N107" s="54"/>
      <c r="P107" s="54"/>
    </row>
    <row r="108" spans="6:16" x14ac:dyDescent="0.3">
      <c r="F108" s="50">
        <v>40603</v>
      </c>
      <c r="G108" s="53">
        <v>0.27003979533825717</v>
      </c>
      <c r="H108" s="53">
        <v>0.48030739673390976</v>
      </c>
      <c r="I108" s="53">
        <v>0.76580180592067859</v>
      </c>
      <c r="M108" s="54"/>
      <c r="N108" s="54"/>
      <c r="P108" s="54"/>
    </row>
    <row r="109" spans="6:16" x14ac:dyDescent="0.3">
      <c r="F109" s="50">
        <v>40634</v>
      </c>
      <c r="G109" s="53">
        <v>-0.18426647767540105</v>
      </c>
      <c r="H109" s="53">
        <v>-2.4856596558317348</v>
      </c>
      <c r="I109" s="53">
        <v>0.60117967332123545</v>
      </c>
      <c r="M109" s="54"/>
      <c r="N109" s="54"/>
      <c r="P109" s="54"/>
    </row>
    <row r="110" spans="6:16" x14ac:dyDescent="0.3">
      <c r="F110" s="50">
        <v>40664</v>
      </c>
      <c r="G110" s="53">
        <v>0.30531099119568789</v>
      </c>
      <c r="H110" s="53">
        <v>2.9411764705882351</v>
      </c>
      <c r="I110" s="53">
        <v>0.24805502311421676</v>
      </c>
      <c r="M110" s="54"/>
      <c r="N110" s="54"/>
      <c r="P110" s="54"/>
    </row>
    <row r="111" spans="6:16" x14ac:dyDescent="0.3">
      <c r="F111" s="50">
        <v>40695</v>
      </c>
      <c r="G111" s="53">
        <v>0.67247115452678463</v>
      </c>
      <c r="H111" s="53">
        <v>-1.9047619047619049</v>
      </c>
      <c r="I111" s="53">
        <v>-0.4836351366550361</v>
      </c>
      <c r="M111" s="54"/>
      <c r="N111" s="54"/>
      <c r="P111" s="54"/>
    </row>
    <row r="112" spans="6:16" x14ac:dyDescent="0.3">
      <c r="F112" s="50">
        <v>40725</v>
      </c>
      <c r="G112" s="53">
        <v>2.1094079594994472E-2</v>
      </c>
      <c r="H112" s="53">
        <v>0</v>
      </c>
      <c r="I112" s="53">
        <v>1.548372513562376</v>
      </c>
      <c r="M112" s="54"/>
      <c r="N112" s="54"/>
      <c r="P112" s="54"/>
    </row>
    <row r="113" spans="6:16" x14ac:dyDescent="0.3">
      <c r="F113" s="50">
        <v>40756</v>
      </c>
      <c r="G113" s="53">
        <v>-0.20386643233742852</v>
      </c>
      <c r="H113" s="53">
        <v>-1.0679611650485381</v>
      </c>
      <c r="I113" s="53">
        <v>-0.11129660545352733</v>
      </c>
      <c r="M113" s="54"/>
      <c r="N113" s="54"/>
      <c r="P113" s="54"/>
    </row>
    <row r="114" spans="6:16" x14ac:dyDescent="0.3">
      <c r="F114" s="50">
        <v>40787</v>
      </c>
      <c r="G114" s="53">
        <v>-0.11975204282897711</v>
      </c>
      <c r="H114" s="53">
        <v>-1.4720314033366044</v>
      </c>
      <c r="I114" s="53">
        <v>-0.40111420612813303</v>
      </c>
      <c r="M114" s="54"/>
      <c r="N114" s="54"/>
      <c r="P114" s="54"/>
    </row>
    <row r="115" spans="6:16" x14ac:dyDescent="0.3">
      <c r="F115" s="50">
        <v>40817</v>
      </c>
      <c r="G115" s="53">
        <v>-0.14810635446786061</v>
      </c>
      <c r="H115" s="53">
        <v>-0.99601593625498008</v>
      </c>
      <c r="I115" s="53">
        <v>0.14543013759927895</v>
      </c>
      <c r="M115" s="54"/>
      <c r="N115" s="54"/>
      <c r="P115" s="54"/>
    </row>
    <row r="116" spans="6:16" x14ac:dyDescent="0.3">
      <c r="F116" s="50">
        <v>40848</v>
      </c>
      <c r="G116" s="53">
        <v>0.47323068229975102</v>
      </c>
      <c r="H116" s="53">
        <v>0.50301810865191143</v>
      </c>
      <c r="I116" s="53">
        <v>1.016532618409306</v>
      </c>
      <c r="M116" s="54"/>
      <c r="N116" s="54"/>
      <c r="P116" s="54"/>
    </row>
    <row r="117" spans="6:16" x14ac:dyDescent="0.3">
      <c r="F117" s="50">
        <v>40878</v>
      </c>
      <c r="G117" s="53">
        <v>-1.2653778558875299</v>
      </c>
      <c r="H117" s="53">
        <v>2.5025025025025025</v>
      </c>
      <c r="I117" s="53">
        <v>-1.4154594714143547</v>
      </c>
      <c r="M117" s="54"/>
      <c r="N117" s="54"/>
      <c r="P117" s="54"/>
    </row>
    <row r="118" spans="6:16" x14ac:dyDescent="0.3">
      <c r="F118" s="50">
        <v>40909</v>
      </c>
      <c r="G118" s="53">
        <v>-1.1249555001779881</v>
      </c>
      <c r="H118" s="53">
        <v>-4.1992187500000107</v>
      </c>
      <c r="I118" s="53">
        <v>7.874369040942228</v>
      </c>
      <c r="M118" s="54"/>
      <c r="N118" s="54"/>
      <c r="P118" s="54"/>
    </row>
    <row r="119" spans="6:16" x14ac:dyDescent="0.3">
      <c r="F119" s="50">
        <v>40940</v>
      </c>
      <c r="G119" s="53">
        <v>1.1665586519766722</v>
      </c>
      <c r="H119" s="53">
        <v>0.81549439347605657</v>
      </c>
      <c r="I119" s="53">
        <v>-0.35354060517833358</v>
      </c>
      <c r="M119" s="54"/>
      <c r="N119" s="54"/>
      <c r="P119" s="54"/>
    </row>
    <row r="120" spans="6:16" x14ac:dyDescent="0.3">
      <c r="F120" s="50">
        <v>40969</v>
      </c>
      <c r="G120" s="53">
        <v>-0.30607160652004184</v>
      </c>
      <c r="H120" s="53">
        <v>-0.60667340748231402</v>
      </c>
      <c r="I120" s="53">
        <v>1.0539497025983566</v>
      </c>
      <c r="M120" s="54"/>
      <c r="N120" s="54"/>
      <c r="P120" s="54"/>
    </row>
    <row r="121" spans="6:16" x14ac:dyDescent="0.3">
      <c r="F121" s="50">
        <v>41000</v>
      </c>
      <c r="G121" s="53">
        <v>0.69970012851634289</v>
      </c>
      <c r="H121" s="53">
        <v>0.10172939979654987</v>
      </c>
      <c r="I121" s="53">
        <v>-1.0532837670384245</v>
      </c>
      <c r="M121" s="54"/>
      <c r="N121" s="54"/>
      <c r="P121" s="54"/>
    </row>
    <row r="122" spans="6:16" x14ac:dyDescent="0.3">
      <c r="F122" s="50">
        <v>41030</v>
      </c>
      <c r="G122" s="53">
        <v>1.1557005104934739</v>
      </c>
      <c r="H122" s="53">
        <v>0.50813008130081294</v>
      </c>
      <c r="I122" s="53">
        <v>0.24003339595074516</v>
      </c>
      <c r="M122" s="54"/>
      <c r="N122" s="54"/>
      <c r="P122" s="54"/>
    </row>
    <row r="123" spans="6:16" x14ac:dyDescent="0.3">
      <c r="F123" s="50">
        <v>41061</v>
      </c>
      <c r="G123" s="53">
        <v>0.62381720053270828</v>
      </c>
      <c r="H123" s="53">
        <v>0.20222446916075693</v>
      </c>
      <c r="I123" s="53">
        <v>1.0619469026548631</v>
      </c>
      <c r="M123" s="54"/>
      <c r="N123" s="54"/>
      <c r="P123" s="54"/>
    </row>
    <row r="124" spans="6:16" x14ac:dyDescent="0.3">
      <c r="F124" s="50">
        <v>41091</v>
      </c>
      <c r="G124" s="53">
        <v>0.32738924491501731</v>
      </c>
      <c r="H124" s="53">
        <v>1.3118062563067725</v>
      </c>
      <c r="I124" s="53">
        <v>0.64901617389513722</v>
      </c>
      <c r="M124" s="54"/>
      <c r="N124" s="54"/>
      <c r="P124" s="54"/>
    </row>
    <row r="125" spans="6:16" x14ac:dyDescent="0.3">
      <c r="F125" s="50">
        <v>41122</v>
      </c>
      <c r="G125" s="53">
        <v>0.22217593556897397</v>
      </c>
      <c r="H125" s="53">
        <v>1.8924302788844536</v>
      </c>
      <c r="I125" s="53">
        <v>-1.2998976458546529</v>
      </c>
      <c r="M125" s="54"/>
      <c r="N125" s="54"/>
      <c r="P125" s="54"/>
    </row>
    <row r="126" spans="6:16" x14ac:dyDescent="0.3">
      <c r="F126" s="50">
        <v>41153</v>
      </c>
      <c r="G126" s="53">
        <v>-0.44336681676479833</v>
      </c>
      <c r="H126" s="53">
        <v>-1.5640273704789778</v>
      </c>
      <c r="I126" s="53">
        <v>1.6177538110546386</v>
      </c>
      <c r="M126" s="54"/>
      <c r="N126" s="54"/>
      <c r="P126" s="54"/>
    </row>
    <row r="127" spans="6:16" x14ac:dyDescent="0.3">
      <c r="F127" s="50">
        <v>41183</v>
      </c>
      <c r="G127" s="53">
        <v>0.80022267065618657</v>
      </c>
      <c r="H127" s="53">
        <v>1.2909632571995999</v>
      </c>
      <c r="I127" s="53">
        <v>-0.80620471476680489</v>
      </c>
      <c r="M127" s="54"/>
      <c r="N127" s="54"/>
      <c r="P127" s="54"/>
    </row>
    <row r="128" spans="6:16" x14ac:dyDescent="0.3">
      <c r="F128" s="50">
        <v>41214</v>
      </c>
      <c r="G128" s="53">
        <v>-0.19329007317409991</v>
      </c>
      <c r="H128" s="53">
        <v>-1.3725490196078487</v>
      </c>
      <c r="I128" s="53">
        <v>4.1152263374477409E-2</v>
      </c>
      <c r="M128" s="54"/>
      <c r="N128" s="54"/>
      <c r="P128" s="54"/>
    </row>
    <row r="129" spans="6:16" x14ac:dyDescent="0.3">
      <c r="F129" s="50">
        <v>41244</v>
      </c>
      <c r="G129" s="53">
        <v>-0.29049661087288414</v>
      </c>
      <c r="H129" s="53">
        <v>0.69582504970179215</v>
      </c>
      <c r="I129" s="53">
        <v>9.2554504319213707E-2</v>
      </c>
      <c r="M129" s="54"/>
      <c r="N129" s="54"/>
      <c r="P129" s="54"/>
    </row>
    <row r="130" spans="6:16" x14ac:dyDescent="0.3">
      <c r="F130" s="50">
        <v>41275</v>
      </c>
      <c r="G130" s="53">
        <v>0.57574916759157369</v>
      </c>
      <c r="H130" s="53">
        <v>0.98716683119447179</v>
      </c>
      <c r="I130" s="53">
        <v>0.10274324463167422</v>
      </c>
      <c r="M130" s="54"/>
      <c r="N130" s="54"/>
      <c r="P130" s="54"/>
    </row>
    <row r="131" spans="6:16" x14ac:dyDescent="0.3">
      <c r="F131" s="50">
        <v>41306</v>
      </c>
      <c r="G131" s="53">
        <v>-0.84143734050624097</v>
      </c>
      <c r="H131" s="53">
        <v>-2.737047898338218</v>
      </c>
      <c r="I131" s="53">
        <v>-0.6363543056553469</v>
      </c>
      <c r="M131" s="54"/>
      <c r="N131" s="54"/>
      <c r="P131" s="54"/>
    </row>
    <row r="132" spans="6:16" x14ac:dyDescent="0.3">
      <c r="F132" s="50">
        <v>41334</v>
      </c>
      <c r="G132" s="53">
        <v>0.82075537316545744</v>
      </c>
      <c r="H132" s="53">
        <v>1.9095477386934729</v>
      </c>
      <c r="I132" s="53">
        <v>0.36153289949384809</v>
      </c>
      <c r="M132" s="54"/>
      <c r="N132" s="54"/>
      <c r="P132" s="54"/>
    </row>
    <row r="133" spans="6:16" x14ac:dyDescent="0.3">
      <c r="F133" s="50">
        <v>41365</v>
      </c>
      <c r="G133" s="53">
        <v>0.88996205588135258</v>
      </c>
      <c r="H133" s="53">
        <v>1.5779092702169568</v>
      </c>
      <c r="I133" s="53">
        <v>-2.1099217785096722</v>
      </c>
      <c r="M133" s="54"/>
      <c r="N133" s="54"/>
      <c r="P133" s="54"/>
    </row>
    <row r="134" spans="6:16" x14ac:dyDescent="0.3">
      <c r="F134" s="50">
        <v>41395</v>
      </c>
      <c r="G134" s="53">
        <v>0.40344638949672007</v>
      </c>
      <c r="H134" s="53">
        <v>-0.2912621359223273</v>
      </c>
      <c r="I134" s="53">
        <v>3.3960677110713955</v>
      </c>
      <c r="M134" s="54"/>
      <c r="N134" s="54"/>
      <c r="P134" s="54"/>
    </row>
    <row r="135" spans="6:16" x14ac:dyDescent="0.3">
      <c r="F135" s="50">
        <v>41426</v>
      </c>
      <c r="G135" s="53">
        <v>-0.32690866989036171</v>
      </c>
      <c r="H135" s="53">
        <v>0.5842259006815913</v>
      </c>
      <c r="I135" s="53">
        <v>-0.9558673988204166</v>
      </c>
      <c r="M135" s="54"/>
      <c r="N135" s="54"/>
      <c r="P135" s="54"/>
    </row>
    <row r="136" spans="6:16" x14ac:dyDescent="0.3">
      <c r="F136" s="50">
        <v>41456</v>
      </c>
      <c r="G136" s="53">
        <v>0.57396651861974957</v>
      </c>
      <c r="H136" s="53">
        <v>-0.67763794772507535</v>
      </c>
      <c r="I136" s="53">
        <v>2.5770020533880809</v>
      </c>
      <c r="M136" s="54"/>
      <c r="N136" s="54"/>
      <c r="P136" s="54"/>
    </row>
    <row r="137" spans="6:16" x14ac:dyDescent="0.3">
      <c r="F137" s="50">
        <v>41487</v>
      </c>
      <c r="G137" s="53">
        <v>-5.4351518445535763E-2</v>
      </c>
      <c r="H137" s="53">
        <v>9.7465886939579471E-2</v>
      </c>
      <c r="I137" s="53">
        <v>0.52046842157943174</v>
      </c>
      <c r="M137" s="54"/>
      <c r="N137" s="54"/>
      <c r="P137" s="54"/>
    </row>
    <row r="138" spans="6:16" x14ac:dyDescent="0.3">
      <c r="F138" s="50">
        <v>41518</v>
      </c>
      <c r="G138" s="53">
        <v>0.70015634559171547</v>
      </c>
      <c r="H138" s="53">
        <v>0.5842259006815913</v>
      </c>
      <c r="I138" s="53">
        <v>0.58747386239170485</v>
      </c>
      <c r="M138" s="54"/>
      <c r="N138" s="54"/>
      <c r="P138" s="54"/>
    </row>
    <row r="139" spans="6:16" x14ac:dyDescent="0.3">
      <c r="F139" s="50">
        <v>41548</v>
      </c>
      <c r="G139" s="53">
        <v>-0.10125556905628277</v>
      </c>
      <c r="H139" s="53">
        <v>-1.0648596321393942</v>
      </c>
      <c r="I139" s="53">
        <v>-1.5343496337358911</v>
      </c>
      <c r="M139" s="54"/>
      <c r="N139" s="54"/>
      <c r="P139" s="54"/>
    </row>
    <row r="140" spans="6:16" x14ac:dyDescent="0.3">
      <c r="F140" s="50">
        <v>41579</v>
      </c>
      <c r="G140" s="53">
        <v>0.23650246638285988</v>
      </c>
      <c r="H140" s="53">
        <v>0.58708414872797876</v>
      </c>
      <c r="I140" s="53">
        <v>1.0555946516537622</v>
      </c>
      <c r="M140" s="54"/>
      <c r="N140" s="54"/>
      <c r="P140" s="54"/>
    </row>
    <row r="141" spans="6:16" x14ac:dyDescent="0.3">
      <c r="F141" s="50">
        <v>41609</v>
      </c>
      <c r="G141" s="53">
        <v>0.1820142914925241</v>
      </c>
      <c r="H141" s="53">
        <v>-3.5992217898832717</v>
      </c>
      <c r="I141" s="53">
        <v>1.1042578591325105</v>
      </c>
      <c r="M141" s="54"/>
      <c r="N141" s="54"/>
      <c r="P141" s="54"/>
    </row>
    <row r="142" spans="6:16" x14ac:dyDescent="0.3">
      <c r="F142" s="50">
        <v>41640</v>
      </c>
      <c r="G142" s="53">
        <v>-0.22878675728416889</v>
      </c>
      <c r="H142" s="53">
        <v>1.7154389505549978</v>
      </c>
      <c r="I142" s="53">
        <v>0.10823575715831885</v>
      </c>
      <c r="M142" s="54"/>
      <c r="N142" s="54"/>
      <c r="P142" s="54"/>
    </row>
    <row r="143" spans="6:16" x14ac:dyDescent="0.3">
      <c r="F143" s="50">
        <v>41671</v>
      </c>
      <c r="G143" s="53">
        <v>-0.28326701288191536</v>
      </c>
      <c r="H143" s="53">
        <v>0.49603174603174599</v>
      </c>
      <c r="I143" s="53">
        <v>-0.16709258895223286</v>
      </c>
      <c r="M143" s="54"/>
      <c r="N143" s="54"/>
      <c r="P143" s="54"/>
    </row>
    <row r="144" spans="6:16" x14ac:dyDescent="0.3">
      <c r="F144" s="50">
        <v>41699</v>
      </c>
      <c r="G144" s="53">
        <v>2.7054447074732528E-2</v>
      </c>
      <c r="H144" s="53">
        <v>-0.29615004935833872</v>
      </c>
      <c r="I144" s="53">
        <v>-0.25598109678053649</v>
      </c>
      <c r="M144" s="54"/>
      <c r="N144" s="54"/>
      <c r="P144" s="54"/>
    </row>
    <row r="145" spans="6:16" x14ac:dyDescent="0.3">
      <c r="F145" s="50">
        <v>41730</v>
      </c>
      <c r="G145" s="53">
        <v>-0.68294002299005407</v>
      </c>
      <c r="H145" s="53">
        <v>-0.79207920792078934</v>
      </c>
      <c r="I145" s="53">
        <v>-2.8328891521073976</v>
      </c>
      <c r="M145" s="54"/>
      <c r="N145" s="54"/>
      <c r="P145" s="54"/>
    </row>
    <row r="146" spans="6:16" x14ac:dyDescent="0.3">
      <c r="F146" s="50">
        <v>41760</v>
      </c>
      <c r="G146" s="53">
        <v>-0.39488017429192818</v>
      </c>
      <c r="H146" s="53">
        <v>-1.0978043912175734</v>
      </c>
      <c r="I146" s="53">
        <v>1.1072734660707064</v>
      </c>
      <c r="M146" s="54"/>
      <c r="N146" s="54"/>
      <c r="P146" s="54"/>
    </row>
    <row r="147" spans="6:16" x14ac:dyDescent="0.3">
      <c r="F147" s="50">
        <v>41791</v>
      </c>
      <c r="G147" s="53">
        <v>-1.8386876281613107</v>
      </c>
      <c r="H147" s="53">
        <v>-2.9263370332996885</v>
      </c>
      <c r="I147" s="53">
        <v>0.7635888676780922</v>
      </c>
      <c r="M147" s="54"/>
      <c r="N147" s="54"/>
      <c r="P147" s="54"/>
    </row>
    <row r="148" spans="6:16" x14ac:dyDescent="0.3">
      <c r="F148" s="50">
        <v>41821</v>
      </c>
      <c r="G148" s="53">
        <v>0.83559640693544224</v>
      </c>
      <c r="H148" s="53">
        <v>2.5987525987525983</v>
      </c>
      <c r="I148" s="53">
        <v>-0.81762887625885672</v>
      </c>
      <c r="M148" s="54"/>
      <c r="N148" s="54"/>
      <c r="P148" s="54"/>
    </row>
    <row r="149" spans="6:16" x14ac:dyDescent="0.3">
      <c r="F149" s="50">
        <v>41852</v>
      </c>
      <c r="G149" s="53">
        <v>0.53173123403080602</v>
      </c>
      <c r="H149" s="53">
        <v>0.40526849037486473</v>
      </c>
      <c r="I149" s="53">
        <v>-0.38202473107469131</v>
      </c>
      <c r="M149" s="54"/>
      <c r="N149" s="54"/>
      <c r="P149" s="54"/>
    </row>
    <row r="150" spans="6:16" x14ac:dyDescent="0.3">
      <c r="F150" s="50">
        <v>41883</v>
      </c>
      <c r="G150" s="53">
        <v>0.45335897788157475</v>
      </c>
      <c r="H150" s="53">
        <v>0.10090817356206713</v>
      </c>
      <c r="I150" s="53">
        <v>-7.0642849934410529E-2</v>
      </c>
      <c r="M150" s="54"/>
      <c r="N150" s="54"/>
      <c r="P150" s="54"/>
    </row>
    <row r="151" spans="6:16" x14ac:dyDescent="0.3">
      <c r="F151" s="50">
        <v>41913</v>
      </c>
      <c r="G151" s="53">
        <v>-0.56072210065646988</v>
      </c>
      <c r="H151" s="53">
        <v>0.1008064516128975</v>
      </c>
      <c r="I151" s="53">
        <v>1.4138557867097614</v>
      </c>
      <c r="M151" s="54"/>
      <c r="N151" s="54"/>
      <c r="P151" s="54"/>
    </row>
    <row r="152" spans="6:16" x14ac:dyDescent="0.3">
      <c r="F152" s="50">
        <v>41944</v>
      </c>
      <c r="G152" s="53">
        <v>9.6272864805401454E-2</v>
      </c>
      <c r="H152" s="53">
        <v>-0.80563947633433763</v>
      </c>
      <c r="I152" s="53">
        <v>-0.64728141804422001</v>
      </c>
      <c r="M152" s="54"/>
      <c r="N152" s="54"/>
      <c r="P152" s="54"/>
    </row>
    <row r="153" spans="6:16" x14ac:dyDescent="0.3">
      <c r="F153" s="50">
        <v>41974</v>
      </c>
      <c r="G153" s="53">
        <v>0.44655125034350485</v>
      </c>
      <c r="H153" s="53">
        <v>-2.9441624365482291</v>
      </c>
      <c r="I153" s="53">
        <v>0.63145234038289033</v>
      </c>
      <c r="M153" s="54"/>
      <c r="N153" s="54"/>
      <c r="P153" s="54"/>
    </row>
    <row r="154" spans="6:16" x14ac:dyDescent="0.3">
      <c r="F154" s="50">
        <v>42005</v>
      </c>
      <c r="G154" s="53">
        <v>-0.85493468299021946</v>
      </c>
      <c r="H154" s="53">
        <v>0.62761506276151524</v>
      </c>
      <c r="I154" s="53">
        <v>-0.12948207171315701</v>
      </c>
      <c r="M154" s="54"/>
      <c r="N154" s="54"/>
      <c r="P154" s="54"/>
    </row>
    <row r="155" spans="6:16" x14ac:dyDescent="0.3">
      <c r="F155" s="50">
        <v>42036</v>
      </c>
      <c r="G155" s="53">
        <v>-0.6760485651214253</v>
      </c>
      <c r="H155" s="53">
        <v>-0.72765072765073058</v>
      </c>
      <c r="I155" s="53">
        <v>-0.45876134437019422</v>
      </c>
      <c r="M155" s="54"/>
      <c r="N155" s="54"/>
      <c r="P155" s="54"/>
    </row>
    <row r="156" spans="6:16" x14ac:dyDescent="0.3">
      <c r="F156" s="50">
        <v>42064</v>
      </c>
      <c r="G156" s="53">
        <v>-0.17363522711487708</v>
      </c>
      <c r="H156" s="53">
        <v>-0.62827225130889452</v>
      </c>
      <c r="I156" s="53">
        <v>-0.99188458070334551</v>
      </c>
      <c r="M156" s="54"/>
      <c r="N156" s="54"/>
      <c r="P156" s="54"/>
    </row>
    <row r="157" spans="6:16" x14ac:dyDescent="0.3">
      <c r="F157" s="50">
        <v>42095</v>
      </c>
      <c r="G157" s="53">
        <v>-0.93926111458985206</v>
      </c>
      <c r="H157" s="53">
        <v>-1.8967334035827306</v>
      </c>
      <c r="I157" s="53">
        <v>-0.25298522566282128</v>
      </c>
      <c r="M157" s="54"/>
      <c r="N157" s="54"/>
      <c r="P157" s="54"/>
    </row>
    <row r="158" spans="6:16" x14ac:dyDescent="0.3">
      <c r="F158" s="50">
        <v>42125</v>
      </c>
      <c r="G158" s="53">
        <v>-0.91304958561594529</v>
      </c>
      <c r="H158" s="53">
        <v>-0.96670247046185998</v>
      </c>
      <c r="I158" s="53">
        <v>-0.89276656183422487</v>
      </c>
      <c r="M158" s="54"/>
      <c r="N158" s="54"/>
      <c r="P158" s="54"/>
    </row>
    <row r="159" spans="6:16" x14ac:dyDescent="0.3">
      <c r="F159" s="50">
        <v>42156</v>
      </c>
      <c r="G159" s="53">
        <v>-1.0632265381343917</v>
      </c>
      <c r="H159" s="53">
        <v>-0.97613882863341173</v>
      </c>
      <c r="I159" s="53">
        <v>6.1418773671821345E-2</v>
      </c>
      <c r="M159" s="54"/>
      <c r="N159" s="54"/>
      <c r="P159" s="54"/>
    </row>
    <row r="160" spans="6:16" x14ac:dyDescent="0.3">
      <c r="F160" s="50">
        <v>42186</v>
      </c>
      <c r="G160" s="53">
        <v>-0.65195586760282631</v>
      </c>
      <c r="H160" s="53">
        <v>-1.7524644030668064</v>
      </c>
      <c r="I160" s="53">
        <v>-1.4526854219948866</v>
      </c>
      <c r="M160" s="54"/>
      <c r="N160" s="54"/>
      <c r="P160" s="54"/>
    </row>
    <row r="161" spans="6:16" x14ac:dyDescent="0.3">
      <c r="F161" s="50">
        <v>42217</v>
      </c>
      <c r="G161" s="53">
        <v>0.18749549289681933</v>
      </c>
      <c r="H161" s="53">
        <v>0.55741360089186176</v>
      </c>
      <c r="I161" s="53">
        <v>-1.3910515934807468</v>
      </c>
      <c r="M161" s="54"/>
      <c r="N161" s="54"/>
      <c r="P161" s="54"/>
    </row>
    <row r="162" spans="6:16" x14ac:dyDescent="0.3">
      <c r="F162" s="50">
        <v>42248</v>
      </c>
      <c r="G162" s="53">
        <v>-0.97891024256820969</v>
      </c>
      <c r="H162" s="53">
        <v>-2.3281596452328253</v>
      </c>
      <c r="I162" s="53">
        <v>1.5264764712074985</v>
      </c>
      <c r="M162" s="54"/>
      <c r="N162" s="54"/>
      <c r="P162" s="54"/>
    </row>
    <row r="163" spans="6:16" x14ac:dyDescent="0.3">
      <c r="F163" s="50">
        <v>42278</v>
      </c>
      <c r="G163" s="53">
        <v>0.68328850766882154</v>
      </c>
      <c r="H163" s="53">
        <v>-0.22701475595912446</v>
      </c>
      <c r="I163" s="53">
        <v>1.9805060141020288</v>
      </c>
      <c r="M163" s="54"/>
      <c r="N163" s="54"/>
      <c r="P163" s="54"/>
    </row>
    <row r="164" spans="6:16" x14ac:dyDescent="0.3">
      <c r="F164" s="50">
        <v>42309</v>
      </c>
      <c r="G164" s="53">
        <v>-1.3212042451808419</v>
      </c>
      <c r="H164" s="53">
        <v>-1.7064846416382253</v>
      </c>
      <c r="I164" s="53">
        <v>-2.6537874936451442</v>
      </c>
      <c r="M164" s="54"/>
      <c r="N164" s="54"/>
      <c r="P164" s="54"/>
    </row>
    <row r="165" spans="6:16" x14ac:dyDescent="0.3">
      <c r="F165" s="50">
        <v>42339</v>
      </c>
      <c r="G165" s="53">
        <v>-0.27070529704419416</v>
      </c>
      <c r="H165" s="53">
        <v>-1.5046296296296426</v>
      </c>
      <c r="I165" s="53">
        <v>0.31334865260080569</v>
      </c>
      <c r="M165" s="54"/>
      <c r="N165" s="54"/>
      <c r="P165" s="54"/>
    </row>
    <row r="166" spans="6:16" x14ac:dyDescent="0.3">
      <c r="F166" s="50">
        <v>42370</v>
      </c>
      <c r="G166" s="53">
        <v>-0.57956129410901036</v>
      </c>
      <c r="H166" s="53">
        <v>1.0575793184488904</v>
      </c>
      <c r="I166" s="53">
        <v>-1.1349437734277419</v>
      </c>
      <c r="M166" s="54"/>
      <c r="N166" s="54"/>
      <c r="P166" s="54"/>
    </row>
    <row r="167" spans="6:16" x14ac:dyDescent="0.3">
      <c r="F167" s="50">
        <v>42401</v>
      </c>
      <c r="G167" s="53">
        <v>-7.3789846517261851E-3</v>
      </c>
      <c r="H167" s="53">
        <v>-1.2790697674418539</v>
      </c>
      <c r="I167" s="53">
        <v>0.62137967351237855</v>
      </c>
      <c r="M167" s="54"/>
      <c r="N167" s="54"/>
      <c r="P167" s="54"/>
    </row>
    <row r="168" spans="6:16" x14ac:dyDescent="0.3">
      <c r="F168" s="50">
        <v>42430</v>
      </c>
      <c r="G168" s="53">
        <v>-0.66415762674339707</v>
      </c>
      <c r="H168" s="53">
        <v>0.58892815076560656</v>
      </c>
      <c r="I168" s="53">
        <v>-1.1304165794431782</v>
      </c>
      <c r="M168" s="54"/>
      <c r="N168" s="54"/>
      <c r="P168" s="54"/>
    </row>
    <row r="169" spans="6:16" x14ac:dyDescent="0.3">
      <c r="F169" s="50">
        <v>42461</v>
      </c>
      <c r="G169" s="53">
        <v>8.9146422999759389E-2</v>
      </c>
      <c r="H169" s="53">
        <v>0.11709601873535634</v>
      </c>
      <c r="I169" s="53">
        <v>0.39170019055685429</v>
      </c>
      <c r="M169" s="54"/>
      <c r="N169" s="54"/>
      <c r="P169" s="54"/>
    </row>
    <row r="170" spans="6:16" x14ac:dyDescent="0.3">
      <c r="F170" s="50">
        <v>42491</v>
      </c>
      <c r="G170" s="53">
        <v>-0.32657908409411252</v>
      </c>
      <c r="H170" s="53">
        <v>0.23391812865497411</v>
      </c>
      <c r="I170" s="53">
        <v>0.37962670041126167</v>
      </c>
      <c r="M170" s="54"/>
      <c r="N170" s="54"/>
      <c r="P170" s="54"/>
    </row>
    <row r="171" spans="6:16" x14ac:dyDescent="0.3">
      <c r="F171" s="50">
        <v>42522</v>
      </c>
      <c r="G171" s="53">
        <v>0.40956139697670069</v>
      </c>
      <c r="H171" s="53">
        <v>-1.1668611435239207</v>
      </c>
      <c r="I171" s="53">
        <v>-1.2081100955982682</v>
      </c>
      <c r="M171" s="54"/>
      <c r="N171" s="54"/>
      <c r="P171" s="54"/>
    </row>
    <row r="172" spans="6:16" x14ac:dyDescent="0.3">
      <c r="F172" s="50">
        <v>42552</v>
      </c>
      <c r="G172" s="53">
        <v>-0.1705725304064</v>
      </c>
      <c r="H172" s="53">
        <v>0.70838252656433798</v>
      </c>
      <c r="I172" s="53">
        <v>0.85070182900892932</v>
      </c>
      <c r="M172" s="54"/>
      <c r="N172" s="54"/>
      <c r="P172" s="54"/>
    </row>
    <row r="173" spans="6:16" x14ac:dyDescent="0.3">
      <c r="F173" s="50">
        <v>42583</v>
      </c>
      <c r="G173" s="53">
        <v>-0.45316098358221046</v>
      </c>
      <c r="H173" s="53">
        <v>-1.9929660023446694</v>
      </c>
      <c r="I173" s="53">
        <v>-0.20033741037536662</v>
      </c>
      <c r="M173" s="54"/>
      <c r="N173" s="54"/>
      <c r="P173" s="54"/>
    </row>
    <row r="174" spans="6:16" x14ac:dyDescent="0.3">
      <c r="F174" s="50">
        <v>42614</v>
      </c>
      <c r="G174" s="53">
        <v>-0.18656716417910446</v>
      </c>
      <c r="H174" s="53">
        <v>1.0765550239234518</v>
      </c>
      <c r="I174" s="53">
        <v>-1.1727416798732164</v>
      </c>
      <c r="M174" s="54"/>
      <c r="N174" s="54"/>
      <c r="P174" s="54"/>
    </row>
    <row r="175" spans="6:16" x14ac:dyDescent="0.3">
      <c r="F175" s="50">
        <v>42644</v>
      </c>
      <c r="G175" s="53">
        <v>-0.33644859813083261</v>
      </c>
      <c r="H175" s="53">
        <v>-1.3017751479289872</v>
      </c>
      <c r="I175" s="53">
        <v>1.0690613641213282E-2</v>
      </c>
      <c r="M175" s="54"/>
      <c r="N175" s="54"/>
      <c r="P175" s="54"/>
    </row>
    <row r="176" spans="6:16" x14ac:dyDescent="0.3">
      <c r="F176" s="50">
        <v>42675</v>
      </c>
      <c r="G176" s="53">
        <v>-0.21005251312828291</v>
      </c>
      <c r="H176" s="53">
        <v>0.95923261390886938</v>
      </c>
      <c r="I176" s="53">
        <v>-0.67343666488508336</v>
      </c>
      <c r="M176" s="54"/>
      <c r="N176" s="54"/>
      <c r="P176" s="54"/>
    </row>
    <row r="177" spans="6:16" x14ac:dyDescent="0.3">
      <c r="F177" s="50">
        <v>42705</v>
      </c>
      <c r="G177" s="53">
        <v>-0.49616599007667755</v>
      </c>
      <c r="H177" s="53">
        <v>1.543942992874106</v>
      </c>
      <c r="I177" s="53">
        <v>-2.0017219113215661</v>
      </c>
      <c r="M177" s="54"/>
      <c r="N177" s="54"/>
      <c r="P177" s="54"/>
    </row>
    <row r="178" spans="6:16" x14ac:dyDescent="0.3">
      <c r="F178" s="50">
        <v>42736</v>
      </c>
      <c r="G178" s="53">
        <v>0.76307041402235631</v>
      </c>
      <c r="H178" s="53">
        <v>0.81871345029240106</v>
      </c>
      <c r="I178" s="53">
        <v>8.8732703711838319</v>
      </c>
      <c r="M178" s="54"/>
      <c r="N178" s="54"/>
      <c r="P178" s="54"/>
    </row>
    <row r="179" spans="6:16" x14ac:dyDescent="0.3">
      <c r="F179" s="50">
        <v>42767</v>
      </c>
      <c r="G179" s="53">
        <v>1.5220814276074088</v>
      </c>
      <c r="H179" s="53">
        <v>1.3921113689095159</v>
      </c>
      <c r="I179" s="53">
        <v>-1.1902360298567751</v>
      </c>
      <c r="M179" s="54"/>
      <c r="N179" s="54"/>
      <c r="P179" s="54"/>
    </row>
    <row r="180" spans="6:16" x14ac:dyDescent="0.3">
      <c r="F180" s="50">
        <v>42795</v>
      </c>
      <c r="G180" s="53">
        <v>0.18463810930576069</v>
      </c>
      <c r="H180" s="53">
        <v>-1.9450800915331838</v>
      </c>
      <c r="I180" s="53">
        <v>-6.5843201306655663</v>
      </c>
      <c r="M180" s="54"/>
      <c r="N180" s="54"/>
      <c r="P180" s="54"/>
    </row>
    <row r="181" spans="6:16" x14ac:dyDescent="0.3">
      <c r="F181" s="50">
        <v>42826</v>
      </c>
      <c r="G181" s="53">
        <v>8.8462956137120935E-2</v>
      </c>
      <c r="H181" s="53">
        <v>0.23337222870478744</v>
      </c>
      <c r="I181" s="53">
        <v>2.1418424215932612</v>
      </c>
      <c r="M181" s="54"/>
      <c r="N181" s="54"/>
      <c r="P181" s="54"/>
    </row>
    <row r="182" spans="6:16" x14ac:dyDescent="0.3">
      <c r="F182" s="50">
        <v>42856</v>
      </c>
      <c r="G182" s="53">
        <v>-0.44192384179128136</v>
      </c>
      <c r="H182" s="53">
        <v>0.23282887077996348</v>
      </c>
      <c r="I182" s="53">
        <v>0.97357440890124802</v>
      </c>
      <c r="M182" s="54"/>
      <c r="N182" s="54"/>
      <c r="P182" s="54"/>
    </row>
    <row r="183" spans="6:16" x14ac:dyDescent="0.3">
      <c r="F183" s="50">
        <v>42887</v>
      </c>
      <c r="G183" s="53">
        <v>0.6436339424428531</v>
      </c>
      <c r="H183" s="53">
        <v>0.81300813008130424</v>
      </c>
      <c r="I183" s="53">
        <v>1.3668150031786463</v>
      </c>
      <c r="M183" s="54"/>
      <c r="N183" s="54"/>
      <c r="P183" s="54"/>
    </row>
    <row r="184" spans="6:16" x14ac:dyDescent="0.3">
      <c r="F184" s="50">
        <v>42917</v>
      </c>
      <c r="G184" s="53">
        <v>0.33078506321671353</v>
      </c>
      <c r="H184" s="53">
        <v>0.34562211981566493</v>
      </c>
      <c r="I184" s="53">
        <v>0.20905194940943123</v>
      </c>
      <c r="M184" s="54"/>
      <c r="N184" s="54"/>
      <c r="P184" s="54"/>
    </row>
    <row r="185" spans="6:16" x14ac:dyDescent="0.3">
      <c r="F185" s="50">
        <v>42948</v>
      </c>
      <c r="G185" s="53">
        <v>-0.49820499670306012</v>
      </c>
      <c r="H185" s="53">
        <v>0</v>
      </c>
      <c r="I185" s="53">
        <v>-0.76144779388756023</v>
      </c>
      <c r="M185" s="54"/>
      <c r="N185" s="54"/>
      <c r="P185" s="54"/>
    </row>
    <row r="186" spans="6:16" x14ac:dyDescent="0.3">
      <c r="F186" s="50">
        <v>42979</v>
      </c>
      <c r="G186" s="53">
        <v>-0.23562329725351092</v>
      </c>
      <c r="H186" s="53">
        <v>0.45924225028703292</v>
      </c>
      <c r="I186" s="53">
        <v>2.5331091023754433</v>
      </c>
      <c r="M186" s="54"/>
      <c r="N186" s="54"/>
      <c r="P186" s="54"/>
    </row>
    <row r="187" spans="6:16" x14ac:dyDescent="0.3">
      <c r="F187" s="50">
        <v>43009</v>
      </c>
      <c r="G187" s="53">
        <v>0.20665731788323946</v>
      </c>
      <c r="H187" s="53">
        <v>0.80000000000000326</v>
      </c>
      <c r="I187" s="53">
        <v>0.24602767811379711</v>
      </c>
      <c r="M187" s="54"/>
      <c r="N187" s="54"/>
      <c r="P187" s="54"/>
    </row>
    <row r="188" spans="6:16" x14ac:dyDescent="0.3">
      <c r="F188" s="50">
        <v>43040</v>
      </c>
      <c r="G188" s="53">
        <v>-0.14730794726376742</v>
      </c>
      <c r="H188" s="53">
        <v>0.45351473922901525</v>
      </c>
      <c r="I188" s="53">
        <v>0.48062174046425893</v>
      </c>
      <c r="M188" s="54"/>
      <c r="N188" s="54"/>
      <c r="P188" s="54"/>
    </row>
    <row r="189" spans="6:16" x14ac:dyDescent="0.3">
      <c r="F189" s="50">
        <v>43070</v>
      </c>
      <c r="G189" s="53">
        <v>1.3719849524231127</v>
      </c>
      <c r="H189" s="53">
        <v>2.934537246049671</v>
      </c>
      <c r="I189" s="53">
        <v>0.42743741095054111</v>
      </c>
      <c r="M189" s="54"/>
      <c r="N189" s="54"/>
      <c r="P189" s="54"/>
    </row>
    <row r="190" spans="6:16" x14ac:dyDescent="0.3">
      <c r="F190" s="50">
        <v>43101</v>
      </c>
      <c r="G190" s="53">
        <v>-0.42203303499964523</v>
      </c>
      <c r="H190" s="53">
        <v>-2.5219298245614001</v>
      </c>
      <c r="I190" s="53">
        <v>3.5974868261045776</v>
      </c>
      <c r="M190" s="54"/>
      <c r="N190" s="54"/>
      <c r="P190" s="54"/>
    </row>
    <row r="191" spans="6:16" x14ac:dyDescent="0.3">
      <c r="F191" s="50">
        <v>43132</v>
      </c>
      <c r="G191" s="53">
        <v>-0.15345268542200072</v>
      </c>
      <c r="H191" s="53">
        <v>-0.33745781777279116</v>
      </c>
      <c r="I191" s="53">
        <v>-2.2009194952557953</v>
      </c>
      <c r="M191" s="54"/>
      <c r="N191" s="54"/>
      <c r="P191" s="54"/>
    </row>
    <row r="192" spans="6:16" x14ac:dyDescent="0.3">
      <c r="F192" s="50">
        <v>43160</v>
      </c>
      <c r="G192" s="53">
        <v>0.45374707259953501</v>
      </c>
      <c r="H192" s="53">
        <v>1.241534988713328</v>
      </c>
      <c r="I192" s="53">
        <v>-0.54010802160432714</v>
      </c>
      <c r="M192" s="54"/>
      <c r="N192" s="54"/>
      <c r="P192" s="54"/>
    </row>
    <row r="193" spans="6:16" x14ac:dyDescent="0.3">
      <c r="F193" s="50">
        <v>43191</v>
      </c>
      <c r="G193" s="53">
        <v>0.80139880518725248</v>
      </c>
      <c r="H193" s="53">
        <v>0.33444816053511389</v>
      </c>
      <c r="I193" s="53">
        <v>1.5486725663716878</v>
      </c>
      <c r="M193" s="54"/>
      <c r="N193" s="54"/>
      <c r="P193" s="54"/>
    </row>
    <row r="194" spans="6:16" x14ac:dyDescent="0.3">
      <c r="F194" s="50">
        <v>43221</v>
      </c>
      <c r="G194" s="53">
        <v>-3.592078635443789</v>
      </c>
      <c r="H194" s="53">
        <v>-10.888888888888886</v>
      </c>
      <c r="I194" s="53">
        <v>0.35650623885917943</v>
      </c>
      <c r="M194" s="54"/>
      <c r="N194" s="54"/>
      <c r="P194" s="54"/>
    </row>
    <row r="195" spans="6:16" x14ac:dyDescent="0.3">
      <c r="F195" s="50">
        <v>43252</v>
      </c>
      <c r="G195" s="53">
        <v>3.0362096109153698</v>
      </c>
      <c r="H195" s="53">
        <v>12.344139650872807</v>
      </c>
      <c r="I195" s="53">
        <v>-3.4635879218472518</v>
      </c>
      <c r="M195" s="54"/>
      <c r="N195" s="54"/>
      <c r="P195" s="54"/>
    </row>
    <row r="196" spans="6:16" x14ac:dyDescent="0.3">
      <c r="F196" s="50">
        <v>43282</v>
      </c>
      <c r="G196" s="53">
        <v>0.43655413271245225</v>
      </c>
      <c r="H196" s="53">
        <v>-0.22197558268589193</v>
      </c>
      <c r="I196" s="53">
        <v>1.1346212818153936</v>
      </c>
      <c r="M196" s="54"/>
      <c r="N196" s="54"/>
      <c r="P196" s="54"/>
    </row>
    <row r="197" spans="6:16" x14ac:dyDescent="0.3">
      <c r="F197" s="50">
        <v>43313</v>
      </c>
      <c r="G197" s="53">
        <v>0.92726745870762195</v>
      </c>
      <c r="H197" s="53">
        <v>-1.0011123470522865</v>
      </c>
      <c r="I197" s="53">
        <v>1.0915706488781063</v>
      </c>
      <c r="M197" s="54"/>
      <c r="N197" s="54"/>
      <c r="P197" s="54"/>
    </row>
    <row r="198" spans="6:16" x14ac:dyDescent="0.3">
      <c r="F198" s="50">
        <v>43344</v>
      </c>
      <c r="G198" s="53">
        <v>-0.95463680734997425</v>
      </c>
      <c r="H198" s="53">
        <v>-2.6966292134831522</v>
      </c>
      <c r="I198" s="53">
        <v>-0.91981603679264323</v>
      </c>
      <c r="M198" s="54"/>
      <c r="N198" s="54"/>
      <c r="P198" s="54"/>
    </row>
    <row r="199" spans="6:16" x14ac:dyDescent="0.3">
      <c r="F199" s="50">
        <v>43374</v>
      </c>
      <c r="G199" s="53">
        <v>5.0728313645911426E-2</v>
      </c>
      <c r="H199" s="53">
        <v>1.1547344110854503</v>
      </c>
      <c r="I199" s="53">
        <v>0.21190716448033095</v>
      </c>
      <c r="M199" s="54"/>
      <c r="N199" s="54"/>
      <c r="P199" s="54"/>
    </row>
    <row r="200" spans="6:16" x14ac:dyDescent="0.3">
      <c r="F200" s="50">
        <v>43405</v>
      </c>
      <c r="G200" s="53">
        <v>-0.14486455164420442</v>
      </c>
      <c r="H200" s="53">
        <v>-0.11415525114154602</v>
      </c>
      <c r="I200" s="53">
        <v>1.963548484543352</v>
      </c>
      <c r="M200" s="54"/>
      <c r="N200" s="54"/>
      <c r="P200" s="54"/>
    </row>
    <row r="201" spans="6:16" x14ac:dyDescent="0.3">
      <c r="F201" s="50">
        <v>43435</v>
      </c>
      <c r="G201" s="53">
        <v>0.48600029014941781</v>
      </c>
      <c r="H201" s="53">
        <v>0.22857142857143184</v>
      </c>
      <c r="I201" s="53">
        <v>0.64191190993481273</v>
      </c>
      <c r="M201" s="54"/>
      <c r="N201" s="54"/>
      <c r="P201" s="54"/>
    </row>
    <row r="202" spans="6:16" x14ac:dyDescent="0.3">
      <c r="F202" s="50">
        <v>43466</v>
      </c>
      <c r="G202" s="53">
        <v>-3.6093264996759813E-2</v>
      </c>
      <c r="H202" s="53">
        <v>-0.68415051311289454</v>
      </c>
      <c r="I202" s="53">
        <v>3.0222745559807658</v>
      </c>
      <c r="M202" s="54"/>
      <c r="N202" s="54"/>
      <c r="P202" s="54"/>
    </row>
    <row r="203" spans="6:16" x14ac:dyDescent="0.3">
      <c r="F203" s="50">
        <v>43497</v>
      </c>
      <c r="G203" s="53">
        <v>-0.79433853264008847</v>
      </c>
      <c r="H203" s="53">
        <v>0.22962112514351646</v>
      </c>
      <c r="I203" s="53">
        <v>-2.7240689589484708</v>
      </c>
      <c r="M203" s="54"/>
      <c r="N203" s="54"/>
      <c r="P203" s="54"/>
    </row>
    <row r="204" spans="6:16" x14ac:dyDescent="0.3">
      <c r="F204" s="50">
        <v>43525</v>
      </c>
      <c r="G204" s="53">
        <v>0.75702431212694132</v>
      </c>
      <c r="H204" s="53">
        <v>-0.22909507445590246</v>
      </c>
      <c r="I204" s="53">
        <v>-2.0855772055223691</v>
      </c>
      <c r="M204" s="54"/>
      <c r="N204" s="54"/>
      <c r="P204" s="54"/>
    </row>
    <row r="205" spans="6:16" x14ac:dyDescent="0.3">
      <c r="F205" s="50">
        <v>43556</v>
      </c>
      <c r="G205" s="53">
        <v>-0.23840485478975876</v>
      </c>
      <c r="H205" s="53">
        <v>0.34443168771528287</v>
      </c>
      <c r="I205" s="53">
        <v>-2.3700000000000045</v>
      </c>
      <c r="M205" s="54"/>
      <c r="N205" s="54"/>
      <c r="P205" s="54"/>
    </row>
    <row r="206" spans="6:16" x14ac:dyDescent="0.3">
      <c r="F206" s="50">
        <v>43586</v>
      </c>
      <c r="G206" s="53">
        <v>0.63002389745818277</v>
      </c>
      <c r="H206" s="53">
        <v>0</v>
      </c>
      <c r="I206" s="53">
        <v>1.7207825463484656</v>
      </c>
      <c r="M206" s="54"/>
      <c r="N206" s="54"/>
      <c r="P206" s="54"/>
    </row>
    <row r="207" spans="6:16" x14ac:dyDescent="0.3">
      <c r="F207" s="50">
        <v>43617</v>
      </c>
      <c r="G207" s="53">
        <v>2.1588946459413599E-2</v>
      </c>
      <c r="H207" s="53">
        <v>-0.91533180778033341</v>
      </c>
      <c r="I207" s="53">
        <v>-0.16111167052663034</v>
      </c>
      <c r="M207" s="54"/>
      <c r="N207" s="54"/>
      <c r="P207" s="54"/>
    </row>
    <row r="208" spans="6:16" x14ac:dyDescent="0.3">
      <c r="F208" s="50">
        <v>43647</v>
      </c>
      <c r="G208" s="53">
        <v>-0.30937477516368572</v>
      </c>
      <c r="H208" s="53">
        <v>-0.57736720554272514</v>
      </c>
      <c r="I208" s="53">
        <v>0.67574382249116238</v>
      </c>
      <c r="M208" s="54"/>
      <c r="N208" s="54"/>
      <c r="P208" s="54"/>
    </row>
    <row r="209" spans="6:16" x14ac:dyDescent="0.3">
      <c r="F209" s="50">
        <v>43678</v>
      </c>
      <c r="G209" s="53">
        <v>2.1651270207853013E-2</v>
      </c>
      <c r="H209" s="53">
        <v>0.92915214866435702</v>
      </c>
      <c r="I209" s="53">
        <v>1.3424163494289756</v>
      </c>
      <c r="M209" s="54"/>
      <c r="N209" s="54"/>
      <c r="P209" s="54"/>
    </row>
    <row r="210" spans="6:16" x14ac:dyDescent="0.3">
      <c r="F210" s="50">
        <v>43709</v>
      </c>
      <c r="G210" s="53">
        <v>0.36077639079298651</v>
      </c>
      <c r="H210" s="53">
        <v>-0.11507479861911221</v>
      </c>
      <c r="I210" s="53">
        <v>0.84025306445236114</v>
      </c>
      <c r="M210" s="54"/>
      <c r="N210" s="54"/>
      <c r="P210" s="54"/>
    </row>
    <row r="211" spans="6:16" x14ac:dyDescent="0.3">
      <c r="F211" s="50">
        <v>43739</v>
      </c>
      <c r="G211" s="53">
        <v>0.6254942842763711</v>
      </c>
      <c r="H211" s="53">
        <v>2.1889400921659052</v>
      </c>
      <c r="I211" s="53">
        <v>-0.5587687481619521</v>
      </c>
      <c r="M211" s="54"/>
      <c r="N211" s="54"/>
      <c r="P211" s="54"/>
    </row>
    <row r="212" spans="6:16" x14ac:dyDescent="0.3">
      <c r="F212" s="50">
        <v>43770</v>
      </c>
      <c r="G212" s="53">
        <v>-0.83595312946557288</v>
      </c>
      <c r="H212" s="53">
        <v>-2.254791431792559</v>
      </c>
      <c r="I212" s="53">
        <v>0.53233438485805029</v>
      </c>
      <c r="M212" s="54"/>
      <c r="N212" s="54"/>
      <c r="P212" s="54"/>
    </row>
    <row r="213" spans="6:16" x14ac:dyDescent="0.3">
      <c r="F213" s="50">
        <v>43800</v>
      </c>
      <c r="G213" s="53">
        <v>-0.50435910368181325</v>
      </c>
      <c r="H213" s="53">
        <v>-0.80738177623991092</v>
      </c>
      <c r="I213" s="53">
        <v>-0.7942733869386176</v>
      </c>
      <c r="M213" s="54"/>
      <c r="N213" s="54"/>
      <c r="P213" s="54"/>
    </row>
    <row r="214" spans="6:16" x14ac:dyDescent="0.3">
      <c r="F214" s="50">
        <v>43831</v>
      </c>
      <c r="G214" s="53">
        <v>0.53588239553914774</v>
      </c>
      <c r="H214" s="53">
        <v>0.93023255813953154</v>
      </c>
      <c r="I214" s="53">
        <v>0.45468024117820866</v>
      </c>
      <c r="M214" s="54"/>
      <c r="N214" s="54"/>
      <c r="P214" s="54"/>
    </row>
    <row r="215" spans="6:16" x14ac:dyDescent="0.3">
      <c r="F215" s="50">
        <v>43862</v>
      </c>
      <c r="G215" s="53">
        <v>0.38176186703162218</v>
      </c>
      <c r="H215" s="53">
        <v>0.69124423963134629</v>
      </c>
      <c r="I215" s="53">
        <v>-0.34438650004919252</v>
      </c>
      <c r="M215" s="54"/>
      <c r="N215" s="54"/>
      <c r="P215" s="54"/>
    </row>
    <row r="216" spans="6:16" x14ac:dyDescent="0.3">
      <c r="F216" s="50">
        <v>43891</v>
      </c>
      <c r="G216" s="53">
        <v>-5.1880022962112635</v>
      </c>
      <c r="H216" s="53">
        <v>-7.8947368421052699</v>
      </c>
      <c r="I216" s="53">
        <v>13.892180094786724</v>
      </c>
      <c r="M216" s="54"/>
      <c r="N216" s="54"/>
      <c r="P216" s="54"/>
    </row>
    <row r="217" spans="6:16" x14ac:dyDescent="0.3">
      <c r="F217" s="50">
        <v>43922</v>
      </c>
      <c r="G217" s="53">
        <v>-9.9523196851585496</v>
      </c>
      <c r="H217" s="53">
        <v>-19.378881987577632</v>
      </c>
      <c r="I217" s="53">
        <v>-11.382748157780664</v>
      </c>
      <c r="M217" s="54"/>
      <c r="N217" s="54"/>
      <c r="P217" s="54"/>
    </row>
    <row r="218" spans="6:16" x14ac:dyDescent="0.3">
      <c r="F218" s="50">
        <v>43952</v>
      </c>
      <c r="G218" s="53">
        <v>2.0927887039838584</v>
      </c>
      <c r="H218" s="53">
        <v>8.0123266563944355</v>
      </c>
      <c r="I218" s="53">
        <v>6.4370964586186643</v>
      </c>
      <c r="M218" s="54"/>
      <c r="N218" s="54"/>
      <c r="P218" s="54"/>
    </row>
    <row r="219" spans="6:16" x14ac:dyDescent="0.3">
      <c r="F219" s="50">
        <v>43983</v>
      </c>
      <c r="G219" s="53">
        <v>5.0629785132131433</v>
      </c>
      <c r="H219" s="53">
        <v>9.5577746077032852</v>
      </c>
      <c r="I219" s="53">
        <v>0.5974264705882405</v>
      </c>
      <c r="M219" s="54"/>
      <c r="N219" s="54"/>
      <c r="P219" s="54"/>
    </row>
    <row r="220" spans="6:16" x14ac:dyDescent="0.3">
      <c r="F220" s="50">
        <v>44013</v>
      </c>
      <c r="G220" s="53">
        <v>3.2440056417489318</v>
      </c>
      <c r="H220" s="53">
        <v>9.2447916666666785</v>
      </c>
      <c r="I220" s="53">
        <v>-0.19186843307447049</v>
      </c>
      <c r="M220" s="54"/>
      <c r="N220" s="54"/>
      <c r="P220" s="54"/>
    </row>
    <row r="221" spans="6:16" x14ac:dyDescent="0.3">
      <c r="F221" s="50">
        <v>44044</v>
      </c>
      <c r="G221" s="53">
        <v>2.0795385549483982</v>
      </c>
      <c r="H221" s="53">
        <v>2.7413587604290788</v>
      </c>
      <c r="I221" s="53">
        <v>-2.0322226290735985</v>
      </c>
      <c r="M221" s="54"/>
      <c r="N221" s="54"/>
      <c r="P221" s="54"/>
    </row>
    <row r="222" spans="6:16" x14ac:dyDescent="0.3">
      <c r="F222" s="50">
        <v>44075</v>
      </c>
      <c r="G222" s="53">
        <v>1.442379182156132</v>
      </c>
      <c r="H222" s="53">
        <v>2.668213457076563</v>
      </c>
      <c r="I222" s="53">
        <v>-0.10278452625677391</v>
      </c>
      <c r="M222" s="54"/>
      <c r="N222" s="54"/>
      <c r="P222" s="54"/>
    </row>
    <row r="223" spans="6:16" x14ac:dyDescent="0.3">
      <c r="F223" s="50">
        <v>44105</v>
      </c>
      <c r="G223" s="53">
        <v>1.4072119613016827</v>
      </c>
      <c r="H223" s="53">
        <v>1.3559322033898338</v>
      </c>
      <c r="I223" s="53">
        <v>1.0663174632868775</v>
      </c>
      <c r="M223" s="54"/>
      <c r="N223" s="54"/>
      <c r="P223" s="54"/>
    </row>
    <row r="224" spans="6:16" x14ac:dyDescent="0.3">
      <c r="F224" s="50">
        <v>44136</v>
      </c>
      <c r="G224" s="53">
        <v>-0.33246603064470071</v>
      </c>
      <c r="H224" s="53">
        <v>0.44593088071347986</v>
      </c>
      <c r="I224" s="53">
        <v>-2.9986117538176726</v>
      </c>
      <c r="M224" s="54"/>
      <c r="N224" s="54"/>
      <c r="P224" s="54"/>
    </row>
    <row r="225" spans="6:16" x14ac:dyDescent="0.3">
      <c r="F225" s="50">
        <v>44166</v>
      </c>
      <c r="G225" s="53">
        <v>0.21029731689629588</v>
      </c>
      <c r="H225" s="53">
        <v>0.22197558268590772</v>
      </c>
      <c r="I225" s="53">
        <v>6.6787520274776427E-2</v>
      </c>
      <c r="M225" s="54"/>
      <c r="N225" s="54"/>
      <c r="P225" s="54"/>
    </row>
    <row r="226" spans="6:16" x14ac:dyDescent="0.3">
      <c r="F226" s="50">
        <v>44197</v>
      </c>
      <c r="G226" s="53">
        <v>0.59338591793906448</v>
      </c>
      <c r="H226" s="53">
        <v>0.55370985603543743</v>
      </c>
      <c r="I226" s="53">
        <v>-1.2490465293668978</v>
      </c>
      <c r="M226" s="54"/>
      <c r="N226" s="54"/>
      <c r="P226" s="54"/>
    </row>
    <row r="227" spans="6:16" x14ac:dyDescent="0.3">
      <c r="F227" s="50">
        <v>44228</v>
      </c>
      <c r="G227" s="53">
        <v>1.5034889576289501</v>
      </c>
      <c r="H227" s="53">
        <v>-1.5418502202643078</v>
      </c>
      <c r="I227" s="53">
        <v>-0.28965916771265537</v>
      </c>
      <c r="M227" s="54"/>
      <c r="N227" s="54"/>
      <c r="P227" s="54"/>
    </row>
    <row r="228" spans="6:16" x14ac:dyDescent="0.3">
      <c r="F228" s="50">
        <v>44256</v>
      </c>
      <c r="G228" s="53">
        <v>-1.5946137491141037</v>
      </c>
      <c r="H228" s="53">
        <v>-2.2371364653243844</v>
      </c>
      <c r="I228" s="53">
        <v>3.4085407185049004</v>
      </c>
      <c r="M228" s="54"/>
      <c r="N228" s="54"/>
      <c r="P228" s="54"/>
    </row>
    <row r="229" spans="6:16" x14ac:dyDescent="0.3">
      <c r="F229" s="50">
        <v>44287</v>
      </c>
      <c r="G229" s="53">
        <v>0.27367662945624449</v>
      </c>
      <c r="H229" s="53">
        <v>-1.4874141876430336</v>
      </c>
      <c r="I229" s="53">
        <v>-2.5657833130443009</v>
      </c>
      <c r="M229" s="54"/>
      <c r="N229" s="54"/>
      <c r="P229" s="54"/>
    </row>
    <row r="230" spans="6:16" x14ac:dyDescent="0.3">
      <c r="F230" s="50">
        <v>44317</v>
      </c>
      <c r="G230" s="53">
        <v>3.5911800617691135E-2</v>
      </c>
      <c r="H230" s="53">
        <v>1.2775842044134826</v>
      </c>
      <c r="I230" s="53">
        <v>0.92263334935128105</v>
      </c>
      <c r="M230" s="54"/>
      <c r="N230" s="54"/>
      <c r="P230" s="54"/>
    </row>
    <row r="231" spans="6:16" x14ac:dyDescent="0.3">
      <c r="F231" s="50">
        <v>44348</v>
      </c>
      <c r="G231" s="53">
        <v>0.17949454336588169</v>
      </c>
      <c r="H231" s="53">
        <v>-0.57339449541284393</v>
      </c>
      <c r="I231" s="53">
        <v>3.8091610322818818E-2</v>
      </c>
      <c r="M231" s="54"/>
      <c r="N231" s="54"/>
      <c r="P231" s="54"/>
    </row>
    <row r="232" spans="6:16" x14ac:dyDescent="0.3">
      <c r="F232" s="50">
        <v>44378</v>
      </c>
      <c r="G232" s="53">
        <v>-0.12183759764924208</v>
      </c>
      <c r="H232" s="53">
        <v>-1.3840830449827022</v>
      </c>
      <c r="I232" s="53">
        <v>0.11423131841980443</v>
      </c>
      <c r="M232" s="54"/>
      <c r="N232" s="54"/>
      <c r="P232" s="54"/>
    </row>
    <row r="233" spans="6:16" x14ac:dyDescent="0.3">
      <c r="F233" s="50">
        <v>44409</v>
      </c>
      <c r="G233" s="53">
        <v>0.10045924225027722</v>
      </c>
      <c r="H233" s="53">
        <v>-0.58479532163742687</v>
      </c>
      <c r="I233" s="53">
        <v>-0.94133307977559644</v>
      </c>
      <c r="M233" s="54"/>
      <c r="N233" s="54"/>
      <c r="P233" s="54"/>
    </row>
    <row r="234" spans="6:16" x14ac:dyDescent="0.3">
      <c r="F234" s="50">
        <v>44440</v>
      </c>
      <c r="G234" s="53">
        <v>-0.57347670250896876</v>
      </c>
      <c r="H234" s="53">
        <v>-0.47058823529412436</v>
      </c>
      <c r="I234" s="53">
        <v>-0.86388942215396969</v>
      </c>
      <c r="M234" s="54"/>
      <c r="N234" s="54"/>
      <c r="P234" s="54"/>
    </row>
    <row r="235" spans="6:16" x14ac:dyDescent="0.3">
      <c r="F235" s="50">
        <v>44470</v>
      </c>
      <c r="G235" s="53">
        <v>5.0468637346807219E-2</v>
      </c>
      <c r="H235" s="53">
        <v>-0.59101654846335705</v>
      </c>
      <c r="I235" s="53">
        <v>2.9047250193649433E-2</v>
      </c>
      <c r="M235" s="54"/>
      <c r="N235" s="54"/>
      <c r="P235" s="54"/>
    </row>
    <row r="236" spans="6:16" x14ac:dyDescent="0.3">
      <c r="F236" s="50">
        <v>44501</v>
      </c>
      <c r="G236" s="53">
        <v>0.45398861425379794</v>
      </c>
      <c r="H236" s="53">
        <v>0.11890606420928482</v>
      </c>
      <c r="I236" s="53">
        <v>0.75500919562481961</v>
      </c>
      <c r="M236" s="54"/>
      <c r="N236" s="54"/>
      <c r="P236" s="54"/>
    </row>
    <row r="237" spans="6:16" x14ac:dyDescent="0.3">
      <c r="F237" s="50">
        <v>44531</v>
      </c>
      <c r="G237" s="53">
        <v>0.32281205164992011</v>
      </c>
      <c r="H237" s="53">
        <v>2.6128266033254191</v>
      </c>
      <c r="I237" s="53">
        <v>-0.45153232779325475</v>
      </c>
      <c r="M237" s="54"/>
      <c r="N237" s="54"/>
      <c r="P237" s="54"/>
    </row>
    <row r="238" spans="6:16" x14ac:dyDescent="0.3">
      <c r="F238" s="50">
        <v>44562</v>
      </c>
      <c r="G238" s="53">
        <v>-0.72935287808364813</v>
      </c>
      <c r="H238" s="53">
        <v>-2.1990740740740802</v>
      </c>
      <c r="I238" s="53">
        <v>0.19301293186642407</v>
      </c>
      <c r="M238" s="54"/>
      <c r="N238" s="54"/>
      <c r="P238" s="54"/>
    </row>
    <row r="239" spans="6:16" x14ac:dyDescent="0.3">
      <c r="F239" s="50">
        <v>44593</v>
      </c>
      <c r="G239" s="53">
        <v>0.33854354246200308</v>
      </c>
      <c r="H239" s="53">
        <v>0.71005917159762644</v>
      </c>
      <c r="I239" s="53">
        <v>1.1365825467154758</v>
      </c>
      <c r="M239" s="54"/>
      <c r="N239" s="54"/>
      <c r="P239" s="54"/>
    </row>
    <row r="240" spans="6:16" x14ac:dyDescent="0.3">
      <c r="M240" s="54"/>
      <c r="N240" s="54"/>
      <c r="P240" s="54"/>
    </row>
    <row r="241" spans="13:16" x14ac:dyDescent="0.3">
      <c r="M241" s="54"/>
      <c r="N241" s="54"/>
      <c r="P241" s="54"/>
    </row>
    <row r="242" spans="13:16" x14ac:dyDescent="0.3">
      <c r="M242" s="54"/>
      <c r="N242" s="54"/>
      <c r="P242" s="54"/>
    </row>
    <row r="243" spans="13:16" x14ac:dyDescent="0.3">
      <c r="M243" s="54"/>
      <c r="N243" s="54"/>
      <c r="P243" s="54"/>
    </row>
    <row r="244" spans="13:16" x14ac:dyDescent="0.3">
      <c r="M244" s="54"/>
      <c r="N244" s="54"/>
      <c r="P244" s="54"/>
    </row>
    <row r="245" spans="13:16" x14ac:dyDescent="0.3">
      <c r="M245" s="54"/>
      <c r="N245" s="54"/>
      <c r="P245" s="54"/>
    </row>
    <row r="246" spans="13:16" x14ac:dyDescent="0.3">
      <c r="M246" s="54"/>
      <c r="N246" s="54"/>
      <c r="P246" s="54"/>
    </row>
    <row r="247" spans="13:16" x14ac:dyDescent="0.3">
      <c r="M247" s="54"/>
      <c r="N247" s="54"/>
      <c r="P247" s="54"/>
    </row>
    <row r="248" spans="13:16" x14ac:dyDescent="0.3">
      <c r="M248" s="54"/>
      <c r="N248" s="54"/>
      <c r="P248" s="54"/>
    </row>
    <row r="249" spans="13:16" x14ac:dyDescent="0.3">
      <c r="M249" s="27"/>
      <c r="N249" s="27"/>
      <c r="P249" s="27"/>
    </row>
    <row r="250" spans="13:16" x14ac:dyDescent="0.3">
      <c r="M250" s="27"/>
      <c r="N250" s="27"/>
      <c r="P250" s="27"/>
    </row>
    <row r="251" spans="13:16" x14ac:dyDescent="0.3">
      <c r="M251" s="27"/>
      <c r="N251" s="27"/>
      <c r="P251" s="27"/>
    </row>
    <row r="252" spans="13:16" x14ac:dyDescent="0.3">
      <c r="M252" s="27"/>
      <c r="N252" s="27"/>
      <c r="P252" s="27"/>
    </row>
    <row r="253" spans="13:16" x14ac:dyDescent="0.3">
      <c r="M253" s="27"/>
      <c r="N253" s="27"/>
      <c r="P253" s="27"/>
    </row>
    <row r="254" spans="13:16" x14ac:dyDescent="0.3">
      <c r="M254" s="27"/>
      <c r="N254" s="27"/>
      <c r="P254" s="27"/>
    </row>
    <row r="255" spans="13:16" x14ac:dyDescent="0.3">
      <c r="M255" s="27"/>
      <c r="N255" s="27"/>
      <c r="P255" s="27"/>
    </row>
    <row r="256" spans="13:16" x14ac:dyDescent="0.3">
      <c r="M256" s="27"/>
      <c r="N256" s="27"/>
      <c r="P256" s="27"/>
    </row>
    <row r="257" spans="13:16" x14ac:dyDescent="0.3">
      <c r="M257" s="27"/>
      <c r="N257" s="27"/>
      <c r="P257" s="27"/>
    </row>
    <row r="258" spans="13:16" x14ac:dyDescent="0.3">
      <c r="M258" s="27"/>
      <c r="N258" s="27"/>
      <c r="P258" s="27"/>
    </row>
    <row r="259" spans="13:16" x14ac:dyDescent="0.3">
      <c r="M259" s="27"/>
      <c r="N259" s="27"/>
      <c r="P259" s="27"/>
    </row>
    <row r="260" spans="13:16" x14ac:dyDescent="0.3">
      <c r="M260" s="27"/>
      <c r="N260" s="27"/>
      <c r="P260" s="27"/>
    </row>
    <row r="261" spans="13:16" x14ac:dyDescent="0.3">
      <c r="M261" s="27"/>
      <c r="N261" s="27"/>
      <c r="P261" s="27"/>
    </row>
    <row r="262" spans="13:16" x14ac:dyDescent="0.3">
      <c r="M262" s="27"/>
      <c r="N262" s="27"/>
      <c r="P262" s="27"/>
    </row>
    <row r="263" spans="13:16" x14ac:dyDescent="0.3">
      <c r="M263" s="27"/>
      <c r="N263" s="27"/>
      <c r="P263" s="27"/>
    </row>
    <row r="264" spans="13:16" x14ac:dyDescent="0.3">
      <c r="M264" s="27"/>
      <c r="N264" s="27"/>
      <c r="P264" s="27"/>
    </row>
    <row r="265" spans="13:16" x14ac:dyDescent="0.3">
      <c r="M265" s="27"/>
      <c r="N265" s="27"/>
      <c r="P265" s="27"/>
    </row>
    <row r="266" spans="13:16" x14ac:dyDescent="0.3">
      <c r="M266" s="27"/>
      <c r="N266" s="27"/>
      <c r="P266" s="27"/>
    </row>
    <row r="267" spans="13:16" x14ac:dyDescent="0.3">
      <c r="M267" s="27"/>
      <c r="N267" s="27"/>
      <c r="P267" s="27"/>
    </row>
    <row r="268" spans="13:16" x14ac:dyDescent="0.3">
      <c r="M268" s="27"/>
      <c r="N268" s="27"/>
      <c r="P268" s="27"/>
    </row>
    <row r="269" spans="13:16" x14ac:dyDescent="0.3">
      <c r="M269" s="27"/>
      <c r="N269" s="27"/>
      <c r="P269" s="27"/>
    </row>
    <row r="270" spans="13:16" x14ac:dyDescent="0.3">
      <c r="M270" s="27"/>
      <c r="N270" s="27"/>
      <c r="P270" s="27"/>
    </row>
    <row r="271" spans="13:16" x14ac:dyDescent="0.3">
      <c r="M271" s="27"/>
      <c r="N271" s="27"/>
      <c r="P271" s="27"/>
    </row>
    <row r="272" spans="13:16" x14ac:dyDescent="0.3">
      <c r="M272" s="27"/>
      <c r="N272" s="27"/>
      <c r="P272" s="27"/>
    </row>
    <row r="273" spans="13:16" x14ac:dyDescent="0.3">
      <c r="M273" s="27"/>
      <c r="N273" s="27"/>
      <c r="P273" s="27"/>
    </row>
    <row r="274" spans="13:16" x14ac:dyDescent="0.3">
      <c r="M274" s="27"/>
      <c r="N274" s="27"/>
      <c r="P274" s="27"/>
    </row>
    <row r="275" spans="13:16" x14ac:dyDescent="0.3">
      <c r="M275" s="27"/>
      <c r="N275" s="27"/>
      <c r="P275" s="27"/>
    </row>
    <row r="276" spans="13:16" x14ac:dyDescent="0.3">
      <c r="M276" s="27"/>
      <c r="N276" s="27"/>
      <c r="P276" s="27"/>
    </row>
    <row r="277" spans="13:16" x14ac:dyDescent="0.3">
      <c r="M277" s="27"/>
      <c r="N277" s="27"/>
      <c r="P277" s="27"/>
    </row>
    <row r="278" spans="13:16" x14ac:dyDescent="0.3">
      <c r="M278" s="27"/>
      <c r="N278" s="27"/>
      <c r="P278" s="27"/>
    </row>
    <row r="279" spans="13:16" x14ac:dyDescent="0.3">
      <c r="M279" s="27"/>
      <c r="N279" s="27"/>
      <c r="P279" s="27"/>
    </row>
    <row r="280" spans="13:16" x14ac:dyDescent="0.3">
      <c r="M280" s="27"/>
      <c r="N280" s="27"/>
      <c r="P280" s="27"/>
    </row>
    <row r="281" spans="13:16" x14ac:dyDescent="0.3">
      <c r="M281" s="27"/>
      <c r="N281" s="27"/>
      <c r="P281" s="27"/>
    </row>
    <row r="282" spans="13:16" x14ac:dyDescent="0.3">
      <c r="M282" s="27"/>
      <c r="N282" s="27"/>
      <c r="P282" s="27"/>
    </row>
    <row r="283" spans="13:16" x14ac:dyDescent="0.3">
      <c r="M283" s="27"/>
      <c r="N283" s="27"/>
      <c r="P283" s="27"/>
    </row>
    <row r="284" spans="13:16" x14ac:dyDescent="0.3">
      <c r="M284" s="27"/>
      <c r="N284" s="27"/>
      <c r="P284" s="27"/>
    </row>
    <row r="285" spans="13:16" x14ac:dyDescent="0.3">
      <c r="M285" s="27"/>
      <c r="N285" s="27"/>
      <c r="P285" s="27"/>
    </row>
    <row r="286" spans="13:16" x14ac:dyDescent="0.3">
      <c r="M286" s="27"/>
      <c r="N286" s="27"/>
      <c r="P286" s="27"/>
    </row>
    <row r="287" spans="13:16" x14ac:dyDescent="0.3">
      <c r="M287" s="27"/>
      <c r="N287" s="27"/>
      <c r="P287" s="27"/>
    </row>
    <row r="288" spans="13:16" x14ac:dyDescent="0.3">
      <c r="M288" s="27"/>
      <c r="N288" s="27"/>
      <c r="P288" s="27"/>
    </row>
    <row r="289" spans="13:16" x14ac:dyDescent="0.3">
      <c r="M289" s="27"/>
      <c r="N289" s="27"/>
      <c r="P289" s="27"/>
    </row>
    <row r="290" spans="13:16" x14ac:dyDescent="0.3">
      <c r="M290" s="27"/>
      <c r="N290" s="27"/>
      <c r="P290" s="27"/>
    </row>
    <row r="291" spans="13:16" x14ac:dyDescent="0.3">
      <c r="M291" s="27"/>
      <c r="N291" s="27"/>
      <c r="P291" s="27"/>
    </row>
    <row r="292" spans="13:16" x14ac:dyDescent="0.3">
      <c r="M292" s="27"/>
      <c r="N292" s="27"/>
      <c r="P292" s="27"/>
    </row>
    <row r="293" spans="13:16" x14ac:dyDescent="0.3">
      <c r="M293" s="27"/>
      <c r="N293" s="27"/>
      <c r="P293" s="27"/>
    </row>
    <row r="294" spans="13:16" x14ac:dyDescent="0.3">
      <c r="M294" s="27"/>
      <c r="N294" s="27"/>
      <c r="P294" s="27"/>
    </row>
    <row r="295" spans="13:16" x14ac:dyDescent="0.3">
      <c r="M295" s="27"/>
      <c r="N295" s="27"/>
      <c r="P295" s="27"/>
    </row>
    <row r="296" spans="13:16" x14ac:dyDescent="0.3">
      <c r="M296" s="27"/>
      <c r="N296" s="27"/>
      <c r="P296" s="27"/>
    </row>
    <row r="297" spans="13:16" x14ac:dyDescent="0.3">
      <c r="M297" s="27"/>
      <c r="N297" s="27"/>
      <c r="P297" s="27"/>
    </row>
    <row r="298" spans="13:16" x14ac:dyDescent="0.3">
      <c r="M298" s="27"/>
      <c r="N298" s="27"/>
      <c r="P298" s="27"/>
    </row>
  </sheetData>
  <conditionalFormatting sqref="Q10:AB15">
    <cfRule type="cellIs" dxfId="0" priority="3" operator="lessThanOrEqual">
      <formula>0.05</formula>
    </cfRule>
  </conditionalFormatting>
  <pageMargins left="0.511811024" right="0.511811024" top="0.78740157499999996" bottom="0.78740157499999996" header="0.31496062000000002" footer="0.31496062000000002"/>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B0AD2E-64D3-469C-912B-7709DB31BF5D}">
  <sheetPr>
    <tabColor theme="9" tint="0.59999389629810485"/>
  </sheetPr>
  <dimension ref="A1:AC297"/>
  <sheetViews>
    <sheetView showGridLines="0" workbookViewId="0">
      <selection activeCell="S4" sqref="S4"/>
    </sheetView>
  </sheetViews>
  <sheetFormatPr defaultColWidth="8.85546875" defaultRowHeight="18.75" x14ac:dyDescent="0.3"/>
  <cols>
    <col min="1" max="1" width="14" style="17" customWidth="1"/>
    <col min="2" max="2" width="33.7109375" customWidth="1"/>
    <col min="4" max="4" width="8.140625" bestFit="1" customWidth="1"/>
    <col min="5" max="5" width="4.5703125" customWidth="1"/>
    <col min="6" max="6" width="4.5703125" bestFit="1" customWidth="1"/>
    <col min="7" max="10" width="4.42578125" bestFit="1" customWidth="1"/>
    <col min="12" max="12" width="16.28515625" style="15" customWidth="1"/>
    <col min="13" max="14" width="9" style="15" customWidth="1"/>
    <col min="15" max="20" width="8.85546875" style="15"/>
    <col min="21" max="21" width="16.28515625" style="15" customWidth="1"/>
    <col min="22" max="23" width="9" style="15" customWidth="1"/>
    <col min="24" max="29" width="8.85546875" style="15"/>
  </cols>
  <sheetData>
    <row r="1" spans="1:29" s="57" customFormat="1" x14ac:dyDescent="0.3">
      <c r="A1" s="84" t="s">
        <v>212</v>
      </c>
      <c r="L1" s="58"/>
      <c r="M1" s="58"/>
      <c r="N1" s="58"/>
      <c r="O1" s="58"/>
      <c r="P1" s="58"/>
      <c r="Q1" s="58"/>
      <c r="R1" s="58"/>
      <c r="S1" s="58"/>
      <c r="T1" s="58"/>
      <c r="U1" s="58"/>
      <c r="V1" s="58"/>
      <c r="W1" s="58"/>
      <c r="X1" s="58"/>
      <c r="Y1" s="58"/>
      <c r="Z1" s="58"/>
      <c r="AA1" s="58"/>
      <c r="AB1" s="58"/>
      <c r="AC1" s="58"/>
    </row>
    <row r="2" spans="1:29" s="57" customFormat="1" x14ac:dyDescent="0.3">
      <c r="A2" s="85" t="s">
        <v>270</v>
      </c>
      <c r="L2" s="58"/>
      <c r="M2" s="58"/>
      <c r="N2" s="58"/>
      <c r="O2" s="58"/>
      <c r="P2" s="58"/>
      <c r="Q2" s="58"/>
      <c r="R2" s="58"/>
      <c r="S2" s="58"/>
      <c r="T2" s="58"/>
      <c r="U2" s="58"/>
      <c r="V2" s="58"/>
      <c r="W2" s="58"/>
      <c r="X2" s="58"/>
      <c r="Y2" s="58"/>
      <c r="Z2" s="58"/>
      <c r="AA2" s="58"/>
      <c r="AB2" s="58"/>
      <c r="AC2" s="58"/>
    </row>
    <row r="4" spans="1:29" ht="15.75" x14ac:dyDescent="0.25">
      <c r="A4" s="2" t="s">
        <v>15</v>
      </c>
      <c r="B4" s="2" t="s">
        <v>16</v>
      </c>
    </row>
    <row r="5" spans="1:29" ht="15.75" x14ac:dyDescent="0.25">
      <c r="A5" s="23" t="s">
        <v>261</v>
      </c>
      <c r="B5" s="24" t="s">
        <v>264</v>
      </c>
    </row>
    <row r="6" spans="1:29" ht="31.5" x14ac:dyDescent="0.25">
      <c r="A6" s="23" t="s">
        <v>262</v>
      </c>
      <c r="B6" s="24" t="s">
        <v>265</v>
      </c>
    </row>
    <row r="7" spans="1:29" ht="31.5" x14ac:dyDescent="0.25">
      <c r="A7" s="23" t="s">
        <v>263</v>
      </c>
      <c r="B7" s="24" t="s">
        <v>266</v>
      </c>
      <c r="L7" s="61" t="s">
        <v>259</v>
      </c>
      <c r="U7" s="61" t="s">
        <v>260</v>
      </c>
    </row>
    <row r="8" spans="1:29" ht="19.5" thickBot="1" x14ac:dyDescent="0.35">
      <c r="E8" s="83" t="s">
        <v>261</v>
      </c>
      <c r="F8" s="80" t="s">
        <v>254</v>
      </c>
      <c r="G8" s="80" t="s">
        <v>255</v>
      </c>
      <c r="H8" s="80" t="s">
        <v>256</v>
      </c>
      <c r="I8" s="80" t="s">
        <v>257</v>
      </c>
      <c r="J8" s="80" t="s">
        <v>258</v>
      </c>
      <c r="L8" s="11" t="str" cm="1">
        <f t="array" ref="L8:R21">_xlfn.LAMBDA(_xlpm.groupNames,_xlpm.groupVectors,_xlop.significance,
_xlfn.LET(
_xlpm.significance, IF(_xlfn.ISOMITTED(_xlpm.significance), 0.05, _xlpm.significance),
_xlpm.nGroups,LENGTH(_xlpm.groupNames),
_xlpm.nObs, _xlfn.BYCOL(_xlpm.groupVectors,_xlfn.LAMBDA(_xlpm.col, COUNTA(_xlpm.col))),
_xlpm.groupSum, _xlfn.BYCOL(_xlpm.groupVectors,_xlfn.LAMBDA(_xlpm.col, SUM(_xlpm.col))),
_xlpm.groupAverage, _xlfn.BYCOL(_xlpm.groupVectors,_xlfn.LAMBDA(_xlpm.col, AVERAGE(_xlpm.col))),
_xlpm.groupSumSqr, _xlfn.BYCOL(_xlpm.groupVectors,_xlfn.LAMBDA(_xlpm.col, DEVSQ(_xlpm.col))),
_xlpm.groupVar, _xlfn.BYCOL(_xlpm.groupVectors,_xlfn.LAMBDA(_xlpm.col, _xlfn.VAR.S(_xlpm.col))),
_xlpm.SSbetween, SUM( ( _xlpm.groupAverage-AVERAGE(_xlpm.groupAverage) )^2 * _xlpm.nObs ),
_xlpm.SSwithin, SUM( _xlpm.groupSumSqr ),
_xlpm.SStotal, _xlpm.SSbetween + _xlpm.SSwithin,
_xlpm.DFbetween, _xlpm.nGroups - 1,
_xlpm.DFwithin, SUM(_xlpm.nObs) - _xlpm.DFbetween - 1,
_xlpm.DFtotal, _xlpm.DFbetween + _xlpm.DFwithin,
_xlpm.F, ( _xlpm.SSbetween/_xlpm.DFbetween ) / (_xlpm.SSwithin / _xlpm.DFwithin ),
_xlpm.pValue, _xlfn.F.DIST.RT( _xlpm.F, _xlpm.DFbetween, _xlpm.DFwithin ),
_xlpm.Fcrit, _xlfn.F.INV.RT( _xlpm.significance, _xlpm.DFbetween, _xlpm.DFwithin ),
_xlpm.lineANOVA1, {"SUMMARY","","","","","",""},
_xlpm.lineANOVA1lab, {"Groups","Count","Sum","Average","Variance","",""},
_xlpm.lineANOVA1res, HORZCAT( HORZCAT( HORZCAT( HORZCAT( HORZCAT( VEC(_xlpm.groupNames), VEC(_xlpm.nObs) ), VEC(_xlpm.groupSum) ), VEC(_xlpm.groupAverage) ), VEC(_xlpm.groupVar)), REPMAT("",_xlpm.nGroups,2) ),
_xlpm.lineANOVA2, {"","","","","","","";"ANOVA","","","","","","";"Source of variation","SS","df","MS","F","P-value","F-crit"},
_xlpm.lineANOVA2SS, VERTCAT( VERTCAT( VERTCAT(_xlpm.SSbetween, _xlpm.SSwithin), ""), _xlpm.SStotal),
_xlpm.lineANOVA2DF, VERTCAT( VERTCAT( VERTCAT(_xlpm.DFbetween, _xlpm.DFwithin), ""), _xlpm.DFtotal),
_xlpm.lineANOVA2MS, VERTCAT( VERTCAT( VERTCAT(_xlpm.SSbetween / _xlpm.DFbetween, _xlpm.SSwithin / _xlpm.DFwithin), ""), "" ),
_xlpm.lineANOVA2F, VERTCAT( VERTCAT( VERTCAT(_xlpm.F, "" ), ""), "" ),
_xlpm.lineANOVA2p, VERTCAT( VERTCAT( VERTCAT(_xlpm.pValue, "" ), ""), "" ),
_xlpm.lineANOVA2Fcrit, VERTCAT( VERTCAT( VERTCAT(_xlpm.Fcrit, "" ), ""), "" ),
VERTCAT( VERTCAT( VERTCAT( VERTCAT( _xlpm.lineANOVA1, _xlpm.lineANOVA1lab), _xlpm.lineANOVA1res), _xlpm.lineANOVA2 ),
HORZCAT( HORZCAT( HORZCAT( HORZCAT( HORZCAT( HORZCAT( {"Between groups";"Within groups";"";"Total"}, _xlpm.lineANOVA2SS ), _xlpm.lineANOVA2DF), _xlpm.lineANOVA2MS), _xlpm.lineANOVA2F ), _xlpm.lineANOVA2p ), _xlpm.lineANOVA2Fcrit ) )
))($F$8:$J8,$F$10:$J$13,$F$15)</f>
        <v>SUMMARY</v>
      </c>
      <c r="M8" s="11" t="str">
        <v/>
      </c>
      <c r="N8" s="10" t="str">
        <v/>
      </c>
      <c r="O8" s="10" t="str">
        <v/>
      </c>
      <c r="P8" s="15" t="str">
        <v/>
      </c>
      <c r="Q8" s="15" t="str">
        <v/>
      </c>
      <c r="R8" s="15" t="str">
        <v/>
      </c>
      <c r="T8" s="54"/>
      <c r="U8" s="11" t="str" cm="1">
        <f t="array" ref="U8:AA21">ANOVA($F$8:$J8,$F$10:$J$13,$F$15)</f>
        <v>SUMMARY</v>
      </c>
      <c r="V8" s="11" t="str">
        <v/>
      </c>
      <c r="W8" s="10" t="str">
        <v/>
      </c>
      <c r="X8" s="10" t="str">
        <v/>
      </c>
      <c r="Y8" s="15" t="str">
        <v/>
      </c>
      <c r="Z8" s="15" t="str">
        <v/>
      </c>
      <c r="AA8" s="15" t="str">
        <v/>
      </c>
    </row>
    <row r="9" spans="1:29" x14ac:dyDescent="0.3">
      <c r="L9" s="73" t="str">
        <v>Groups</v>
      </c>
      <c r="M9" s="74" t="str">
        <v>Count</v>
      </c>
      <c r="N9" s="73" t="str">
        <v>Sum</v>
      </c>
      <c r="O9" s="75" t="str">
        <v>Average</v>
      </c>
      <c r="P9" s="76" t="str">
        <v>Variance</v>
      </c>
      <c r="Q9" s="15" t="str">
        <v/>
      </c>
      <c r="R9" s="15" t="str">
        <v/>
      </c>
      <c r="U9" s="73" t="str">
        <v>Groups</v>
      </c>
      <c r="V9" s="74" t="str">
        <v>Count</v>
      </c>
      <c r="W9" s="73" t="str">
        <v>Sum</v>
      </c>
      <c r="X9" s="75" t="str">
        <v>Average</v>
      </c>
      <c r="Y9" s="76" t="str">
        <v>Variance</v>
      </c>
      <c r="Z9" s="15" t="str">
        <v/>
      </c>
      <c r="AA9" s="15" t="str">
        <v/>
      </c>
    </row>
    <row r="10" spans="1:29" x14ac:dyDescent="0.3">
      <c r="E10" s="83" t="s">
        <v>262</v>
      </c>
      <c r="F10" s="81">
        <v>11.8</v>
      </c>
      <c r="G10" s="81">
        <v>12.2</v>
      </c>
      <c r="H10" s="81">
        <v>12.7</v>
      </c>
      <c r="I10" s="81">
        <v>11.8</v>
      </c>
      <c r="J10" s="81">
        <v>12.1</v>
      </c>
      <c r="L10" s="11" t="str">
        <v>A</v>
      </c>
      <c r="M10" s="65">
        <v>4</v>
      </c>
      <c r="N10" s="11">
        <v>47.600000000000009</v>
      </c>
      <c r="O10" s="64">
        <v>11.900000000000002</v>
      </c>
      <c r="P10" s="87">
        <v>0.28000000000000025</v>
      </c>
      <c r="Q10" s="15" t="str">
        <v/>
      </c>
      <c r="R10" s="15" t="str">
        <v/>
      </c>
      <c r="U10" s="11" t="str">
        <v>A</v>
      </c>
      <c r="V10" s="65">
        <v>4</v>
      </c>
      <c r="W10" s="11">
        <v>47.600000000000009</v>
      </c>
      <c r="X10" s="64">
        <v>11.900000000000002</v>
      </c>
      <c r="Y10" s="87">
        <v>0.28000000000000025</v>
      </c>
      <c r="Z10" s="15" t="str">
        <v/>
      </c>
      <c r="AA10" s="15" t="str">
        <v/>
      </c>
    </row>
    <row r="11" spans="1:29" ht="18.75" customHeight="1" x14ac:dyDescent="0.3">
      <c r="F11" s="81">
        <v>12.4</v>
      </c>
      <c r="G11" s="81">
        <v>12.7</v>
      </c>
      <c r="H11" s="81">
        <v>11.9</v>
      </c>
      <c r="I11" s="81">
        <v>11</v>
      </c>
      <c r="J11" s="81">
        <v>12.8</v>
      </c>
      <c r="L11" s="11" t="str">
        <v>B</v>
      </c>
      <c r="M11" s="65">
        <v>4</v>
      </c>
      <c r="N11" s="11">
        <v>50.5</v>
      </c>
      <c r="O11" s="64">
        <v>12.625</v>
      </c>
      <c r="P11" s="87">
        <v>0.18916666666666648</v>
      </c>
      <c r="Q11" s="15" t="str">
        <v/>
      </c>
      <c r="R11" s="15" t="str">
        <v/>
      </c>
      <c r="U11" s="11" t="str">
        <v>B</v>
      </c>
      <c r="V11" s="65">
        <v>4</v>
      </c>
      <c r="W11" s="11">
        <v>50.5</v>
      </c>
      <c r="X11" s="64">
        <v>12.625</v>
      </c>
      <c r="Y11" s="87">
        <v>0.18916666666666648</v>
      </c>
      <c r="Z11" s="15" t="str">
        <v/>
      </c>
      <c r="AA11" s="15" t="str">
        <v/>
      </c>
    </row>
    <row r="12" spans="1:29" x14ac:dyDescent="0.3">
      <c r="D12" s="56"/>
      <c r="F12" s="81">
        <v>11.2</v>
      </c>
      <c r="G12" s="81">
        <v>12.4</v>
      </c>
      <c r="H12" s="81">
        <v>11.7</v>
      </c>
      <c r="I12" s="81">
        <v>11.5</v>
      </c>
      <c r="J12" s="81">
        <v>13.2</v>
      </c>
      <c r="K12" s="62"/>
      <c r="L12" s="11" t="str">
        <v>C</v>
      </c>
      <c r="M12" s="65">
        <v>4</v>
      </c>
      <c r="N12" s="10">
        <v>48.8</v>
      </c>
      <c r="O12" s="64">
        <v>12.2</v>
      </c>
      <c r="P12" s="87">
        <v>0.2266666666666666</v>
      </c>
      <c r="Q12" s="15" t="str">
        <v/>
      </c>
      <c r="R12" s="15" t="str">
        <v/>
      </c>
      <c r="U12" s="11" t="str">
        <v>C</v>
      </c>
      <c r="V12" s="65">
        <v>4</v>
      </c>
      <c r="W12" s="10">
        <v>48.8</v>
      </c>
      <c r="X12" s="64">
        <v>12.2</v>
      </c>
      <c r="Y12" s="87">
        <v>0.2266666666666666</v>
      </c>
      <c r="Z12" s="15" t="str">
        <v/>
      </c>
      <c r="AA12" s="15" t="str">
        <v/>
      </c>
    </row>
    <row r="13" spans="1:29" x14ac:dyDescent="0.3">
      <c r="D13" s="56"/>
      <c r="F13" s="81">
        <v>12.2</v>
      </c>
      <c r="G13" s="81">
        <v>13.2</v>
      </c>
      <c r="H13" s="81">
        <v>12.5</v>
      </c>
      <c r="I13" s="81">
        <v>11.1</v>
      </c>
      <c r="J13" s="81">
        <v>12.3</v>
      </c>
      <c r="K13" s="62"/>
      <c r="L13" s="11" t="str">
        <v>D</v>
      </c>
      <c r="M13" s="65">
        <v>4</v>
      </c>
      <c r="N13" s="10">
        <v>45.4</v>
      </c>
      <c r="O13" s="64">
        <v>11.35</v>
      </c>
      <c r="P13" s="87">
        <v>0.13666666666666696</v>
      </c>
      <c r="Q13" s="15" t="str">
        <v/>
      </c>
      <c r="R13" s="15" t="str">
        <v/>
      </c>
      <c r="U13" s="11" t="str">
        <v>D</v>
      </c>
      <c r="V13" s="65">
        <v>4</v>
      </c>
      <c r="W13" s="10">
        <v>45.4</v>
      </c>
      <c r="X13" s="64">
        <v>11.35</v>
      </c>
      <c r="Y13" s="87">
        <v>0.13666666666666696</v>
      </c>
      <c r="Z13" s="15" t="str">
        <v/>
      </c>
      <c r="AA13" s="15" t="str">
        <v/>
      </c>
    </row>
    <row r="14" spans="1:29" ht="19.5" thickBot="1" x14ac:dyDescent="0.35">
      <c r="K14" s="62"/>
      <c r="L14" s="66" t="str">
        <v>E</v>
      </c>
      <c r="M14" s="79">
        <v>4</v>
      </c>
      <c r="N14" s="67">
        <v>50.399999999999991</v>
      </c>
      <c r="O14" s="89">
        <v>12.599999999999998</v>
      </c>
      <c r="P14" s="88">
        <v>0.24666666666666645</v>
      </c>
      <c r="Q14" s="15" t="str">
        <v/>
      </c>
      <c r="R14" s="15" t="str">
        <v/>
      </c>
      <c r="U14" s="66" t="str">
        <v>E</v>
      </c>
      <c r="V14" s="79">
        <v>4</v>
      </c>
      <c r="W14" s="67">
        <v>50.399999999999991</v>
      </c>
      <c r="X14" s="89">
        <v>12.599999999999998</v>
      </c>
      <c r="Y14" s="88">
        <v>0.24666666666666645</v>
      </c>
      <c r="Z14" s="15" t="str">
        <v/>
      </c>
      <c r="AA14" s="15" t="str">
        <v/>
      </c>
    </row>
    <row r="15" spans="1:29" x14ac:dyDescent="0.3">
      <c r="E15" s="83" t="s">
        <v>267</v>
      </c>
      <c r="F15" s="82">
        <v>0.05</v>
      </c>
      <c r="K15" s="62"/>
      <c r="L15" s="11" t="str">
        <v/>
      </c>
      <c r="M15" s="11" t="str">
        <v/>
      </c>
      <c r="N15" s="10" t="str">
        <v/>
      </c>
      <c r="O15" s="10" t="str">
        <v/>
      </c>
      <c r="P15" s="15" t="str">
        <v/>
      </c>
      <c r="Q15" s="15" t="str">
        <v/>
      </c>
      <c r="R15" s="15" t="str">
        <v/>
      </c>
      <c r="U15" s="11" t="str">
        <v/>
      </c>
      <c r="V15" s="11" t="str">
        <v/>
      </c>
      <c r="W15" s="10" t="str">
        <v/>
      </c>
      <c r="X15" s="10" t="str">
        <v/>
      </c>
      <c r="Y15" s="15" t="str">
        <v/>
      </c>
      <c r="Z15" s="15" t="str">
        <v/>
      </c>
      <c r="AA15" s="15" t="str">
        <v/>
      </c>
    </row>
    <row r="16" spans="1:29" ht="19.5" thickBot="1" x14ac:dyDescent="0.35">
      <c r="K16" s="62"/>
      <c r="L16" s="66" t="str">
        <v>ANOVA</v>
      </c>
      <c r="M16" s="66" t="str">
        <v/>
      </c>
      <c r="N16" s="67" t="str">
        <v/>
      </c>
      <c r="O16" s="67" t="str">
        <v/>
      </c>
      <c r="P16" s="68" t="str">
        <v/>
      </c>
      <c r="Q16" s="68" t="str">
        <v/>
      </c>
      <c r="R16" s="68" t="str">
        <v/>
      </c>
      <c r="U16" s="66" t="str">
        <v>ANOVA</v>
      </c>
      <c r="V16" s="66" t="str">
        <v/>
      </c>
      <c r="W16" s="67" t="str">
        <v/>
      </c>
      <c r="X16" s="67" t="str">
        <v/>
      </c>
      <c r="Y16" s="68" t="str">
        <v/>
      </c>
      <c r="Z16" s="68" t="str">
        <v/>
      </c>
      <c r="AA16" s="68" t="str">
        <v/>
      </c>
    </row>
    <row r="17" spans="1:27" ht="15" x14ac:dyDescent="0.25">
      <c r="A17" t="s">
        <v>271</v>
      </c>
      <c r="K17" s="62"/>
      <c r="L17" s="70" t="str">
        <v>Source of variation</v>
      </c>
      <c r="M17" s="71" t="str">
        <v>SS</v>
      </c>
      <c r="N17" s="72" t="str">
        <v>df</v>
      </c>
      <c r="O17" s="72" t="str">
        <v>MS</v>
      </c>
      <c r="P17" s="71" t="str">
        <v>F</v>
      </c>
      <c r="Q17" s="71" t="str">
        <v>P-value</v>
      </c>
      <c r="R17" s="71" t="str">
        <v>F-crit</v>
      </c>
      <c r="U17" s="70" t="str">
        <v>Source of variation</v>
      </c>
      <c r="V17" s="71" t="str">
        <v>SS</v>
      </c>
      <c r="W17" s="72" t="str">
        <v>df</v>
      </c>
      <c r="X17" s="72" t="str">
        <v>MS</v>
      </c>
      <c r="Y17" s="71" t="str">
        <v>F</v>
      </c>
      <c r="Z17" s="71" t="str">
        <v>P-value</v>
      </c>
      <c r="AA17" s="71" t="str">
        <v>F-crit</v>
      </c>
    </row>
    <row r="18" spans="1:27" ht="15" x14ac:dyDescent="0.25">
      <c r="A18" s="86" t="s">
        <v>272</v>
      </c>
      <c r="K18" s="62"/>
      <c r="L18" s="77" t="str">
        <v>Between groups</v>
      </c>
      <c r="M18" s="63">
        <v>4.5279999999999898</v>
      </c>
      <c r="N18" s="15">
        <v>4</v>
      </c>
      <c r="O18" s="15">
        <v>1.1319999999999975</v>
      </c>
      <c r="P18" s="63">
        <v>5.2447876447876327</v>
      </c>
      <c r="Q18" s="63">
        <v>7.5951223343263662E-3</v>
      </c>
      <c r="R18" s="63">
        <v>3.055568275906595</v>
      </c>
      <c r="U18" s="77" t="str">
        <v>Between groups</v>
      </c>
      <c r="V18" s="63">
        <v>4.5279999999999898</v>
      </c>
      <c r="W18" s="15">
        <v>4</v>
      </c>
      <c r="X18" s="15">
        <v>1.1319999999999975</v>
      </c>
      <c r="Y18" s="63">
        <v>5.2447876447876327</v>
      </c>
      <c r="Z18" s="63">
        <v>7.5951223343263662E-3</v>
      </c>
      <c r="AA18" s="63">
        <v>3.055568275906595</v>
      </c>
    </row>
    <row r="19" spans="1:27" x14ac:dyDescent="0.3">
      <c r="K19" s="62"/>
      <c r="L19" s="77" t="str">
        <v>Within groups</v>
      </c>
      <c r="M19" s="63">
        <v>3.2375000000000003</v>
      </c>
      <c r="N19" s="15">
        <v>15</v>
      </c>
      <c r="O19" s="63">
        <v>0.21583333333333335</v>
      </c>
      <c r="P19" s="15" t="str">
        <v/>
      </c>
      <c r="Q19" s="15" t="str">
        <v/>
      </c>
      <c r="R19" s="15" t="str">
        <v/>
      </c>
      <c r="U19" s="77" t="str">
        <v>Within groups</v>
      </c>
      <c r="V19" s="63">
        <v>3.2375000000000003</v>
      </c>
      <c r="W19" s="15">
        <v>15</v>
      </c>
      <c r="X19" s="63">
        <v>0.21583333333333335</v>
      </c>
      <c r="Y19" s="15" t="str">
        <v/>
      </c>
      <c r="Z19" s="15" t="str">
        <v/>
      </c>
      <c r="AA19" s="15" t="str">
        <v/>
      </c>
    </row>
    <row r="20" spans="1:27" x14ac:dyDescent="0.3">
      <c r="K20" s="62"/>
      <c r="L20" s="77" t="str">
        <v/>
      </c>
      <c r="M20" s="63" t="str">
        <v/>
      </c>
      <c r="N20" s="15" t="str">
        <v/>
      </c>
      <c r="O20" s="15" t="str">
        <v/>
      </c>
      <c r="P20" s="15" t="str">
        <v/>
      </c>
      <c r="Q20" s="15" t="str">
        <v/>
      </c>
      <c r="R20" s="15" t="str">
        <v/>
      </c>
      <c r="U20" s="77" t="str">
        <v/>
      </c>
      <c r="V20" s="63" t="str">
        <v/>
      </c>
      <c r="W20" s="15" t="str">
        <v/>
      </c>
      <c r="X20" s="15" t="str">
        <v/>
      </c>
      <c r="Y20" s="15" t="str">
        <v/>
      </c>
      <c r="Z20" s="15" t="str">
        <v/>
      </c>
      <c r="AA20" s="15" t="str">
        <v/>
      </c>
    </row>
    <row r="21" spans="1:27" ht="19.5" thickBot="1" x14ac:dyDescent="0.35">
      <c r="K21" s="62"/>
      <c r="L21" s="78" t="str">
        <v>Total</v>
      </c>
      <c r="M21" s="69">
        <v>7.7654999999999905</v>
      </c>
      <c r="N21" s="68">
        <v>19</v>
      </c>
      <c r="O21" s="68" t="str">
        <v/>
      </c>
      <c r="P21" s="68" t="str">
        <v/>
      </c>
      <c r="Q21" s="68" t="str">
        <v/>
      </c>
      <c r="R21" s="68" t="str">
        <v/>
      </c>
      <c r="U21" s="78" t="str">
        <v>Total</v>
      </c>
      <c r="V21" s="69">
        <v>7.7654999999999905</v>
      </c>
      <c r="W21" s="68">
        <v>19</v>
      </c>
      <c r="X21" s="68" t="str">
        <v/>
      </c>
      <c r="Y21" s="68" t="str">
        <v/>
      </c>
      <c r="Z21" s="68" t="str">
        <v/>
      </c>
      <c r="AA21" s="68" t="str">
        <v/>
      </c>
    </row>
    <row r="22" spans="1:27" x14ac:dyDescent="0.3">
      <c r="K22" s="62"/>
      <c r="L22" s="54"/>
      <c r="M22" s="54"/>
    </row>
    <row r="23" spans="1:27" x14ac:dyDescent="0.3">
      <c r="K23" s="62"/>
      <c r="L23" s="54"/>
      <c r="M23" s="54"/>
    </row>
    <row r="24" spans="1:27" x14ac:dyDescent="0.3">
      <c r="K24" s="62"/>
      <c r="L24" s="54"/>
      <c r="M24" s="54"/>
    </row>
    <row r="25" spans="1:27" x14ac:dyDescent="0.3">
      <c r="K25" s="62"/>
      <c r="L25" s="54"/>
      <c r="M25" s="54"/>
    </row>
    <row r="26" spans="1:27" x14ac:dyDescent="0.3">
      <c r="K26" s="62"/>
      <c r="L26" s="54"/>
      <c r="M26" s="54"/>
    </row>
    <row r="27" spans="1:27" x14ac:dyDescent="0.3">
      <c r="K27" s="62"/>
      <c r="L27" s="54"/>
      <c r="M27" s="54"/>
    </row>
    <row r="28" spans="1:27" x14ac:dyDescent="0.3">
      <c r="K28" s="62"/>
      <c r="L28" s="54"/>
      <c r="M28" s="54"/>
    </row>
    <row r="29" spans="1:27" x14ac:dyDescent="0.3">
      <c r="K29" s="62"/>
      <c r="L29" s="54"/>
      <c r="M29" s="54"/>
    </row>
    <row r="30" spans="1:27" x14ac:dyDescent="0.3">
      <c r="K30" s="62"/>
      <c r="L30" s="54"/>
      <c r="M30" s="54"/>
    </row>
    <row r="31" spans="1:27" x14ac:dyDescent="0.3">
      <c r="K31" s="62"/>
      <c r="L31" s="54"/>
      <c r="M31" s="54"/>
    </row>
    <row r="32" spans="1:27" x14ac:dyDescent="0.3">
      <c r="K32" s="62"/>
      <c r="L32" s="54"/>
      <c r="M32" s="54"/>
    </row>
    <row r="33" spans="11:13" x14ac:dyDescent="0.3">
      <c r="K33" s="62"/>
      <c r="L33" s="54"/>
      <c r="M33" s="54"/>
    </row>
    <row r="34" spans="11:13" x14ac:dyDescent="0.3">
      <c r="K34" s="62"/>
      <c r="L34" s="54"/>
      <c r="M34" s="54"/>
    </row>
    <row r="35" spans="11:13" x14ac:dyDescent="0.3">
      <c r="K35" s="62"/>
      <c r="L35" s="54"/>
      <c r="M35" s="54"/>
    </row>
    <row r="36" spans="11:13" x14ac:dyDescent="0.3">
      <c r="K36" s="62"/>
      <c r="L36" s="54"/>
      <c r="M36" s="54"/>
    </row>
    <row r="37" spans="11:13" x14ac:dyDescent="0.3">
      <c r="K37" s="62"/>
      <c r="L37" s="54"/>
      <c r="M37" s="54"/>
    </row>
    <row r="38" spans="11:13" x14ac:dyDescent="0.3">
      <c r="K38" s="62"/>
      <c r="L38" s="54"/>
      <c r="M38" s="54"/>
    </row>
    <row r="39" spans="11:13" x14ac:dyDescent="0.3">
      <c r="K39" s="62"/>
      <c r="L39" s="54"/>
      <c r="M39" s="54"/>
    </row>
    <row r="40" spans="11:13" x14ac:dyDescent="0.3">
      <c r="K40" s="62"/>
      <c r="L40" s="54"/>
      <c r="M40" s="54"/>
    </row>
    <row r="41" spans="11:13" x14ac:dyDescent="0.3">
      <c r="K41" s="62"/>
      <c r="L41" s="54"/>
      <c r="M41" s="54"/>
    </row>
    <row r="42" spans="11:13" x14ac:dyDescent="0.3">
      <c r="K42" s="62"/>
      <c r="L42" s="54"/>
      <c r="M42" s="54"/>
    </row>
    <row r="43" spans="11:13" x14ac:dyDescent="0.3">
      <c r="K43" s="62"/>
      <c r="L43" s="54"/>
      <c r="M43" s="54"/>
    </row>
    <row r="44" spans="11:13" x14ac:dyDescent="0.3">
      <c r="K44" s="62"/>
      <c r="L44" s="54"/>
      <c r="M44" s="54"/>
    </row>
    <row r="45" spans="11:13" x14ac:dyDescent="0.3">
      <c r="K45" s="62"/>
      <c r="L45" s="54"/>
      <c r="M45" s="54"/>
    </row>
    <row r="46" spans="11:13" x14ac:dyDescent="0.3">
      <c r="K46" s="62"/>
      <c r="L46" s="54"/>
      <c r="M46" s="54"/>
    </row>
    <row r="47" spans="11:13" x14ac:dyDescent="0.3">
      <c r="K47" s="62"/>
      <c r="L47" s="54"/>
      <c r="M47" s="54"/>
    </row>
    <row r="48" spans="11:13" x14ac:dyDescent="0.3">
      <c r="K48" s="62"/>
      <c r="L48" s="54"/>
      <c r="M48" s="54"/>
    </row>
    <row r="49" spans="11:13" x14ac:dyDescent="0.3">
      <c r="K49" s="62"/>
      <c r="L49" s="54"/>
      <c r="M49" s="54"/>
    </row>
    <row r="50" spans="11:13" x14ac:dyDescent="0.3">
      <c r="K50" s="62"/>
      <c r="L50" s="54"/>
      <c r="M50" s="54"/>
    </row>
    <row r="51" spans="11:13" x14ac:dyDescent="0.3">
      <c r="K51" s="62"/>
      <c r="L51" s="54"/>
      <c r="M51" s="54"/>
    </row>
    <row r="52" spans="11:13" x14ac:dyDescent="0.3">
      <c r="K52" s="62"/>
      <c r="L52" s="54"/>
      <c r="M52" s="54"/>
    </row>
    <row r="53" spans="11:13" x14ac:dyDescent="0.3">
      <c r="K53" s="62"/>
      <c r="L53" s="54"/>
      <c r="M53" s="54"/>
    </row>
    <row r="54" spans="11:13" x14ac:dyDescent="0.3">
      <c r="K54" s="62"/>
      <c r="L54" s="54"/>
      <c r="M54" s="54"/>
    </row>
    <row r="55" spans="11:13" x14ac:dyDescent="0.3">
      <c r="K55" s="62"/>
      <c r="L55" s="54"/>
      <c r="M55" s="54"/>
    </row>
    <row r="56" spans="11:13" x14ac:dyDescent="0.3">
      <c r="K56" s="62"/>
      <c r="L56" s="54"/>
      <c r="M56" s="54"/>
    </row>
    <row r="57" spans="11:13" x14ac:dyDescent="0.3">
      <c r="K57" s="62"/>
      <c r="L57" s="54"/>
      <c r="M57" s="54"/>
    </row>
    <row r="58" spans="11:13" x14ac:dyDescent="0.3">
      <c r="K58" s="62"/>
      <c r="L58" s="54"/>
      <c r="M58" s="54"/>
    </row>
    <row r="59" spans="11:13" x14ac:dyDescent="0.3">
      <c r="K59" s="62"/>
      <c r="L59" s="54"/>
      <c r="M59" s="54"/>
    </row>
    <row r="60" spans="11:13" x14ac:dyDescent="0.3">
      <c r="K60" s="62"/>
      <c r="L60" s="54"/>
      <c r="M60" s="54"/>
    </row>
    <row r="61" spans="11:13" x14ac:dyDescent="0.3">
      <c r="K61" s="62"/>
      <c r="L61" s="54"/>
      <c r="M61" s="54"/>
    </row>
    <row r="62" spans="11:13" x14ac:dyDescent="0.3">
      <c r="K62" s="62"/>
      <c r="L62" s="54"/>
      <c r="M62" s="54"/>
    </row>
    <row r="63" spans="11:13" x14ac:dyDescent="0.3">
      <c r="K63" s="62"/>
      <c r="L63" s="54"/>
      <c r="M63" s="54"/>
    </row>
    <row r="64" spans="11:13" x14ac:dyDescent="0.3">
      <c r="K64" s="62"/>
      <c r="L64" s="54"/>
      <c r="M64" s="54"/>
    </row>
    <row r="65" spans="11:13" x14ac:dyDescent="0.3">
      <c r="K65" s="62"/>
      <c r="L65" s="54"/>
      <c r="M65" s="54"/>
    </row>
    <row r="66" spans="11:13" x14ac:dyDescent="0.3">
      <c r="K66" s="62"/>
      <c r="L66" s="54"/>
      <c r="M66" s="54"/>
    </row>
    <row r="67" spans="11:13" x14ac:dyDescent="0.3">
      <c r="K67" s="62"/>
      <c r="L67" s="54"/>
      <c r="M67" s="54"/>
    </row>
    <row r="68" spans="11:13" x14ac:dyDescent="0.3">
      <c r="K68" s="62"/>
      <c r="L68" s="54"/>
      <c r="M68" s="54"/>
    </row>
    <row r="69" spans="11:13" x14ac:dyDescent="0.3">
      <c r="K69" s="62"/>
      <c r="L69" s="54"/>
      <c r="M69" s="54"/>
    </row>
    <row r="70" spans="11:13" x14ac:dyDescent="0.3">
      <c r="K70" s="62"/>
      <c r="L70" s="54"/>
      <c r="M70" s="54"/>
    </row>
    <row r="71" spans="11:13" x14ac:dyDescent="0.3">
      <c r="K71" s="62"/>
      <c r="L71" s="54"/>
      <c r="M71" s="54"/>
    </row>
    <row r="72" spans="11:13" x14ac:dyDescent="0.3">
      <c r="K72" s="62"/>
      <c r="L72" s="54"/>
      <c r="M72" s="54"/>
    </row>
    <row r="73" spans="11:13" x14ac:dyDescent="0.3">
      <c r="K73" s="62"/>
      <c r="L73" s="54"/>
      <c r="M73" s="54"/>
    </row>
    <row r="74" spans="11:13" x14ac:dyDescent="0.3">
      <c r="K74" s="62"/>
      <c r="L74" s="54"/>
      <c r="M74" s="54"/>
    </row>
    <row r="75" spans="11:13" x14ac:dyDescent="0.3">
      <c r="K75" s="62"/>
      <c r="L75" s="54"/>
      <c r="M75" s="54"/>
    </row>
    <row r="76" spans="11:13" x14ac:dyDescent="0.3">
      <c r="K76" s="62"/>
      <c r="L76" s="54"/>
      <c r="M76" s="54"/>
    </row>
    <row r="77" spans="11:13" x14ac:dyDescent="0.3">
      <c r="K77" s="62"/>
      <c r="L77" s="54"/>
      <c r="M77" s="54"/>
    </row>
    <row r="78" spans="11:13" x14ac:dyDescent="0.3">
      <c r="K78" s="62"/>
      <c r="L78" s="54"/>
      <c r="M78" s="54"/>
    </row>
    <row r="79" spans="11:13" x14ac:dyDescent="0.3">
      <c r="K79" s="62"/>
      <c r="L79" s="54"/>
      <c r="M79" s="54"/>
    </row>
    <row r="80" spans="11:13" x14ac:dyDescent="0.3">
      <c r="K80" s="62"/>
      <c r="L80" s="54"/>
      <c r="M80" s="54"/>
    </row>
    <row r="81" spans="11:13" x14ac:dyDescent="0.3">
      <c r="K81" s="62"/>
      <c r="L81" s="54"/>
      <c r="M81" s="54"/>
    </row>
    <row r="82" spans="11:13" x14ac:dyDescent="0.3">
      <c r="K82" s="62"/>
      <c r="L82" s="54"/>
      <c r="M82" s="54"/>
    </row>
    <row r="83" spans="11:13" x14ac:dyDescent="0.3">
      <c r="K83" s="62"/>
      <c r="L83" s="54"/>
      <c r="M83" s="54"/>
    </row>
    <row r="84" spans="11:13" x14ac:dyDescent="0.3">
      <c r="K84" s="62"/>
      <c r="L84" s="54"/>
      <c r="M84" s="54"/>
    </row>
    <row r="85" spans="11:13" x14ac:dyDescent="0.3">
      <c r="K85" s="62"/>
      <c r="L85" s="54"/>
      <c r="M85" s="54"/>
    </row>
    <row r="86" spans="11:13" x14ac:dyDescent="0.3">
      <c r="K86" s="62"/>
      <c r="L86" s="54"/>
      <c r="M86" s="54"/>
    </row>
    <row r="87" spans="11:13" x14ac:dyDescent="0.3">
      <c r="K87" s="62"/>
      <c r="L87" s="54"/>
      <c r="M87" s="54"/>
    </row>
    <row r="88" spans="11:13" x14ac:dyDescent="0.3">
      <c r="K88" s="62"/>
      <c r="L88" s="54"/>
      <c r="M88" s="54"/>
    </row>
    <row r="89" spans="11:13" x14ac:dyDescent="0.3">
      <c r="K89" s="62"/>
      <c r="L89" s="54"/>
      <c r="M89" s="54"/>
    </row>
    <row r="90" spans="11:13" x14ac:dyDescent="0.3">
      <c r="K90" s="62"/>
      <c r="L90" s="54"/>
      <c r="M90" s="54"/>
    </row>
    <row r="91" spans="11:13" x14ac:dyDescent="0.3">
      <c r="K91" s="62"/>
      <c r="L91" s="54"/>
      <c r="M91" s="54"/>
    </row>
    <row r="92" spans="11:13" x14ac:dyDescent="0.3">
      <c r="K92" s="62"/>
      <c r="L92" s="54"/>
      <c r="M92" s="54"/>
    </row>
    <row r="93" spans="11:13" x14ac:dyDescent="0.3">
      <c r="K93" s="62"/>
      <c r="L93" s="54"/>
      <c r="M93" s="54"/>
    </row>
    <row r="94" spans="11:13" x14ac:dyDescent="0.3">
      <c r="K94" s="62"/>
      <c r="L94" s="54"/>
      <c r="M94" s="54"/>
    </row>
    <row r="95" spans="11:13" x14ac:dyDescent="0.3">
      <c r="K95" s="62"/>
      <c r="L95" s="54"/>
      <c r="M95" s="54"/>
    </row>
    <row r="96" spans="11:13" x14ac:dyDescent="0.3">
      <c r="K96" s="62"/>
      <c r="L96" s="54"/>
      <c r="M96" s="54"/>
    </row>
    <row r="97" spans="11:13" x14ac:dyDescent="0.3">
      <c r="K97" s="62"/>
      <c r="L97" s="54"/>
      <c r="M97" s="54"/>
    </row>
    <row r="98" spans="11:13" x14ac:dyDescent="0.3">
      <c r="K98" s="62"/>
      <c r="L98" s="54"/>
      <c r="M98" s="54"/>
    </row>
    <row r="99" spans="11:13" x14ac:dyDescent="0.3">
      <c r="K99" s="62"/>
      <c r="L99" s="54"/>
      <c r="M99" s="54"/>
    </row>
    <row r="100" spans="11:13" x14ac:dyDescent="0.3">
      <c r="K100" s="62"/>
      <c r="L100" s="54"/>
      <c r="M100" s="54"/>
    </row>
    <row r="101" spans="11:13" x14ac:dyDescent="0.3">
      <c r="K101" s="62"/>
      <c r="L101" s="54"/>
      <c r="M101" s="54"/>
    </row>
    <row r="102" spans="11:13" x14ac:dyDescent="0.3">
      <c r="K102" s="62"/>
      <c r="L102" s="54"/>
      <c r="M102" s="54"/>
    </row>
    <row r="103" spans="11:13" x14ac:dyDescent="0.3">
      <c r="K103" s="62"/>
      <c r="L103" s="54"/>
      <c r="M103" s="54"/>
    </row>
    <row r="104" spans="11:13" x14ac:dyDescent="0.3">
      <c r="K104" s="62"/>
      <c r="L104" s="54"/>
      <c r="M104" s="54"/>
    </row>
    <row r="105" spans="11:13" x14ac:dyDescent="0.3">
      <c r="K105" s="62"/>
      <c r="L105" s="54"/>
      <c r="M105" s="54"/>
    </row>
    <row r="106" spans="11:13" x14ac:dyDescent="0.3">
      <c r="K106" s="62"/>
      <c r="L106" s="54"/>
      <c r="M106" s="54"/>
    </row>
    <row r="107" spans="11:13" x14ac:dyDescent="0.3">
      <c r="K107" s="62"/>
      <c r="L107" s="54"/>
      <c r="M107" s="54"/>
    </row>
    <row r="108" spans="11:13" x14ac:dyDescent="0.3">
      <c r="K108" s="62"/>
      <c r="L108" s="54"/>
      <c r="M108" s="54"/>
    </row>
    <row r="109" spans="11:13" x14ac:dyDescent="0.3">
      <c r="K109" s="62"/>
      <c r="L109" s="54"/>
      <c r="M109" s="54"/>
    </row>
    <row r="110" spans="11:13" x14ac:dyDescent="0.3">
      <c r="K110" s="62"/>
      <c r="L110" s="54"/>
      <c r="M110" s="54"/>
    </row>
    <row r="111" spans="11:13" x14ac:dyDescent="0.3">
      <c r="K111" s="62"/>
      <c r="L111" s="54"/>
      <c r="M111" s="54"/>
    </row>
    <row r="112" spans="11:13" x14ac:dyDescent="0.3">
      <c r="K112" s="62"/>
      <c r="L112" s="54"/>
      <c r="M112" s="54"/>
    </row>
    <row r="113" spans="11:13" x14ac:dyDescent="0.3">
      <c r="K113" s="62"/>
      <c r="L113" s="54"/>
      <c r="M113" s="54"/>
    </row>
    <row r="114" spans="11:13" x14ac:dyDescent="0.3">
      <c r="K114" s="62"/>
      <c r="L114" s="54"/>
      <c r="M114" s="54"/>
    </row>
    <row r="115" spans="11:13" x14ac:dyDescent="0.3">
      <c r="K115" s="62"/>
      <c r="L115" s="54"/>
      <c r="M115" s="54"/>
    </row>
    <row r="116" spans="11:13" x14ac:dyDescent="0.3">
      <c r="K116" s="62"/>
      <c r="L116" s="54"/>
      <c r="M116" s="54"/>
    </row>
    <row r="117" spans="11:13" x14ac:dyDescent="0.3">
      <c r="K117" s="62"/>
      <c r="L117" s="54"/>
      <c r="M117" s="54"/>
    </row>
    <row r="118" spans="11:13" x14ac:dyDescent="0.3">
      <c r="K118" s="62"/>
      <c r="L118" s="54"/>
      <c r="M118" s="54"/>
    </row>
    <row r="119" spans="11:13" x14ac:dyDescent="0.3">
      <c r="K119" s="62"/>
      <c r="L119" s="54"/>
      <c r="M119" s="54"/>
    </row>
    <row r="120" spans="11:13" x14ac:dyDescent="0.3">
      <c r="K120" s="62"/>
      <c r="L120" s="54"/>
      <c r="M120" s="54"/>
    </row>
    <row r="121" spans="11:13" x14ac:dyDescent="0.3">
      <c r="K121" s="62"/>
      <c r="L121" s="54"/>
      <c r="M121" s="54"/>
    </row>
    <row r="122" spans="11:13" x14ac:dyDescent="0.3">
      <c r="K122" s="62"/>
      <c r="L122" s="54"/>
      <c r="M122" s="54"/>
    </row>
    <row r="123" spans="11:13" x14ac:dyDescent="0.3">
      <c r="K123" s="62"/>
      <c r="L123" s="54"/>
      <c r="M123" s="54"/>
    </row>
    <row r="124" spans="11:13" x14ac:dyDescent="0.3">
      <c r="K124" s="62"/>
      <c r="L124" s="54"/>
      <c r="M124" s="54"/>
    </row>
    <row r="125" spans="11:13" x14ac:dyDescent="0.3">
      <c r="K125" s="62"/>
      <c r="L125" s="54"/>
      <c r="M125" s="54"/>
    </row>
    <row r="126" spans="11:13" x14ac:dyDescent="0.3">
      <c r="K126" s="62"/>
      <c r="L126" s="54"/>
      <c r="M126" s="54"/>
    </row>
    <row r="127" spans="11:13" x14ac:dyDescent="0.3">
      <c r="K127" s="62"/>
      <c r="L127" s="54"/>
      <c r="M127" s="54"/>
    </row>
    <row r="128" spans="11:13" x14ac:dyDescent="0.3">
      <c r="K128" s="62"/>
      <c r="L128" s="54"/>
      <c r="M128" s="54"/>
    </row>
    <row r="129" spans="11:13" x14ac:dyDescent="0.3">
      <c r="K129" s="62"/>
      <c r="L129" s="54"/>
      <c r="M129" s="54"/>
    </row>
    <row r="130" spans="11:13" x14ac:dyDescent="0.3">
      <c r="K130" s="62"/>
      <c r="L130" s="54"/>
      <c r="M130" s="54"/>
    </row>
    <row r="131" spans="11:13" x14ac:dyDescent="0.3">
      <c r="K131" s="62"/>
      <c r="L131" s="54"/>
      <c r="M131" s="54"/>
    </row>
    <row r="132" spans="11:13" x14ac:dyDescent="0.3">
      <c r="K132" s="62"/>
      <c r="L132" s="54"/>
      <c r="M132" s="54"/>
    </row>
    <row r="133" spans="11:13" x14ac:dyDescent="0.3">
      <c r="K133" s="62"/>
      <c r="L133" s="54"/>
      <c r="M133" s="54"/>
    </row>
    <row r="134" spans="11:13" x14ac:dyDescent="0.3">
      <c r="K134" s="62"/>
      <c r="L134" s="54"/>
      <c r="M134" s="54"/>
    </row>
    <row r="135" spans="11:13" x14ac:dyDescent="0.3">
      <c r="K135" s="62"/>
      <c r="L135" s="54"/>
      <c r="M135" s="54"/>
    </row>
    <row r="136" spans="11:13" x14ac:dyDescent="0.3">
      <c r="K136" s="62"/>
      <c r="L136" s="54"/>
      <c r="M136" s="54"/>
    </row>
    <row r="137" spans="11:13" x14ac:dyDescent="0.3">
      <c r="K137" s="62"/>
      <c r="L137" s="54"/>
      <c r="M137" s="54"/>
    </row>
    <row r="138" spans="11:13" x14ac:dyDescent="0.3">
      <c r="K138" s="62"/>
      <c r="L138" s="54"/>
      <c r="M138" s="54"/>
    </row>
    <row r="139" spans="11:13" x14ac:dyDescent="0.3">
      <c r="K139" s="62"/>
      <c r="L139" s="54"/>
      <c r="M139" s="54"/>
    </row>
    <row r="140" spans="11:13" x14ac:dyDescent="0.3">
      <c r="K140" s="62"/>
      <c r="L140" s="54"/>
      <c r="M140" s="54"/>
    </row>
    <row r="141" spans="11:13" x14ac:dyDescent="0.3">
      <c r="K141" s="62"/>
      <c r="L141" s="54"/>
      <c r="M141" s="54"/>
    </row>
    <row r="142" spans="11:13" x14ac:dyDescent="0.3">
      <c r="K142" s="62"/>
      <c r="L142" s="54"/>
      <c r="M142" s="54"/>
    </row>
    <row r="143" spans="11:13" x14ac:dyDescent="0.3">
      <c r="K143" s="62"/>
      <c r="L143" s="54"/>
      <c r="M143" s="54"/>
    </row>
    <row r="144" spans="11:13" x14ac:dyDescent="0.3">
      <c r="K144" s="62"/>
      <c r="L144" s="54"/>
      <c r="M144" s="54"/>
    </row>
    <row r="145" spans="11:13" x14ac:dyDescent="0.3">
      <c r="K145" s="62"/>
      <c r="L145" s="54"/>
      <c r="M145" s="54"/>
    </row>
    <row r="146" spans="11:13" x14ac:dyDescent="0.3">
      <c r="K146" s="62"/>
      <c r="L146" s="54"/>
      <c r="M146" s="54"/>
    </row>
    <row r="147" spans="11:13" x14ac:dyDescent="0.3">
      <c r="K147" s="62"/>
      <c r="L147" s="54"/>
      <c r="M147" s="54"/>
    </row>
    <row r="148" spans="11:13" x14ac:dyDescent="0.3">
      <c r="K148" s="62"/>
      <c r="L148" s="54"/>
      <c r="M148" s="54"/>
    </row>
    <row r="149" spans="11:13" x14ac:dyDescent="0.3">
      <c r="K149" s="62"/>
      <c r="L149" s="54"/>
      <c r="M149" s="54"/>
    </row>
    <row r="150" spans="11:13" x14ac:dyDescent="0.3">
      <c r="K150" s="62"/>
      <c r="L150" s="54"/>
      <c r="M150" s="54"/>
    </row>
    <row r="151" spans="11:13" x14ac:dyDescent="0.3">
      <c r="K151" s="62"/>
      <c r="L151" s="54"/>
      <c r="M151" s="54"/>
    </row>
    <row r="152" spans="11:13" x14ac:dyDescent="0.3">
      <c r="K152" s="62"/>
      <c r="L152" s="54"/>
      <c r="M152" s="54"/>
    </row>
    <row r="153" spans="11:13" x14ac:dyDescent="0.3">
      <c r="K153" s="62"/>
      <c r="L153" s="54"/>
      <c r="M153" s="54"/>
    </row>
    <row r="154" spans="11:13" x14ac:dyDescent="0.3">
      <c r="K154" s="62"/>
      <c r="L154" s="54"/>
      <c r="M154" s="54"/>
    </row>
    <row r="155" spans="11:13" x14ac:dyDescent="0.3">
      <c r="K155" s="62"/>
      <c r="L155" s="54"/>
      <c r="M155" s="54"/>
    </row>
    <row r="156" spans="11:13" x14ac:dyDescent="0.3">
      <c r="K156" s="62"/>
      <c r="L156" s="54"/>
      <c r="M156" s="54"/>
    </row>
    <row r="157" spans="11:13" x14ac:dyDescent="0.3">
      <c r="K157" s="62"/>
      <c r="L157" s="54"/>
      <c r="M157" s="54"/>
    </row>
    <row r="158" spans="11:13" x14ac:dyDescent="0.3">
      <c r="K158" s="62"/>
      <c r="L158" s="54"/>
      <c r="M158" s="54"/>
    </row>
    <row r="159" spans="11:13" x14ac:dyDescent="0.3">
      <c r="K159" s="62"/>
      <c r="L159" s="54"/>
      <c r="M159" s="54"/>
    </row>
    <row r="160" spans="11:13" x14ac:dyDescent="0.3">
      <c r="K160" s="62"/>
      <c r="L160" s="54"/>
      <c r="M160" s="54"/>
    </row>
    <row r="161" spans="11:13" x14ac:dyDescent="0.3">
      <c r="K161" s="62"/>
      <c r="L161" s="54"/>
      <c r="M161" s="54"/>
    </row>
    <row r="162" spans="11:13" x14ac:dyDescent="0.3">
      <c r="K162" s="62"/>
      <c r="L162" s="54"/>
      <c r="M162" s="54"/>
    </row>
    <row r="163" spans="11:13" x14ac:dyDescent="0.3">
      <c r="K163" s="62"/>
      <c r="L163" s="54"/>
      <c r="M163" s="54"/>
    </row>
    <row r="164" spans="11:13" x14ac:dyDescent="0.3">
      <c r="K164" s="62"/>
      <c r="L164" s="54"/>
      <c r="M164" s="54"/>
    </row>
    <row r="165" spans="11:13" x14ac:dyDescent="0.3">
      <c r="K165" s="62"/>
      <c r="L165" s="54"/>
      <c r="M165" s="54"/>
    </row>
    <row r="166" spans="11:13" x14ac:dyDescent="0.3">
      <c r="K166" s="62"/>
      <c r="L166" s="54"/>
      <c r="M166" s="54"/>
    </row>
    <row r="167" spans="11:13" x14ac:dyDescent="0.3">
      <c r="K167" s="62"/>
      <c r="L167" s="54"/>
      <c r="M167" s="54"/>
    </row>
    <row r="168" spans="11:13" x14ac:dyDescent="0.3">
      <c r="K168" s="62"/>
      <c r="L168" s="54"/>
      <c r="M168" s="54"/>
    </row>
    <row r="169" spans="11:13" x14ac:dyDescent="0.3">
      <c r="K169" s="62"/>
      <c r="L169" s="54"/>
      <c r="M169" s="54"/>
    </row>
    <row r="170" spans="11:13" x14ac:dyDescent="0.3">
      <c r="K170" s="62"/>
      <c r="L170" s="54"/>
      <c r="M170" s="54"/>
    </row>
    <row r="171" spans="11:13" x14ac:dyDescent="0.3">
      <c r="K171" s="62"/>
      <c r="L171" s="54"/>
      <c r="M171" s="54"/>
    </row>
    <row r="172" spans="11:13" x14ac:dyDescent="0.3">
      <c r="K172" s="62"/>
      <c r="L172" s="54"/>
      <c r="M172" s="54"/>
    </row>
    <row r="173" spans="11:13" x14ac:dyDescent="0.3">
      <c r="K173" s="62"/>
      <c r="L173" s="54"/>
      <c r="M173" s="54"/>
    </row>
    <row r="174" spans="11:13" x14ac:dyDescent="0.3">
      <c r="K174" s="62"/>
      <c r="L174" s="54"/>
      <c r="M174" s="54"/>
    </row>
    <row r="175" spans="11:13" x14ac:dyDescent="0.3">
      <c r="K175" s="62"/>
      <c r="L175" s="54"/>
      <c r="M175" s="54"/>
    </row>
    <row r="176" spans="11:13" x14ac:dyDescent="0.3">
      <c r="K176" s="62"/>
      <c r="L176" s="54"/>
      <c r="M176" s="54"/>
    </row>
    <row r="177" spans="11:13" x14ac:dyDescent="0.3">
      <c r="K177" s="62"/>
      <c r="L177" s="54"/>
      <c r="M177" s="54"/>
    </row>
    <row r="178" spans="11:13" x14ac:dyDescent="0.3">
      <c r="K178" s="62"/>
      <c r="L178" s="54"/>
      <c r="M178" s="54"/>
    </row>
    <row r="179" spans="11:13" x14ac:dyDescent="0.3">
      <c r="K179" s="62"/>
      <c r="L179" s="54"/>
      <c r="M179" s="54"/>
    </row>
    <row r="180" spans="11:13" x14ac:dyDescent="0.3">
      <c r="K180" s="62"/>
      <c r="L180" s="54"/>
      <c r="M180" s="54"/>
    </row>
    <row r="181" spans="11:13" x14ac:dyDescent="0.3">
      <c r="K181" s="62"/>
      <c r="L181" s="54"/>
      <c r="M181" s="54"/>
    </row>
    <row r="182" spans="11:13" x14ac:dyDescent="0.3">
      <c r="K182" s="62"/>
      <c r="L182" s="54"/>
      <c r="M182" s="54"/>
    </row>
    <row r="183" spans="11:13" x14ac:dyDescent="0.3">
      <c r="K183" s="62"/>
      <c r="L183" s="54"/>
      <c r="M183" s="54"/>
    </row>
    <row r="184" spans="11:13" x14ac:dyDescent="0.3">
      <c r="K184" s="62"/>
      <c r="L184" s="54"/>
      <c r="M184" s="54"/>
    </row>
    <row r="185" spans="11:13" x14ac:dyDescent="0.3">
      <c r="K185" s="62"/>
      <c r="L185" s="54"/>
      <c r="M185" s="54"/>
    </row>
    <row r="186" spans="11:13" x14ac:dyDescent="0.3">
      <c r="K186" s="62"/>
      <c r="L186" s="54"/>
      <c r="M186" s="54"/>
    </row>
    <row r="187" spans="11:13" x14ac:dyDescent="0.3">
      <c r="K187" s="62"/>
      <c r="L187" s="54"/>
      <c r="M187" s="54"/>
    </row>
    <row r="188" spans="11:13" x14ac:dyDescent="0.3">
      <c r="K188" s="62"/>
      <c r="L188" s="54"/>
      <c r="M188" s="54"/>
    </row>
    <row r="189" spans="11:13" x14ac:dyDescent="0.3">
      <c r="K189" s="62"/>
      <c r="L189" s="54"/>
      <c r="M189" s="54"/>
    </row>
    <row r="190" spans="11:13" x14ac:dyDescent="0.3">
      <c r="K190" s="62"/>
      <c r="L190" s="54"/>
      <c r="M190" s="54"/>
    </row>
    <row r="191" spans="11:13" x14ac:dyDescent="0.3">
      <c r="K191" s="62"/>
      <c r="L191" s="54"/>
      <c r="M191" s="54"/>
    </row>
    <row r="192" spans="11:13" x14ac:dyDescent="0.3">
      <c r="K192" s="62"/>
      <c r="L192" s="54"/>
      <c r="M192" s="54"/>
    </row>
    <row r="193" spans="11:13" x14ac:dyDescent="0.3">
      <c r="K193" s="62"/>
      <c r="L193" s="54"/>
      <c r="M193" s="54"/>
    </row>
    <row r="194" spans="11:13" x14ac:dyDescent="0.3">
      <c r="K194" s="62"/>
      <c r="L194" s="54"/>
      <c r="M194" s="54"/>
    </row>
    <row r="195" spans="11:13" x14ac:dyDescent="0.3">
      <c r="K195" s="62"/>
      <c r="L195" s="54"/>
      <c r="M195" s="54"/>
    </row>
    <row r="196" spans="11:13" x14ac:dyDescent="0.3">
      <c r="K196" s="62"/>
      <c r="L196" s="54"/>
      <c r="M196" s="54"/>
    </row>
    <row r="197" spans="11:13" x14ac:dyDescent="0.3">
      <c r="K197" s="62"/>
      <c r="L197" s="54"/>
      <c r="M197" s="54"/>
    </row>
    <row r="198" spans="11:13" x14ac:dyDescent="0.3">
      <c r="K198" s="62"/>
      <c r="L198" s="54"/>
      <c r="M198" s="54"/>
    </row>
    <row r="199" spans="11:13" x14ac:dyDescent="0.3">
      <c r="K199" s="62"/>
      <c r="L199" s="54"/>
      <c r="M199" s="54"/>
    </row>
    <row r="200" spans="11:13" x14ac:dyDescent="0.3">
      <c r="K200" s="62"/>
      <c r="L200" s="54"/>
      <c r="M200" s="54"/>
    </row>
    <row r="201" spans="11:13" x14ac:dyDescent="0.3">
      <c r="K201" s="62"/>
      <c r="L201" s="54"/>
      <c r="M201" s="54"/>
    </row>
    <row r="202" spans="11:13" x14ac:dyDescent="0.3">
      <c r="K202" s="62"/>
      <c r="L202" s="54"/>
      <c r="M202" s="54"/>
    </row>
    <row r="203" spans="11:13" x14ac:dyDescent="0.3">
      <c r="K203" s="62"/>
      <c r="L203" s="54"/>
      <c r="M203" s="54"/>
    </row>
    <row r="204" spans="11:13" x14ac:dyDescent="0.3">
      <c r="K204" s="62"/>
      <c r="L204" s="54"/>
      <c r="M204" s="54"/>
    </row>
    <row r="205" spans="11:13" x14ac:dyDescent="0.3">
      <c r="K205" s="62"/>
      <c r="L205" s="54"/>
      <c r="M205" s="54"/>
    </row>
    <row r="206" spans="11:13" x14ac:dyDescent="0.3">
      <c r="K206" s="62"/>
      <c r="L206" s="54"/>
      <c r="M206" s="54"/>
    </row>
    <row r="207" spans="11:13" x14ac:dyDescent="0.3">
      <c r="K207" s="62"/>
      <c r="L207" s="54"/>
      <c r="M207" s="54"/>
    </row>
    <row r="208" spans="11:13" x14ac:dyDescent="0.3">
      <c r="K208" s="62"/>
      <c r="L208" s="54"/>
      <c r="M208" s="54"/>
    </row>
    <row r="209" spans="11:13" x14ac:dyDescent="0.3">
      <c r="K209" s="62"/>
      <c r="L209" s="54"/>
      <c r="M209" s="54"/>
    </row>
    <row r="210" spans="11:13" x14ac:dyDescent="0.3">
      <c r="K210" s="62"/>
      <c r="L210" s="54"/>
      <c r="M210" s="54"/>
    </row>
    <row r="211" spans="11:13" x14ac:dyDescent="0.3">
      <c r="K211" s="62"/>
      <c r="L211" s="54"/>
      <c r="M211" s="54"/>
    </row>
    <row r="212" spans="11:13" x14ac:dyDescent="0.3">
      <c r="K212" s="62"/>
      <c r="L212" s="54"/>
      <c r="M212" s="54"/>
    </row>
    <row r="213" spans="11:13" x14ac:dyDescent="0.3">
      <c r="K213" s="62"/>
      <c r="L213" s="54"/>
      <c r="M213" s="54"/>
    </row>
    <row r="214" spans="11:13" x14ac:dyDescent="0.3">
      <c r="K214" s="62"/>
      <c r="L214" s="54"/>
      <c r="M214" s="54"/>
    </row>
    <row r="215" spans="11:13" x14ac:dyDescent="0.3">
      <c r="K215" s="62"/>
      <c r="L215" s="54"/>
      <c r="M215" s="54"/>
    </row>
    <row r="216" spans="11:13" x14ac:dyDescent="0.3">
      <c r="K216" s="62"/>
      <c r="L216" s="54"/>
      <c r="M216" s="54"/>
    </row>
    <row r="217" spans="11:13" x14ac:dyDescent="0.3">
      <c r="K217" s="62"/>
      <c r="L217" s="54"/>
      <c r="M217" s="54"/>
    </row>
    <row r="218" spans="11:13" x14ac:dyDescent="0.3">
      <c r="K218" s="62"/>
      <c r="L218" s="54"/>
      <c r="M218" s="54"/>
    </row>
    <row r="219" spans="11:13" x14ac:dyDescent="0.3">
      <c r="K219" s="62"/>
      <c r="L219" s="54"/>
      <c r="M219" s="54"/>
    </row>
    <row r="220" spans="11:13" x14ac:dyDescent="0.3">
      <c r="K220" s="62"/>
      <c r="L220" s="54"/>
      <c r="M220" s="54"/>
    </row>
    <row r="221" spans="11:13" x14ac:dyDescent="0.3">
      <c r="K221" s="62"/>
      <c r="L221" s="54"/>
      <c r="M221" s="54"/>
    </row>
    <row r="222" spans="11:13" x14ac:dyDescent="0.3">
      <c r="K222" s="62"/>
      <c r="L222" s="54"/>
      <c r="M222" s="54"/>
    </row>
    <row r="223" spans="11:13" x14ac:dyDescent="0.3">
      <c r="K223" s="62"/>
      <c r="L223" s="54"/>
      <c r="M223" s="54"/>
    </row>
    <row r="224" spans="11:13" x14ac:dyDescent="0.3">
      <c r="K224" s="62"/>
      <c r="L224" s="54"/>
      <c r="M224" s="54"/>
    </row>
    <row r="225" spans="11:14" x14ac:dyDescent="0.3">
      <c r="K225" s="62"/>
      <c r="L225" s="54"/>
      <c r="M225" s="54"/>
    </row>
    <row r="226" spans="11:14" x14ac:dyDescent="0.3">
      <c r="K226" s="62"/>
      <c r="L226" s="54"/>
      <c r="M226" s="54"/>
    </row>
    <row r="227" spans="11:14" x14ac:dyDescent="0.3">
      <c r="K227" s="62"/>
      <c r="L227" s="54"/>
      <c r="M227" s="54"/>
    </row>
    <row r="228" spans="11:14" x14ac:dyDescent="0.3">
      <c r="K228" s="62"/>
      <c r="L228" s="54"/>
      <c r="M228" s="54"/>
    </row>
    <row r="229" spans="11:14" x14ac:dyDescent="0.3">
      <c r="K229" s="62"/>
      <c r="L229" s="54"/>
      <c r="M229" s="54"/>
    </row>
    <row r="230" spans="11:14" x14ac:dyDescent="0.3">
      <c r="K230" s="62"/>
      <c r="L230" s="54"/>
      <c r="M230" s="54"/>
    </row>
    <row r="231" spans="11:14" x14ac:dyDescent="0.3">
      <c r="K231" s="62"/>
      <c r="L231" s="54"/>
      <c r="M231" s="54"/>
    </row>
    <row r="232" spans="11:14" x14ac:dyDescent="0.3">
      <c r="K232" s="62"/>
      <c r="L232" s="54"/>
      <c r="M232" s="54"/>
    </row>
    <row r="233" spans="11:14" x14ac:dyDescent="0.3">
      <c r="K233" s="62"/>
      <c r="L233" s="54"/>
      <c r="M233" s="54"/>
    </row>
    <row r="234" spans="11:14" x14ac:dyDescent="0.3">
      <c r="K234" s="62"/>
      <c r="L234" s="54"/>
      <c r="M234" s="54"/>
    </row>
    <row r="235" spans="11:14" x14ac:dyDescent="0.3">
      <c r="K235" s="62"/>
      <c r="L235" s="54"/>
      <c r="M235" s="54"/>
    </row>
    <row r="236" spans="11:14" x14ac:dyDescent="0.3">
      <c r="K236" s="62"/>
      <c r="L236" s="54"/>
      <c r="M236" s="54"/>
    </row>
    <row r="237" spans="11:14" x14ac:dyDescent="0.3">
      <c r="K237" s="62"/>
      <c r="L237" s="54"/>
      <c r="M237" s="54"/>
    </row>
    <row r="238" spans="11:14" x14ac:dyDescent="0.3">
      <c r="L238" s="54"/>
      <c r="M238" s="54"/>
      <c r="N238" s="54"/>
    </row>
    <row r="239" spans="11:14" x14ac:dyDescent="0.3">
      <c r="L239" s="54"/>
      <c r="M239" s="54"/>
      <c r="N239" s="54"/>
    </row>
    <row r="240" spans="11:14" x14ac:dyDescent="0.3">
      <c r="L240" s="54"/>
      <c r="M240" s="54"/>
      <c r="N240" s="54"/>
    </row>
    <row r="241" spans="12:14" x14ac:dyDescent="0.3">
      <c r="L241" s="54"/>
      <c r="M241" s="54"/>
      <c r="N241" s="54"/>
    </row>
    <row r="242" spans="12:14" x14ac:dyDescent="0.3">
      <c r="L242" s="54"/>
      <c r="M242" s="54"/>
      <c r="N242" s="54"/>
    </row>
    <row r="243" spans="12:14" x14ac:dyDescent="0.3">
      <c r="L243" s="54"/>
      <c r="M243" s="54"/>
      <c r="N243" s="54"/>
    </row>
    <row r="244" spans="12:14" x14ac:dyDescent="0.3">
      <c r="L244" s="54"/>
      <c r="M244" s="54"/>
      <c r="N244" s="54"/>
    </row>
    <row r="245" spans="12:14" x14ac:dyDescent="0.3">
      <c r="L245" s="54"/>
      <c r="M245" s="54"/>
      <c r="N245" s="54"/>
    </row>
    <row r="246" spans="12:14" x14ac:dyDescent="0.3">
      <c r="L246" s="54"/>
      <c r="M246" s="54"/>
      <c r="N246" s="54"/>
    </row>
    <row r="247" spans="12:14" x14ac:dyDescent="0.3">
      <c r="L247" s="54"/>
      <c r="M247" s="54"/>
      <c r="N247" s="54"/>
    </row>
    <row r="248" spans="12:14" x14ac:dyDescent="0.3">
      <c r="L248" s="27"/>
      <c r="M248" s="27"/>
      <c r="N248" s="27"/>
    </row>
    <row r="249" spans="12:14" x14ac:dyDescent="0.3">
      <c r="L249" s="27"/>
      <c r="M249" s="27"/>
      <c r="N249" s="27"/>
    </row>
    <row r="250" spans="12:14" x14ac:dyDescent="0.3">
      <c r="L250" s="27"/>
      <c r="M250" s="27"/>
      <c r="N250" s="27"/>
    </row>
    <row r="251" spans="12:14" x14ac:dyDescent="0.3">
      <c r="L251" s="27"/>
      <c r="M251" s="27"/>
      <c r="N251" s="27"/>
    </row>
    <row r="252" spans="12:14" x14ac:dyDescent="0.3">
      <c r="L252" s="27"/>
      <c r="M252" s="27"/>
      <c r="N252" s="27"/>
    </row>
    <row r="253" spans="12:14" x14ac:dyDescent="0.3">
      <c r="L253" s="27"/>
      <c r="M253" s="27"/>
      <c r="N253" s="27"/>
    </row>
    <row r="254" spans="12:14" x14ac:dyDescent="0.3">
      <c r="L254" s="27"/>
      <c r="M254" s="27"/>
      <c r="N254" s="27"/>
    </row>
    <row r="255" spans="12:14" x14ac:dyDescent="0.3">
      <c r="L255" s="27"/>
      <c r="M255" s="27"/>
      <c r="N255" s="27"/>
    </row>
    <row r="256" spans="12:14" x14ac:dyDescent="0.3">
      <c r="L256" s="27"/>
      <c r="M256" s="27"/>
      <c r="N256" s="27"/>
    </row>
    <row r="257" spans="12:14" x14ac:dyDescent="0.3">
      <c r="L257" s="27"/>
      <c r="M257" s="27"/>
      <c r="N257" s="27"/>
    </row>
    <row r="258" spans="12:14" x14ac:dyDescent="0.3">
      <c r="L258" s="27"/>
      <c r="M258" s="27"/>
      <c r="N258" s="27"/>
    </row>
    <row r="259" spans="12:14" x14ac:dyDescent="0.3">
      <c r="L259" s="27"/>
      <c r="M259" s="27"/>
      <c r="N259" s="27"/>
    </row>
    <row r="260" spans="12:14" x14ac:dyDescent="0.3">
      <c r="L260" s="27"/>
      <c r="M260" s="27"/>
      <c r="N260" s="27"/>
    </row>
    <row r="261" spans="12:14" x14ac:dyDescent="0.3">
      <c r="L261" s="27"/>
      <c r="M261" s="27"/>
      <c r="N261" s="27"/>
    </row>
    <row r="262" spans="12:14" x14ac:dyDescent="0.3">
      <c r="L262" s="27"/>
      <c r="M262" s="27"/>
      <c r="N262" s="27"/>
    </row>
    <row r="263" spans="12:14" x14ac:dyDescent="0.3">
      <c r="L263" s="27"/>
      <c r="M263" s="27"/>
      <c r="N263" s="27"/>
    </row>
    <row r="264" spans="12:14" x14ac:dyDescent="0.3">
      <c r="L264" s="27"/>
      <c r="M264" s="27"/>
      <c r="N264" s="27"/>
    </row>
    <row r="265" spans="12:14" x14ac:dyDescent="0.3">
      <c r="L265" s="27"/>
      <c r="M265" s="27"/>
      <c r="N265" s="27"/>
    </row>
    <row r="266" spans="12:14" x14ac:dyDescent="0.3">
      <c r="L266" s="27"/>
      <c r="M266" s="27"/>
      <c r="N266" s="27"/>
    </row>
    <row r="267" spans="12:14" x14ac:dyDescent="0.3">
      <c r="L267" s="27"/>
      <c r="M267" s="27"/>
      <c r="N267" s="27"/>
    </row>
    <row r="268" spans="12:14" x14ac:dyDescent="0.3">
      <c r="L268" s="27"/>
      <c r="M268" s="27"/>
      <c r="N268" s="27"/>
    </row>
    <row r="269" spans="12:14" x14ac:dyDescent="0.3">
      <c r="L269" s="27"/>
      <c r="M269" s="27"/>
      <c r="N269" s="27"/>
    </row>
    <row r="270" spans="12:14" x14ac:dyDescent="0.3">
      <c r="L270" s="27"/>
      <c r="M270" s="27"/>
      <c r="N270" s="27"/>
    </row>
    <row r="271" spans="12:14" x14ac:dyDescent="0.3">
      <c r="L271" s="27"/>
      <c r="M271" s="27"/>
      <c r="N271" s="27"/>
    </row>
    <row r="272" spans="12:14" x14ac:dyDescent="0.3">
      <c r="L272" s="27"/>
      <c r="M272" s="27"/>
      <c r="N272" s="27"/>
    </row>
    <row r="273" spans="12:14" x14ac:dyDescent="0.3">
      <c r="L273" s="27"/>
      <c r="M273" s="27"/>
      <c r="N273" s="27"/>
    </row>
    <row r="274" spans="12:14" x14ac:dyDescent="0.3">
      <c r="L274" s="27"/>
      <c r="M274" s="27"/>
      <c r="N274" s="27"/>
    </row>
    <row r="275" spans="12:14" x14ac:dyDescent="0.3">
      <c r="L275" s="27"/>
      <c r="M275" s="27"/>
      <c r="N275" s="27"/>
    </row>
    <row r="276" spans="12:14" x14ac:dyDescent="0.3">
      <c r="L276" s="27"/>
      <c r="M276" s="27"/>
      <c r="N276" s="27"/>
    </row>
    <row r="277" spans="12:14" x14ac:dyDescent="0.3">
      <c r="L277" s="27"/>
      <c r="M277" s="27"/>
      <c r="N277" s="27"/>
    </row>
    <row r="278" spans="12:14" x14ac:dyDescent="0.3">
      <c r="L278" s="27"/>
      <c r="M278" s="27"/>
      <c r="N278" s="27"/>
    </row>
    <row r="279" spans="12:14" x14ac:dyDescent="0.3">
      <c r="L279" s="27"/>
      <c r="M279" s="27"/>
      <c r="N279" s="27"/>
    </row>
    <row r="280" spans="12:14" x14ac:dyDescent="0.3">
      <c r="L280" s="27"/>
      <c r="M280" s="27"/>
      <c r="N280" s="27"/>
    </row>
    <row r="281" spans="12:14" x14ac:dyDescent="0.3">
      <c r="L281" s="27"/>
      <c r="M281" s="27"/>
      <c r="N281" s="27"/>
    </row>
    <row r="282" spans="12:14" x14ac:dyDescent="0.3">
      <c r="L282" s="27"/>
      <c r="M282" s="27"/>
      <c r="N282" s="27"/>
    </row>
    <row r="283" spans="12:14" x14ac:dyDescent="0.3">
      <c r="L283" s="27"/>
      <c r="M283" s="27"/>
      <c r="N283" s="27"/>
    </row>
    <row r="284" spans="12:14" x14ac:dyDescent="0.3">
      <c r="L284" s="27"/>
      <c r="M284" s="27"/>
      <c r="N284" s="27"/>
    </row>
    <row r="285" spans="12:14" x14ac:dyDescent="0.3">
      <c r="L285" s="27"/>
      <c r="M285" s="27"/>
      <c r="N285" s="27"/>
    </row>
    <row r="286" spans="12:14" x14ac:dyDescent="0.3">
      <c r="L286" s="27"/>
      <c r="M286" s="27"/>
      <c r="N286" s="27"/>
    </row>
    <row r="287" spans="12:14" x14ac:dyDescent="0.3">
      <c r="L287" s="27"/>
      <c r="M287" s="27"/>
      <c r="N287" s="27"/>
    </row>
    <row r="288" spans="12:14" x14ac:dyDescent="0.3">
      <c r="L288" s="27"/>
      <c r="M288" s="27"/>
      <c r="N288" s="27"/>
    </row>
    <row r="289" spans="12:14" x14ac:dyDescent="0.3">
      <c r="L289" s="27"/>
      <c r="M289" s="27"/>
      <c r="N289" s="27"/>
    </row>
    <row r="290" spans="12:14" x14ac:dyDescent="0.3">
      <c r="L290" s="27"/>
      <c r="M290" s="27"/>
      <c r="N290" s="27"/>
    </row>
    <row r="291" spans="12:14" x14ac:dyDescent="0.3">
      <c r="L291" s="27"/>
      <c r="M291" s="27"/>
      <c r="N291" s="27"/>
    </row>
    <row r="292" spans="12:14" x14ac:dyDescent="0.3">
      <c r="L292" s="27"/>
      <c r="M292" s="27"/>
      <c r="N292" s="27"/>
    </row>
    <row r="293" spans="12:14" x14ac:dyDescent="0.3">
      <c r="L293" s="27"/>
      <c r="M293" s="27"/>
      <c r="N293" s="27"/>
    </row>
    <row r="294" spans="12:14" x14ac:dyDescent="0.3">
      <c r="L294" s="27"/>
      <c r="M294" s="27"/>
      <c r="N294" s="27"/>
    </row>
    <row r="295" spans="12:14" x14ac:dyDescent="0.3">
      <c r="L295" s="27"/>
      <c r="M295" s="27"/>
      <c r="N295" s="27"/>
    </row>
    <row r="296" spans="12:14" x14ac:dyDescent="0.3">
      <c r="L296" s="27"/>
      <c r="M296" s="27"/>
      <c r="N296" s="27"/>
    </row>
    <row r="297" spans="12:14" x14ac:dyDescent="0.3">
      <c r="L297" s="27"/>
      <c r="M297" s="27"/>
      <c r="N297" s="27"/>
    </row>
  </sheetData>
  <hyperlinks>
    <hyperlink ref="A18" r:id="rId1" xr:uid="{C9BB9993-BD6D-4479-A548-F0F44F532229}"/>
  </hyperlinks>
  <pageMargins left="0.511811024" right="0.511811024" top="0.78740157499999996" bottom="0.78740157499999996" header="0.31496062000000002" footer="0.31496062000000002"/>
  <pageSetup paperSize="9" orientation="portrait" r:id="rId2"/>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2038B-07AD-4CB3-8A78-7C1768ECBA98}">
  <sheetPr>
    <tabColor theme="9" tint="0.59999389629810485"/>
  </sheetPr>
  <dimension ref="A1:AB298"/>
  <sheetViews>
    <sheetView showGridLines="0" workbookViewId="0">
      <selection activeCell="N12" sqref="N12"/>
    </sheetView>
  </sheetViews>
  <sheetFormatPr defaultColWidth="8.85546875" defaultRowHeight="18.75" x14ac:dyDescent="0.3"/>
  <cols>
    <col min="1" max="1" width="18.85546875" style="17" customWidth="1"/>
    <col min="2" max="2" width="26.140625" customWidth="1"/>
    <col min="4" max="4" width="44.28515625" bestFit="1" customWidth="1"/>
    <col min="5" max="5" width="4.5703125" customWidth="1"/>
    <col min="6" max="7" width="7.140625" bestFit="1" customWidth="1"/>
    <col min="8" max="8" width="9.28515625" bestFit="1" customWidth="1"/>
    <col min="9" max="11" width="12.42578125" bestFit="1" customWidth="1"/>
    <col min="12" max="12" width="15.140625" bestFit="1" customWidth="1"/>
    <col min="14" max="19" width="9" style="15" customWidth="1"/>
    <col min="20" max="28" width="8.85546875" style="15"/>
  </cols>
  <sheetData>
    <row r="1" spans="1:28" x14ac:dyDescent="0.3">
      <c r="A1" s="16" t="s">
        <v>213</v>
      </c>
      <c r="N1" s="14"/>
      <c r="O1" s="14"/>
      <c r="P1" s="14"/>
      <c r="Q1" s="14"/>
      <c r="R1" s="14"/>
      <c r="S1" s="14"/>
      <c r="T1" s="14"/>
      <c r="U1" s="14"/>
      <c r="V1" s="14"/>
      <c r="W1" s="14"/>
      <c r="X1" s="14"/>
      <c r="Y1" s="14"/>
      <c r="Z1" s="14"/>
      <c r="AA1" s="14"/>
      <c r="AB1" s="14"/>
    </row>
    <row r="2" spans="1:28" x14ac:dyDescent="0.3">
      <c r="A2" s="17" t="s">
        <v>214</v>
      </c>
      <c r="N2" s="14"/>
      <c r="O2" s="14"/>
      <c r="P2" s="14"/>
      <c r="Q2" s="14"/>
      <c r="R2" s="14"/>
      <c r="S2" s="14"/>
      <c r="T2" s="14"/>
      <c r="U2" s="14"/>
      <c r="V2" s="14"/>
      <c r="W2" s="14"/>
      <c r="X2" s="14"/>
      <c r="Y2" s="14"/>
      <c r="Z2" s="14"/>
      <c r="AA2" s="14"/>
      <c r="AB2" s="14"/>
    </row>
    <row r="4" spans="1:28" ht="15.75" x14ac:dyDescent="0.25">
      <c r="A4" s="2" t="s">
        <v>15</v>
      </c>
      <c r="B4" s="2" t="s">
        <v>16</v>
      </c>
    </row>
    <row r="5" spans="1:28" ht="15.75" x14ac:dyDescent="0.25">
      <c r="A5" s="23" t="s">
        <v>169</v>
      </c>
      <c r="B5" s="24" t="s">
        <v>171</v>
      </c>
    </row>
    <row r="6" spans="1:28" ht="31.5" x14ac:dyDescent="0.25">
      <c r="A6" s="23" t="s">
        <v>215</v>
      </c>
      <c r="B6" s="24" t="s">
        <v>216</v>
      </c>
    </row>
    <row r="7" spans="1:28" ht="15.75" x14ac:dyDescent="0.25">
      <c r="A7" s="23" t="s">
        <v>217</v>
      </c>
      <c r="B7" s="24" t="s">
        <v>218</v>
      </c>
    </row>
    <row r="8" spans="1:28" ht="47.25" x14ac:dyDescent="0.25">
      <c r="A8" s="23" t="s">
        <v>235</v>
      </c>
      <c r="B8" s="26" t="s">
        <v>249</v>
      </c>
    </row>
    <row r="9" spans="1:28" ht="31.5" x14ac:dyDescent="0.25">
      <c r="A9" s="23" t="s">
        <v>250</v>
      </c>
      <c r="B9" s="26" t="s">
        <v>273</v>
      </c>
    </row>
    <row r="10" spans="1:28" ht="94.5" x14ac:dyDescent="0.25">
      <c r="A10" s="23" t="s">
        <v>393</v>
      </c>
      <c r="B10" s="26" t="s">
        <v>394</v>
      </c>
    </row>
    <row r="11" spans="1:28" x14ac:dyDescent="0.3">
      <c r="D11" s="1" t="s">
        <v>17</v>
      </c>
      <c r="G11" s="13" t="s">
        <v>169</v>
      </c>
      <c r="H11" s="13" t="s">
        <v>219</v>
      </c>
      <c r="I11" s="13" t="s">
        <v>220</v>
      </c>
      <c r="J11" s="13" t="s">
        <v>236</v>
      </c>
      <c r="K11" s="13" t="s">
        <v>251</v>
      </c>
      <c r="L11" s="13" t="s">
        <v>395</v>
      </c>
      <c r="N11" s="61" t="s">
        <v>259</v>
      </c>
      <c r="S11" s="90" t="s">
        <v>260</v>
      </c>
    </row>
    <row r="12" spans="1:28" ht="18.75" customHeight="1" x14ac:dyDescent="0.3">
      <c r="D12" t="s">
        <v>182</v>
      </c>
      <c r="F12" s="50">
        <v>37257</v>
      </c>
      <c r="G12" s="53">
        <v>72.400000000000006</v>
      </c>
      <c r="H12" s="55">
        <v>3</v>
      </c>
      <c r="I12" s="55" t="b">
        <v>1</v>
      </c>
      <c r="J12" s="55" t="b">
        <v>1</v>
      </c>
      <c r="K12" s="55" t="b">
        <v>0</v>
      </c>
      <c r="L12" s="55" t="b">
        <v>0</v>
      </c>
      <c r="N12" s="54" t="e" cm="1">
        <f t="array" ref="N12:P29">_xlfn.LAMBDA(_xlpm.values,_xlop.nLags,_xlop.fillWithNA,_xlop.allLags,_xlop.descending,_xlop.headerFirstRow,
_xlfn.LET(
_xlpm.nLags, IF(_xlfn.ISOMITTED(_xlpm.nLags), 1, _xlpm.nLags),
_xlpm.fillWithNA, IF(_xlfn.ISOMITTED(_xlpm.fillWithNA), TRUE, _xlpm.fillWithNA ),
_xlpm.allLags, IF(_xlfn.ISOMITTED(_xlpm.allLags), FALSE,_xlpm.allLags),
_xlpm.headerFirstRow, IF(_xlfn.ISOMITTED(_xlpm.headerFirstRow), FALSE, _xlpm.headerFirstRow),
_xlpm.headers,IF(_xlpm.headerFirstRow, REPMAT(SLICE(_xlpm.values,1,1) &amp; "_LAG", 1, _xlpm.nLags * LARGE(1*_xlpm.allLags, 1)) &amp; REVERSECOLS(_xlfn.SEQUENCE(1,_xlpm.nLags * LARGE(1*_xlpm.allLags, 1))), FALSE),
_xlpm.values,IF(_xlpm.headerFirstRow,SLICE(_xlpm.values,2,-1),_xlpm.values),
_xlpm.resultMatrix,
IF( OR( _xlpm.allLags = FALSE, _xlpm.nLags = 1),
IF(_xlpm.fillWithNA,
VERTCAT( NA()*ONES(_xlpm.nLags,1), SLICE(_xlpm.values,1,-_xlpm.nLags-1) ),
SLICE(_xlpm.values,1,-_xlpm.nLags-1)
),
IF(_xlpm.fillWithNA,
HORZCAT( VERTCAT( NA()*ONES(_xlpm.nLags,1), SLICE(_xlpm.values,1,-_xlpm.nLags-1) ), LAG(_xlpm.values,_xlpm.nLags-1,_xlpm.fillWithNA,_xlpm.allLags,TRUE) ),
HORZCAT(SLICE(_xlpm.values,1,-_xlpm.nLags-1), LAG(_xlpm.values,_xlpm.nLags-1,_xlpm.fillWithNA,_xlpm.allLags,TRUE) )
)),
_xlpm.resultMatrixHeaders, IF(_xlpm.headerFirstRow,VERTCAT(_xlpm.headers, _xlpm.resultMatrix), _xlpm.resultMatrix),
IF(_xlpm.descending,_xlpm.resultMatrixHeaders,REVERSECOLS(_xlpm.resultMatrixHeaders))
))($G$12:$G$29,$H$12,$I$12,$J$12,$K$12,$L$12)</f>
        <v>#N/A</v>
      </c>
      <c r="O12" s="54" t="e">
        <v>#N/A</v>
      </c>
      <c r="P12" s="54" t="e">
        <v>#N/A</v>
      </c>
      <c r="Q12" s="54"/>
      <c r="R12" s="54"/>
      <c r="S12" s="54" t="e" cm="1">
        <f t="array" ref="S12:U29">LAG($G$12:$G$29,$H$12,$I$12,$J$12)</f>
        <v>#N/A</v>
      </c>
      <c r="T12" s="15" t="e">
        <v>#N/A</v>
      </c>
      <c r="U12" s="15" t="e">
        <v>#N/A</v>
      </c>
    </row>
    <row r="13" spans="1:28" x14ac:dyDescent="0.3">
      <c r="D13" t="s">
        <v>183</v>
      </c>
      <c r="F13" s="50">
        <v>37288</v>
      </c>
      <c r="G13" s="53">
        <v>69.7</v>
      </c>
      <c r="N13" s="54">
        <v>72.400000000000006</v>
      </c>
      <c r="O13" s="54" t="e">
        <v>#N/A</v>
      </c>
      <c r="P13" s="54" t="e">
        <v>#N/A</v>
      </c>
      <c r="Q13" s="54"/>
      <c r="R13" s="54"/>
      <c r="S13" s="54">
        <v>72.400000000000006</v>
      </c>
      <c r="T13" s="15" t="e">
        <v>#N/A</v>
      </c>
      <c r="U13" s="15" t="e">
        <v>#N/A</v>
      </c>
    </row>
    <row r="14" spans="1:28" x14ac:dyDescent="0.3">
      <c r="D14" t="s">
        <v>159</v>
      </c>
      <c r="F14" s="50">
        <v>37316</v>
      </c>
      <c r="G14" s="53">
        <v>77.400000000000006</v>
      </c>
      <c r="N14" s="54">
        <v>69.7</v>
      </c>
      <c r="O14" s="54">
        <v>72.400000000000006</v>
      </c>
      <c r="P14" s="54" t="e">
        <v>#N/A</v>
      </c>
      <c r="Q14" s="54"/>
      <c r="R14" s="54"/>
      <c r="S14" s="54">
        <v>69.7</v>
      </c>
      <c r="T14" s="15">
        <v>72.400000000000006</v>
      </c>
      <c r="U14" s="15" t="e">
        <v>#N/A</v>
      </c>
    </row>
    <row r="15" spans="1:28" x14ac:dyDescent="0.3">
      <c r="D15" s="56"/>
      <c r="F15" s="50">
        <v>37347</v>
      </c>
      <c r="G15" s="53">
        <v>79.599999999999994</v>
      </c>
      <c r="N15" s="54">
        <v>77.400000000000006</v>
      </c>
      <c r="O15" s="54">
        <v>69.7</v>
      </c>
      <c r="P15" s="54">
        <v>72.400000000000006</v>
      </c>
      <c r="Q15" s="54"/>
      <c r="R15" s="54"/>
      <c r="S15" s="54">
        <v>77.400000000000006</v>
      </c>
      <c r="T15" s="15">
        <v>69.7</v>
      </c>
      <c r="U15" s="15">
        <v>72.400000000000006</v>
      </c>
    </row>
    <row r="16" spans="1:28" x14ac:dyDescent="0.3">
      <c r="D16" s="56"/>
      <c r="F16" s="50">
        <v>37377</v>
      </c>
      <c r="G16" s="53">
        <v>80.400000000000006</v>
      </c>
      <c r="N16" s="54">
        <v>79.599999999999994</v>
      </c>
      <c r="O16" s="54">
        <v>77.400000000000006</v>
      </c>
      <c r="P16" s="54">
        <v>69.7</v>
      </c>
      <c r="Q16" s="54"/>
      <c r="R16" s="54"/>
      <c r="S16" s="54">
        <v>79.599999999999994</v>
      </c>
      <c r="T16" s="15">
        <v>77.400000000000006</v>
      </c>
      <c r="U16" s="15">
        <v>69.7</v>
      </c>
    </row>
    <row r="17" spans="4:21" x14ac:dyDescent="0.3">
      <c r="D17" s="47"/>
      <c r="F17" s="50">
        <v>37408</v>
      </c>
      <c r="G17" s="53">
        <v>77.5</v>
      </c>
      <c r="N17" s="54">
        <v>80.400000000000006</v>
      </c>
      <c r="O17" s="54">
        <v>79.599999999999994</v>
      </c>
      <c r="P17" s="54">
        <v>77.400000000000006</v>
      </c>
      <c r="Q17" s="54"/>
      <c r="R17" s="54"/>
      <c r="S17" s="54">
        <v>80.400000000000006</v>
      </c>
      <c r="T17" s="15">
        <v>79.599999999999994</v>
      </c>
      <c r="U17" s="15">
        <v>77.400000000000006</v>
      </c>
    </row>
    <row r="18" spans="4:21" x14ac:dyDescent="0.3">
      <c r="F18" s="50">
        <v>37438</v>
      </c>
      <c r="G18" s="53">
        <v>83.3</v>
      </c>
      <c r="N18" s="54">
        <v>77.5</v>
      </c>
      <c r="O18" s="54">
        <v>80.400000000000006</v>
      </c>
      <c r="P18" s="54">
        <v>79.599999999999994</v>
      </c>
      <c r="Q18" s="54"/>
      <c r="R18" s="54"/>
      <c r="S18" s="54">
        <v>77.5</v>
      </c>
      <c r="T18" s="15">
        <v>80.400000000000006</v>
      </c>
      <c r="U18" s="15">
        <v>79.599999999999994</v>
      </c>
    </row>
    <row r="19" spans="4:21" x14ac:dyDescent="0.3">
      <c r="F19" s="50">
        <v>37469</v>
      </c>
      <c r="G19" s="53">
        <v>83.6</v>
      </c>
      <c r="N19" s="54">
        <v>83.3</v>
      </c>
      <c r="O19" s="54">
        <v>77.5</v>
      </c>
      <c r="P19" s="54">
        <v>80.400000000000006</v>
      </c>
      <c r="Q19" s="54"/>
      <c r="R19" s="54"/>
      <c r="S19" s="54">
        <v>83.3</v>
      </c>
      <c r="T19" s="15">
        <v>77.5</v>
      </c>
      <c r="U19" s="15">
        <v>80.400000000000006</v>
      </c>
    </row>
    <row r="20" spans="4:21" x14ac:dyDescent="0.3">
      <c r="F20" s="50">
        <v>37500</v>
      </c>
      <c r="G20" s="53">
        <v>82.1</v>
      </c>
      <c r="N20" s="54">
        <v>83.6</v>
      </c>
      <c r="O20" s="54">
        <v>83.3</v>
      </c>
      <c r="P20" s="54">
        <v>77.5</v>
      </c>
      <c r="Q20" s="54"/>
      <c r="R20" s="54"/>
      <c r="S20" s="54">
        <v>83.6</v>
      </c>
      <c r="T20" s="15">
        <v>83.3</v>
      </c>
      <c r="U20" s="15">
        <v>77.5</v>
      </c>
    </row>
    <row r="21" spans="4:21" x14ac:dyDescent="0.3">
      <c r="F21" s="50">
        <v>37530</v>
      </c>
      <c r="G21" s="53">
        <v>89.2</v>
      </c>
      <c r="N21" s="54">
        <v>82.1</v>
      </c>
      <c r="O21" s="54">
        <v>83.6</v>
      </c>
      <c r="P21" s="54">
        <v>83.3</v>
      </c>
      <c r="Q21" s="54"/>
      <c r="R21" s="54"/>
      <c r="S21" s="54">
        <v>82.1</v>
      </c>
      <c r="T21" s="15">
        <v>83.6</v>
      </c>
      <c r="U21" s="15">
        <v>83.3</v>
      </c>
    </row>
    <row r="22" spans="4:21" x14ac:dyDescent="0.3">
      <c r="F22" s="50">
        <v>37561</v>
      </c>
      <c r="G22" s="53">
        <v>83.9</v>
      </c>
      <c r="N22" s="54">
        <v>89.2</v>
      </c>
      <c r="O22" s="54">
        <v>82.1</v>
      </c>
      <c r="P22" s="54">
        <v>83.6</v>
      </c>
      <c r="Q22" s="54"/>
      <c r="R22" s="54"/>
      <c r="S22" s="54">
        <v>89.2</v>
      </c>
      <c r="T22" s="15">
        <v>82.1</v>
      </c>
      <c r="U22" s="15">
        <v>83.6</v>
      </c>
    </row>
    <row r="23" spans="4:21" x14ac:dyDescent="0.3">
      <c r="F23" s="50">
        <v>37591</v>
      </c>
      <c r="G23" s="53">
        <v>74.599999999999994</v>
      </c>
      <c r="N23" s="54">
        <v>83.9</v>
      </c>
      <c r="O23" s="54">
        <v>89.2</v>
      </c>
      <c r="P23" s="54">
        <v>82.1</v>
      </c>
      <c r="Q23" s="54"/>
      <c r="R23" s="54"/>
      <c r="S23" s="54">
        <v>83.9</v>
      </c>
      <c r="T23" s="15">
        <v>89.2</v>
      </c>
      <c r="U23" s="15">
        <v>82.1</v>
      </c>
    </row>
    <row r="24" spans="4:21" x14ac:dyDescent="0.3">
      <c r="F24" s="50">
        <v>37622</v>
      </c>
      <c r="G24" s="53">
        <v>74</v>
      </c>
      <c r="N24" s="54">
        <v>74.599999999999994</v>
      </c>
      <c r="O24" s="54">
        <v>83.9</v>
      </c>
      <c r="P24" s="54">
        <v>89.2</v>
      </c>
      <c r="Q24" s="54"/>
      <c r="R24" s="54"/>
      <c r="S24" s="54">
        <v>74.599999999999994</v>
      </c>
      <c r="T24" s="15">
        <v>83.9</v>
      </c>
      <c r="U24" s="15">
        <v>89.2</v>
      </c>
    </row>
    <row r="25" spans="4:21" x14ac:dyDescent="0.3">
      <c r="F25" s="50">
        <v>37653</v>
      </c>
      <c r="G25" s="53">
        <v>71.8</v>
      </c>
      <c r="N25" s="54">
        <v>74</v>
      </c>
      <c r="O25" s="54">
        <v>74.599999999999994</v>
      </c>
      <c r="P25" s="54">
        <v>83.9</v>
      </c>
      <c r="Q25" s="54"/>
      <c r="R25" s="54"/>
      <c r="S25" s="54">
        <v>74</v>
      </c>
      <c r="T25" s="15">
        <v>74.599999999999994</v>
      </c>
      <c r="U25" s="15">
        <v>83.9</v>
      </c>
    </row>
    <row r="26" spans="4:21" x14ac:dyDescent="0.3">
      <c r="F26" s="50">
        <v>37681</v>
      </c>
      <c r="G26" s="53">
        <v>77.400000000000006</v>
      </c>
      <c r="N26" s="54">
        <v>71.8</v>
      </c>
      <c r="O26" s="54">
        <v>74</v>
      </c>
      <c r="P26" s="54">
        <v>74.599999999999994</v>
      </c>
      <c r="Q26" s="54"/>
      <c r="R26" s="54"/>
      <c r="S26" s="54">
        <v>71.8</v>
      </c>
      <c r="T26" s="15">
        <v>74</v>
      </c>
      <c r="U26" s="15">
        <v>74.599999999999994</v>
      </c>
    </row>
    <row r="27" spans="4:21" x14ac:dyDescent="0.3">
      <c r="F27" s="50">
        <v>37712</v>
      </c>
      <c r="G27" s="53">
        <v>76.5</v>
      </c>
      <c r="N27" s="54">
        <v>77.400000000000006</v>
      </c>
      <c r="O27" s="54">
        <v>71.8</v>
      </c>
      <c r="P27" s="54">
        <v>74</v>
      </c>
      <c r="Q27" s="54"/>
      <c r="R27" s="54"/>
      <c r="S27" s="54">
        <v>77.400000000000006</v>
      </c>
      <c r="T27" s="15">
        <v>71.8</v>
      </c>
      <c r="U27" s="15">
        <v>74</v>
      </c>
    </row>
    <row r="28" spans="4:21" x14ac:dyDescent="0.3">
      <c r="F28" s="50">
        <v>37742</v>
      </c>
      <c r="G28" s="53">
        <v>79.7</v>
      </c>
      <c r="N28" s="54">
        <v>76.5</v>
      </c>
      <c r="O28" s="54">
        <v>77.400000000000006</v>
      </c>
      <c r="P28" s="54">
        <v>71.8</v>
      </c>
      <c r="Q28" s="54"/>
      <c r="R28" s="54"/>
      <c r="S28" s="54">
        <v>76.5</v>
      </c>
      <c r="T28" s="15">
        <v>77.400000000000006</v>
      </c>
      <c r="U28" s="15">
        <v>71.8</v>
      </c>
    </row>
    <row r="29" spans="4:21" x14ac:dyDescent="0.3">
      <c r="F29" s="50">
        <v>37773</v>
      </c>
      <c r="G29" s="53">
        <v>76.3</v>
      </c>
      <c r="N29" s="54">
        <v>79.7</v>
      </c>
      <c r="O29" s="54">
        <v>76.5</v>
      </c>
      <c r="P29" s="54">
        <v>77.400000000000006</v>
      </c>
      <c r="Q29" s="54"/>
      <c r="R29" s="54"/>
      <c r="S29" s="54">
        <v>79.7</v>
      </c>
      <c r="T29" s="15">
        <v>76.5</v>
      </c>
      <c r="U29" s="15">
        <v>77.400000000000006</v>
      </c>
    </row>
    <row r="30" spans="4:21" x14ac:dyDescent="0.3">
      <c r="N30" s="54"/>
      <c r="O30" s="54"/>
      <c r="P30" s="54"/>
      <c r="Q30" s="54"/>
      <c r="R30" s="54"/>
      <c r="S30" s="54"/>
    </row>
    <row r="31" spans="4:21" x14ac:dyDescent="0.3">
      <c r="N31" s="54"/>
      <c r="O31" s="54"/>
      <c r="P31" s="54"/>
      <c r="Q31" s="54"/>
      <c r="R31" s="54"/>
      <c r="S31" s="54"/>
    </row>
    <row r="32" spans="4:21" x14ac:dyDescent="0.3">
      <c r="G32" s="13" t="s">
        <v>169</v>
      </c>
      <c r="H32" s="13" t="s">
        <v>219</v>
      </c>
      <c r="I32" s="13" t="s">
        <v>220</v>
      </c>
      <c r="J32" s="13" t="s">
        <v>236</v>
      </c>
      <c r="K32" s="13" t="s">
        <v>251</v>
      </c>
      <c r="L32" s="13" t="s">
        <v>395</v>
      </c>
      <c r="N32" s="61" t="s">
        <v>259</v>
      </c>
      <c r="S32" s="90" t="s">
        <v>260</v>
      </c>
    </row>
    <row r="33" spans="6:21" x14ac:dyDescent="0.3">
      <c r="G33" s="48" t="s">
        <v>396</v>
      </c>
      <c r="H33" s="55">
        <v>3</v>
      </c>
      <c r="I33" s="55" t="b">
        <v>1</v>
      </c>
      <c r="J33" s="55" t="b">
        <v>1</v>
      </c>
      <c r="K33" s="55" t="b">
        <v>0</v>
      </c>
      <c r="L33" s="55" t="b">
        <v>1</v>
      </c>
      <c r="N33" s="54" t="str" cm="1">
        <f t="array" ref="N33:P51">_xlfn.LAMBDA(_xlpm.values,_xlop.nLags,_xlop.fillWithNA,_xlop.allLags,_xlop.descending,_xlop.headerFirstRow,
_xlfn.LET(
_xlpm.nLags, IF(_xlfn.ISOMITTED(_xlpm.nLags), 1, _xlpm.nLags),
_xlpm.fillWithNA, IF(_xlfn.ISOMITTED(_xlpm.fillWithNA), TRUE, _xlpm.fillWithNA ),
_xlpm.allLags, IF(_xlfn.ISOMITTED(_xlpm.allLags), FALSE,_xlpm.allLags),
_xlpm.headerFirstRow, IF(_xlfn.ISOMITTED(_xlpm.headerFirstRow), FALSE, _xlpm.headerFirstRow),
_xlpm.headers,IF(_xlpm.headerFirstRow, REPMAT(SLICE(_xlpm.values,1,1) &amp; "_LAG", 1, _xlpm.nLags * LARGE(1*_xlpm.allLags, 1)) &amp; REVERSECOLS(_xlfn.SEQUENCE(1,_xlpm.nLags * LARGE(1*_xlpm.allLags, 1))), FALSE),
_xlpm.values,IF(_xlpm.headerFirstRow,SLICE(_xlpm.values,2,-1),_xlpm.values),
_xlpm.resultMatrix,
IF( OR( _xlpm.allLags = FALSE, _xlpm.nLags = 1),
IF(_xlpm.fillWithNA,
VERTCAT( NA()*ONES(_xlpm.nLags,1), SLICE(_xlpm.values,1,-_xlpm.nLags-1) ),
SLICE(_xlpm.values,1,-_xlpm.nLags-1)
),
IF(_xlpm.fillWithNA,
HORZCAT( VERTCAT( NA()*ONES(_xlpm.nLags,1), SLICE(_xlpm.values,1,-_xlpm.nLags-1) ), LAG(_xlpm.values,_xlpm.nLags-1,_xlpm.fillWithNA,_xlpm.allLags,TRUE) ),
HORZCAT(SLICE(_xlpm.values,1,-_xlpm.nLags-1), LAG(_xlpm.values,_xlpm.nLags-1,_xlpm.fillWithNA,_xlpm.allLags,TRUE) )
)),
_xlpm.resultMatrixHeaders, IF(_xlpm.headerFirstRow,VERTCAT(_xlpm.headers, _xlpm.resultMatrix), _xlpm.resultMatrix),
IF(_xlpm.descending,_xlpm.resultMatrixHeaders,REVERSECOLS(_xlpm.resultMatrixHeaders))
))($G$33:$G$51,$H$33,$I$33,$J$33,$K$33,$L$33)</f>
        <v>IP_LAG1</v>
      </c>
      <c r="O33" s="54" t="str">
        <v>IP_LAG2</v>
      </c>
      <c r="P33" s="54" t="str">
        <v>IP_LAG3</v>
      </c>
      <c r="Q33" s="54"/>
      <c r="R33" s="54"/>
      <c r="S33" s="54" t="str" cm="1">
        <f t="array" ref="S33:U51">LAG($G$33:$G$51,$H$33,$I$33,$J$33,$K$33,$L$33)</f>
        <v>IP_LAG1</v>
      </c>
      <c r="T33" s="15" t="str">
        <v>IP_LAG2</v>
      </c>
      <c r="U33" s="15" t="str">
        <v>IP_LAG3</v>
      </c>
    </row>
    <row r="34" spans="6:21" x14ac:dyDescent="0.3">
      <c r="F34" s="50">
        <v>37257</v>
      </c>
      <c r="G34" s="53">
        <v>72.400000000000006</v>
      </c>
      <c r="N34" s="54" t="e">
        <v>#N/A</v>
      </c>
      <c r="O34" s="54" t="e">
        <v>#N/A</v>
      </c>
      <c r="P34" s="54" t="e">
        <v>#N/A</v>
      </c>
      <c r="Q34" s="54"/>
      <c r="R34" s="54"/>
      <c r="S34" s="54" t="e">
        <v>#N/A</v>
      </c>
      <c r="T34" s="15" t="e">
        <v>#N/A</v>
      </c>
      <c r="U34" s="15" t="e">
        <v>#N/A</v>
      </c>
    </row>
    <row r="35" spans="6:21" x14ac:dyDescent="0.3">
      <c r="F35" s="50">
        <v>37288</v>
      </c>
      <c r="G35" s="53">
        <v>69.7</v>
      </c>
      <c r="N35" s="54">
        <v>72.400000000000006</v>
      </c>
      <c r="O35" s="54" t="e">
        <v>#N/A</v>
      </c>
      <c r="P35" s="54" t="e">
        <v>#N/A</v>
      </c>
      <c r="Q35" s="54"/>
      <c r="R35" s="54"/>
      <c r="S35" s="54">
        <v>72.400000000000006</v>
      </c>
      <c r="T35" s="15" t="e">
        <v>#N/A</v>
      </c>
      <c r="U35" s="15" t="e">
        <v>#N/A</v>
      </c>
    </row>
    <row r="36" spans="6:21" x14ac:dyDescent="0.3">
      <c r="F36" s="50">
        <v>37316</v>
      </c>
      <c r="G36" s="53">
        <v>77.400000000000006</v>
      </c>
      <c r="N36" s="54">
        <v>69.7</v>
      </c>
      <c r="O36" s="54">
        <v>72.400000000000006</v>
      </c>
      <c r="P36" s="54" t="e">
        <v>#N/A</v>
      </c>
      <c r="Q36" s="54"/>
      <c r="R36" s="54"/>
      <c r="S36" s="54">
        <v>69.7</v>
      </c>
      <c r="T36" s="15">
        <v>72.400000000000006</v>
      </c>
      <c r="U36" s="15" t="e">
        <v>#N/A</v>
      </c>
    </row>
    <row r="37" spans="6:21" x14ac:dyDescent="0.3">
      <c r="F37" s="50">
        <v>37347</v>
      </c>
      <c r="G37" s="53">
        <v>79.599999999999994</v>
      </c>
      <c r="N37" s="54">
        <v>77.400000000000006</v>
      </c>
      <c r="O37" s="54">
        <v>69.7</v>
      </c>
      <c r="P37" s="54">
        <v>72.400000000000006</v>
      </c>
      <c r="Q37" s="54"/>
      <c r="R37" s="54"/>
      <c r="S37" s="54">
        <v>77.400000000000006</v>
      </c>
      <c r="T37" s="15">
        <v>69.7</v>
      </c>
      <c r="U37" s="15">
        <v>72.400000000000006</v>
      </c>
    </row>
    <row r="38" spans="6:21" x14ac:dyDescent="0.3">
      <c r="F38" s="50">
        <v>37377</v>
      </c>
      <c r="G38" s="53">
        <v>80.400000000000006</v>
      </c>
      <c r="N38" s="54">
        <v>79.599999999999994</v>
      </c>
      <c r="O38" s="54">
        <v>77.400000000000006</v>
      </c>
      <c r="P38" s="54">
        <v>69.7</v>
      </c>
      <c r="Q38" s="54"/>
      <c r="R38" s="54"/>
      <c r="S38" s="54">
        <v>79.599999999999994</v>
      </c>
      <c r="T38" s="15">
        <v>77.400000000000006</v>
      </c>
      <c r="U38" s="15">
        <v>69.7</v>
      </c>
    </row>
    <row r="39" spans="6:21" x14ac:dyDescent="0.3">
      <c r="F39" s="50">
        <v>37408</v>
      </c>
      <c r="G39" s="53">
        <v>77.5</v>
      </c>
      <c r="N39" s="54">
        <v>80.400000000000006</v>
      </c>
      <c r="O39" s="54">
        <v>79.599999999999994</v>
      </c>
      <c r="P39" s="54">
        <v>77.400000000000006</v>
      </c>
      <c r="Q39" s="54"/>
      <c r="R39" s="54"/>
      <c r="S39" s="54">
        <v>80.400000000000006</v>
      </c>
      <c r="T39" s="15">
        <v>79.599999999999994</v>
      </c>
      <c r="U39" s="15">
        <v>77.400000000000006</v>
      </c>
    </row>
    <row r="40" spans="6:21" x14ac:dyDescent="0.3">
      <c r="F40" s="50">
        <v>37438</v>
      </c>
      <c r="G40" s="53">
        <v>83.3</v>
      </c>
      <c r="N40" s="54">
        <v>77.5</v>
      </c>
      <c r="O40" s="54">
        <v>80.400000000000006</v>
      </c>
      <c r="P40" s="54">
        <v>79.599999999999994</v>
      </c>
      <c r="Q40" s="54"/>
      <c r="R40" s="54"/>
      <c r="S40" s="54">
        <v>77.5</v>
      </c>
      <c r="T40" s="15">
        <v>80.400000000000006</v>
      </c>
      <c r="U40" s="15">
        <v>79.599999999999994</v>
      </c>
    </row>
    <row r="41" spans="6:21" x14ac:dyDescent="0.3">
      <c r="F41" s="50">
        <v>37469</v>
      </c>
      <c r="G41" s="53">
        <v>83.6</v>
      </c>
      <c r="N41" s="54">
        <v>83.3</v>
      </c>
      <c r="O41" s="54">
        <v>77.5</v>
      </c>
      <c r="P41" s="54">
        <v>80.400000000000006</v>
      </c>
      <c r="Q41" s="54"/>
      <c r="R41" s="54"/>
      <c r="S41" s="54">
        <v>83.3</v>
      </c>
      <c r="T41" s="15">
        <v>77.5</v>
      </c>
      <c r="U41" s="15">
        <v>80.400000000000006</v>
      </c>
    </row>
    <row r="42" spans="6:21" x14ac:dyDescent="0.3">
      <c r="F42" s="50">
        <v>37500</v>
      </c>
      <c r="G42" s="53">
        <v>82.1</v>
      </c>
      <c r="N42" s="54">
        <v>83.6</v>
      </c>
      <c r="O42" s="54">
        <v>83.3</v>
      </c>
      <c r="P42" s="54">
        <v>77.5</v>
      </c>
      <c r="Q42" s="54"/>
      <c r="R42" s="54"/>
      <c r="S42" s="54">
        <v>83.6</v>
      </c>
      <c r="T42" s="15">
        <v>83.3</v>
      </c>
      <c r="U42" s="15">
        <v>77.5</v>
      </c>
    </row>
    <row r="43" spans="6:21" x14ac:dyDescent="0.3">
      <c r="F43" s="50">
        <v>37530</v>
      </c>
      <c r="G43" s="53">
        <v>89.2</v>
      </c>
      <c r="N43" s="54">
        <v>82.1</v>
      </c>
      <c r="O43" s="54">
        <v>83.6</v>
      </c>
      <c r="P43" s="54">
        <v>83.3</v>
      </c>
      <c r="Q43" s="54"/>
      <c r="R43" s="54"/>
      <c r="S43" s="54">
        <v>82.1</v>
      </c>
      <c r="T43" s="15">
        <v>83.6</v>
      </c>
      <c r="U43" s="15">
        <v>83.3</v>
      </c>
    </row>
    <row r="44" spans="6:21" x14ac:dyDescent="0.3">
      <c r="F44" s="50">
        <v>37561</v>
      </c>
      <c r="G44" s="53">
        <v>83.9</v>
      </c>
      <c r="N44" s="54">
        <v>89.2</v>
      </c>
      <c r="O44" s="54">
        <v>82.1</v>
      </c>
      <c r="P44" s="54">
        <v>83.6</v>
      </c>
      <c r="Q44" s="54"/>
      <c r="R44" s="54"/>
      <c r="S44" s="54">
        <v>89.2</v>
      </c>
      <c r="T44" s="15">
        <v>82.1</v>
      </c>
      <c r="U44" s="15">
        <v>83.6</v>
      </c>
    </row>
    <row r="45" spans="6:21" x14ac:dyDescent="0.3">
      <c r="F45" s="50">
        <v>37591</v>
      </c>
      <c r="G45" s="53">
        <v>74.599999999999994</v>
      </c>
      <c r="N45" s="54">
        <v>83.9</v>
      </c>
      <c r="O45" s="54">
        <v>89.2</v>
      </c>
      <c r="P45" s="54">
        <v>82.1</v>
      </c>
      <c r="Q45" s="54"/>
      <c r="R45" s="54"/>
      <c r="S45" s="54">
        <v>83.9</v>
      </c>
      <c r="T45" s="15">
        <v>89.2</v>
      </c>
      <c r="U45" s="15">
        <v>82.1</v>
      </c>
    </row>
    <row r="46" spans="6:21" x14ac:dyDescent="0.3">
      <c r="F46" s="50">
        <v>37622</v>
      </c>
      <c r="G46" s="53">
        <v>74</v>
      </c>
      <c r="N46" s="54">
        <v>74.599999999999994</v>
      </c>
      <c r="O46" s="54">
        <v>83.9</v>
      </c>
      <c r="P46" s="54">
        <v>89.2</v>
      </c>
      <c r="Q46" s="54"/>
      <c r="R46" s="54"/>
      <c r="S46" s="54">
        <v>74.599999999999994</v>
      </c>
      <c r="T46" s="15">
        <v>83.9</v>
      </c>
      <c r="U46" s="15">
        <v>89.2</v>
      </c>
    </row>
    <row r="47" spans="6:21" x14ac:dyDescent="0.3">
      <c r="F47" s="50">
        <v>37653</v>
      </c>
      <c r="G47" s="53">
        <v>71.8</v>
      </c>
      <c r="N47" s="54">
        <v>74</v>
      </c>
      <c r="O47" s="54">
        <v>74.599999999999994</v>
      </c>
      <c r="P47" s="54">
        <v>83.9</v>
      </c>
      <c r="Q47" s="54"/>
      <c r="R47" s="54"/>
      <c r="S47" s="54">
        <v>74</v>
      </c>
      <c r="T47" s="15">
        <v>74.599999999999994</v>
      </c>
      <c r="U47" s="15">
        <v>83.9</v>
      </c>
    </row>
    <row r="48" spans="6:21" x14ac:dyDescent="0.3">
      <c r="F48" s="50">
        <v>37681</v>
      </c>
      <c r="G48" s="53">
        <v>77.400000000000006</v>
      </c>
      <c r="N48" s="54">
        <v>71.8</v>
      </c>
      <c r="O48" s="54">
        <v>74</v>
      </c>
      <c r="P48" s="54">
        <v>74.599999999999994</v>
      </c>
      <c r="Q48" s="54"/>
      <c r="R48" s="54"/>
      <c r="S48" s="54">
        <v>71.8</v>
      </c>
      <c r="T48" s="15">
        <v>74</v>
      </c>
      <c r="U48" s="15">
        <v>74.599999999999994</v>
      </c>
    </row>
    <row r="49" spans="6:21" x14ac:dyDescent="0.3">
      <c r="F49" s="50">
        <v>37712</v>
      </c>
      <c r="G49" s="53">
        <v>76.5</v>
      </c>
      <c r="N49" s="54">
        <v>77.400000000000006</v>
      </c>
      <c r="O49" s="54">
        <v>71.8</v>
      </c>
      <c r="P49" s="54">
        <v>74</v>
      </c>
      <c r="Q49" s="54"/>
      <c r="R49" s="54"/>
      <c r="S49" s="54">
        <v>77.400000000000006</v>
      </c>
      <c r="T49" s="15">
        <v>71.8</v>
      </c>
      <c r="U49" s="15">
        <v>74</v>
      </c>
    </row>
    <row r="50" spans="6:21" x14ac:dyDescent="0.3">
      <c r="F50" s="50">
        <v>37742</v>
      </c>
      <c r="G50" s="53">
        <v>79.7</v>
      </c>
      <c r="N50" s="54">
        <v>76.5</v>
      </c>
      <c r="O50" s="54">
        <v>77.400000000000006</v>
      </c>
      <c r="P50" s="54">
        <v>71.8</v>
      </c>
      <c r="Q50" s="54"/>
      <c r="R50" s="54"/>
      <c r="S50" s="54">
        <v>76.5</v>
      </c>
      <c r="T50" s="15">
        <v>77.400000000000006</v>
      </c>
      <c r="U50" s="15">
        <v>71.8</v>
      </c>
    </row>
    <row r="51" spans="6:21" x14ac:dyDescent="0.3">
      <c r="F51" s="50">
        <v>37773</v>
      </c>
      <c r="G51" s="53">
        <v>76.3</v>
      </c>
      <c r="N51" s="54">
        <v>79.7</v>
      </c>
      <c r="O51" s="54">
        <v>76.5</v>
      </c>
      <c r="P51" s="54">
        <v>77.400000000000006</v>
      </c>
      <c r="Q51" s="54"/>
      <c r="R51" s="54"/>
      <c r="S51" s="54">
        <v>79.7</v>
      </c>
      <c r="T51" s="15">
        <v>76.5</v>
      </c>
      <c r="U51" s="15">
        <v>77.400000000000006</v>
      </c>
    </row>
    <row r="52" spans="6:21" x14ac:dyDescent="0.3">
      <c r="N52" s="54"/>
      <c r="O52" s="54"/>
      <c r="P52" s="54"/>
      <c r="Q52" s="54"/>
      <c r="R52" s="54"/>
      <c r="S52" s="54"/>
    </row>
    <row r="53" spans="6:21" x14ac:dyDescent="0.3">
      <c r="N53" s="54"/>
      <c r="O53" s="54"/>
      <c r="P53" s="54"/>
      <c r="Q53" s="54"/>
      <c r="R53" s="54"/>
      <c r="S53" s="54"/>
    </row>
    <row r="54" spans="6:21" x14ac:dyDescent="0.3">
      <c r="N54" s="54"/>
      <c r="O54" s="54"/>
      <c r="P54" s="54"/>
      <c r="Q54" s="54"/>
      <c r="R54" s="54"/>
      <c r="S54" s="54"/>
    </row>
    <row r="55" spans="6:21" x14ac:dyDescent="0.3">
      <c r="N55" s="54"/>
      <c r="O55" s="54"/>
      <c r="P55" s="54"/>
      <c r="Q55" s="54"/>
      <c r="R55" s="54"/>
      <c r="S55" s="54"/>
    </row>
    <row r="56" spans="6:21" x14ac:dyDescent="0.3">
      <c r="N56" s="54"/>
      <c r="O56" s="54"/>
      <c r="P56" s="54"/>
      <c r="Q56" s="54"/>
      <c r="R56" s="54"/>
      <c r="S56" s="54"/>
    </row>
    <row r="57" spans="6:21" x14ac:dyDescent="0.3">
      <c r="N57" s="54"/>
      <c r="O57" s="54"/>
      <c r="P57" s="54"/>
      <c r="Q57" s="54"/>
      <c r="R57" s="54"/>
      <c r="S57" s="54"/>
    </row>
    <row r="58" spans="6:21" x14ac:dyDescent="0.3">
      <c r="N58" s="54"/>
      <c r="O58" s="54"/>
      <c r="P58" s="54"/>
      <c r="Q58" s="54"/>
      <c r="R58" s="54"/>
      <c r="S58" s="54"/>
    </row>
    <row r="59" spans="6:21" x14ac:dyDescent="0.3">
      <c r="N59" s="54"/>
      <c r="O59" s="54"/>
      <c r="P59" s="54"/>
      <c r="Q59" s="54"/>
      <c r="R59" s="54"/>
      <c r="S59" s="54"/>
    </row>
    <row r="60" spans="6:21" x14ac:dyDescent="0.3">
      <c r="N60" s="54"/>
      <c r="O60" s="54"/>
      <c r="P60" s="54"/>
      <c r="Q60" s="54"/>
      <c r="R60" s="54"/>
      <c r="S60" s="54"/>
    </row>
    <row r="61" spans="6:21" x14ac:dyDescent="0.3">
      <c r="N61" s="54"/>
      <c r="O61" s="54"/>
      <c r="P61" s="54"/>
      <c r="Q61" s="54"/>
      <c r="R61" s="54"/>
      <c r="S61" s="54"/>
    </row>
    <row r="62" spans="6:21" x14ac:dyDescent="0.3">
      <c r="N62" s="54"/>
      <c r="O62" s="54"/>
      <c r="P62" s="54"/>
      <c r="Q62" s="54"/>
      <c r="R62" s="54"/>
      <c r="S62" s="54"/>
    </row>
    <row r="63" spans="6:21" x14ac:dyDescent="0.3">
      <c r="N63" s="54"/>
      <c r="O63" s="54"/>
      <c r="P63" s="54"/>
      <c r="Q63" s="54"/>
      <c r="R63" s="54"/>
      <c r="S63" s="54"/>
    </row>
    <row r="64" spans="6:21" x14ac:dyDescent="0.3">
      <c r="N64" s="54"/>
      <c r="O64" s="54"/>
      <c r="P64" s="54"/>
      <c r="Q64" s="54"/>
      <c r="R64" s="54"/>
      <c r="S64" s="54"/>
    </row>
    <row r="65" spans="14:19" x14ac:dyDescent="0.3">
      <c r="N65" s="54"/>
      <c r="O65" s="54"/>
      <c r="P65" s="54"/>
      <c r="Q65" s="54"/>
      <c r="R65" s="54"/>
      <c r="S65" s="54"/>
    </row>
    <row r="66" spans="14:19" x14ac:dyDescent="0.3">
      <c r="N66" s="54"/>
      <c r="O66" s="54"/>
      <c r="P66" s="54"/>
      <c r="Q66" s="54"/>
      <c r="R66" s="54"/>
      <c r="S66" s="54"/>
    </row>
    <row r="67" spans="14:19" x14ac:dyDescent="0.3">
      <c r="N67" s="54"/>
      <c r="O67" s="54"/>
      <c r="P67" s="54"/>
      <c r="Q67" s="54"/>
      <c r="R67" s="54"/>
      <c r="S67" s="54"/>
    </row>
    <row r="68" spans="14:19" x14ac:dyDescent="0.3">
      <c r="N68" s="54"/>
      <c r="O68" s="54"/>
      <c r="P68" s="54"/>
      <c r="Q68" s="54"/>
      <c r="R68" s="54"/>
      <c r="S68" s="54"/>
    </row>
    <row r="69" spans="14:19" x14ac:dyDescent="0.3">
      <c r="N69" s="54"/>
      <c r="O69" s="54"/>
      <c r="P69" s="54"/>
      <c r="Q69" s="54"/>
      <c r="R69" s="54"/>
      <c r="S69" s="54"/>
    </row>
    <row r="70" spans="14:19" x14ac:dyDescent="0.3">
      <c r="N70" s="54"/>
      <c r="O70" s="54"/>
      <c r="P70" s="54"/>
      <c r="Q70" s="54"/>
      <c r="R70" s="54"/>
      <c r="S70" s="54"/>
    </row>
    <row r="71" spans="14:19" x14ac:dyDescent="0.3">
      <c r="N71" s="54"/>
      <c r="O71" s="54"/>
      <c r="P71" s="54"/>
      <c r="Q71" s="54"/>
      <c r="R71" s="54"/>
      <c r="S71" s="54"/>
    </row>
    <row r="72" spans="14:19" x14ac:dyDescent="0.3">
      <c r="N72" s="54"/>
      <c r="O72" s="54"/>
      <c r="P72" s="54"/>
      <c r="Q72" s="54"/>
      <c r="R72" s="54"/>
      <c r="S72" s="54"/>
    </row>
    <row r="73" spans="14:19" x14ac:dyDescent="0.3">
      <c r="N73" s="54"/>
      <c r="O73" s="54"/>
      <c r="P73" s="54"/>
      <c r="Q73" s="54"/>
      <c r="R73" s="54"/>
      <c r="S73" s="54"/>
    </row>
    <row r="74" spans="14:19" x14ac:dyDescent="0.3">
      <c r="N74" s="54"/>
      <c r="O74" s="54"/>
      <c r="P74" s="54"/>
      <c r="Q74" s="54"/>
      <c r="R74" s="54"/>
      <c r="S74" s="54"/>
    </row>
    <row r="75" spans="14:19" x14ac:dyDescent="0.3">
      <c r="N75" s="54"/>
      <c r="O75" s="54"/>
      <c r="P75" s="54"/>
      <c r="Q75" s="54"/>
      <c r="R75" s="54"/>
      <c r="S75" s="54"/>
    </row>
    <row r="76" spans="14:19" x14ac:dyDescent="0.3">
      <c r="N76" s="54"/>
      <c r="O76" s="54"/>
      <c r="P76" s="54"/>
      <c r="Q76" s="54"/>
      <c r="R76" s="54"/>
      <c r="S76" s="54"/>
    </row>
    <row r="77" spans="14:19" x14ac:dyDescent="0.3">
      <c r="N77" s="54"/>
      <c r="O77" s="54"/>
      <c r="P77" s="54"/>
      <c r="Q77" s="54"/>
      <c r="R77" s="54"/>
      <c r="S77" s="54"/>
    </row>
    <row r="78" spans="14:19" x14ac:dyDescent="0.3">
      <c r="N78" s="54"/>
      <c r="O78" s="54"/>
      <c r="P78" s="54"/>
      <c r="Q78" s="54"/>
      <c r="R78" s="54"/>
      <c r="S78" s="54"/>
    </row>
    <row r="79" spans="14:19" x14ac:dyDescent="0.3">
      <c r="N79" s="54"/>
      <c r="O79" s="54"/>
      <c r="P79" s="54"/>
      <c r="Q79" s="54"/>
      <c r="R79" s="54"/>
      <c r="S79" s="54"/>
    </row>
    <row r="80" spans="14:19" x14ac:dyDescent="0.3">
      <c r="N80" s="54"/>
      <c r="O80" s="54"/>
      <c r="P80" s="54"/>
      <c r="Q80" s="54"/>
      <c r="R80" s="54"/>
      <c r="S80" s="54"/>
    </row>
    <row r="81" spans="14:19" x14ac:dyDescent="0.3">
      <c r="N81" s="54"/>
      <c r="O81" s="54"/>
      <c r="P81" s="54"/>
      <c r="Q81" s="54"/>
      <c r="R81" s="54"/>
      <c r="S81" s="54"/>
    </row>
    <row r="82" spans="14:19" x14ac:dyDescent="0.3">
      <c r="N82" s="54"/>
      <c r="O82" s="54"/>
      <c r="P82" s="54"/>
      <c r="Q82" s="54"/>
      <c r="R82" s="54"/>
      <c r="S82" s="54"/>
    </row>
    <row r="83" spans="14:19" x14ac:dyDescent="0.3">
      <c r="N83" s="54"/>
      <c r="O83" s="54"/>
      <c r="P83" s="54"/>
      <c r="Q83" s="54"/>
      <c r="R83" s="54"/>
      <c r="S83" s="54"/>
    </row>
    <row r="84" spans="14:19" x14ac:dyDescent="0.3">
      <c r="N84" s="54"/>
      <c r="O84" s="54"/>
      <c r="P84" s="54"/>
      <c r="Q84" s="54"/>
      <c r="R84" s="54"/>
      <c r="S84" s="54"/>
    </row>
    <row r="85" spans="14:19" x14ac:dyDescent="0.3">
      <c r="N85" s="54"/>
      <c r="O85" s="54"/>
      <c r="P85" s="54"/>
      <c r="Q85" s="54"/>
      <c r="R85" s="54"/>
      <c r="S85" s="54"/>
    </row>
    <row r="86" spans="14:19" x14ac:dyDescent="0.3">
      <c r="N86" s="54"/>
      <c r="O86" s="54"/>
      <c r="P86" s="54"/>
      <c r="Q86" s="54"/>
      <c r="R86" s="54"/>
      <c r="S86" s="54"/>
    </row>
    <row r="87" spans="14:19" x14ac:dyDescent="0.3">
      <c r="N87" s="54"/>
      <c r="O87" s="54"/>
      <c r="P87" s="54"/>
      <c r="Q87" s="54"/>
      <c r="R87" s="54"/>
      <c r="S87" s="54"/>
    </row>
    <row r="88" spans="14:19" x14ac:dyDescent="0.3">
      <c r="N88" s="54"/>
      <c r="O88" s="54"/>
      <c r="P88" s="54"/>
      <c r="Q88" s="54"/>
      <c r="R88" s="54"/>
      <c r="S88" s="54"/>
    </row>
    <row r="89" spans="14:19" x14ac:dyDescent="0.3">
      <c r="N89" s="54"/>
      <c r="O89" s="54"/>
      <c r="P89" s="54"/>
      <c r="Q89" s="54"/>
      <c r="R89" s="54"/>
      <c r="S89" s="54"/>
    </row>
    <row r="90" spans="14:19" x14ac:dyDescent="0.3">
      <c r="N90" s="54"/>
      <c r="O90" s="54"/>
      <c r="P90" s="54"/>
      <c r="Q90" s="54"/>
      <c r="R90" s="54"/>
      <c r="S90" s="54"/>
    </row>
    <row r="91" spans="14:19" x14ac:dyDescent="0.3">
      <c r="N91" s="54"/>
      <c r="O91" s="54"/>
      <c r="P91" s="54"/>
      <c r="Q91" s="54"/>
      <c r="R91" s="54"/>
      <c r="S91" s="54"/>
    </row>
    <row r="92" spans="14:19" x14ac:dyDescent="0.3">
      <c r="N92" s="54"/>
      <c r="O92" s="54"/>
      <c r="P92" s="54"/>
      <c r="Q92" s="54"/>
      <c r="R92" s="54"/>
      <c r="S92" s="54"/>
    </row>
    <row r="93" spans="14:19" x14ac:dyDescent="0.3">
      <c r="N93" s="54"/>
      <c r="O93" s="54"/>
      <c r="P93" s="54"/>
      <c r="Q93" s="54"/>
      <c r="R93" s="54"/>
      <c r="S93" s="54"/>
    </row>
    <row r="94" spans="14:19" x14ac:dyDescent="0.3">
      <c r="N94" s="54"/>
      <c r="O94" s="54"/>
      <c r="P94" s="54"/>
      <c r="Q94" s="54"/>
      <c r="R94" s="54"/>
      <c r="S94" s="54"/>
    </row>
    <row r="95" spans="14:19" x14ac:dyDescent="0.3">
      <c r="N95" s="54"/>
      <c r="O95" s="54"/>
      <c r="P95" s="54"/>
      <c r="Q95" s="54"/>
      <c r="R95" s="54"/>
      <c r="S95" s="54"/>
    </row>
    <row r="96" spans="14:19" x14ac:dyDescent="0.3">
      <c r="N96" s="54"/>
      <c r="O96" s="54"/>
      <c r="P96" s="54"/>
      <c r="Q96" s="54"/>
      <c r="R96" s="54"/>
      <c r="S96" s="54"/>
    </row>
    <row r="97" spans="14:19" x14ac:dyDescent="0.3">
      <c r="N97" s="54"/>
      <c r="O97" s="54"/>
      <c r="P97" s="54"/>
      <c r="Q97" s="54"/>
      <c r="R97" s="54"/>
      <c r="S97" s="54"/>
    </row>
    <row r="98" spans="14:19" x14ac:dyDescent="0.3">
      <c r="N98" s="54"/>
      <c r="O98" s="54"/>
      <c r="P98" s="54"/>
      <c r="Q98" s="54"/>
      <c r="R98" s="54"/>
      <c r="S98" s="54"/>
    </row>
    <row r="99" spans="14:19" x14ac:dyDescent="0.3">
      <c r="N99" s="54"/>
      <c r="O99" s="54"/>
      <c r="P99" s="54"/>
      <c r="Q99" s="54"/>
      <c r="R99" s="54"/>
      <c r="S99" s="54"/>
    </row>
    <row r="100" spans="14:19" x14ac:dyDescent="0.3">
      <c r="N100" s="54"/>
      <c r="O100" s="54"/>
      <c r="P100" s="54"/>
      <c r="Q100" s="54"/>
      <c r="R100" s="54"/>
      <c r="S100" s="54"/>
    </row>
    <row r="101" spans="14:19" x14ac:dyDescent="0.3">
      <c r="N101" s="54"/>
      <c r="O101" s="54"/>
      <c r="P101" s="54"/>
      <c r="Q101" s="54"/>
      <c r="R101" s="54"/>
      <c r="S101" s="54"/>
    </row>
    <row r="102" spans="14:19" x14ac:dyDescent="0.3">
      <c r="N102" s="54"/>
      <c r="O102" s="54"/>
      <c r="P102" s="54"/>
      <c r="Q102" s="54"/>
      <c r="R102" s="54"/>
      <c r="S102" s="54"/>
    </row>
    <row r="103" spans="14:19" x14ac:dyDescent="0.3">
      <c r="N103" s="54"/>
      <c r="O103" s="54"/>
      <c r="P103" s="54"/>
      <c r="Q103" s="54"/>
      <c r="R103" s="54"/>
      <c r="S103" s="54"/>
    </row>
    <row r="104" spans="14:19" x14ac:dyDescent="0.3">
      <c r="N104" s="54"/>
      <c r="O104" s="54"/>
      <c r="P104" s="54"/>
      <c r="Q104" s="54"/>
      <c r="R104" s="54"/>
      <c r="S104" s="54"/>
    </row>
    <row r="105" spans="14:19" x14ac:dyDescent="0.3">
      <c r="N105" s="54"/>
      <c r="O105" s="54"/>
      <c r="P105" s="54"/>
      <c r="Q105" s="54"/>
      <c r="R105" s="54"/>
      <c r="S105" s="54"/>
    </row>
    <row r="106" spans="14:19" x14ac:dyDescent="0.3">
      <c r="N106" s="54"/>
      <c r="O106" s="54"/>
      <c r="P106" s="54"/>
      <c r="Q106" s="54"/>
      <c r="R106" s="54"/>
      <c r="S106" s="54"/>
    </row>
    <row r="107" spans="14:19" x14ac:dyDescent="0.3">
      <c r="N107" s="54"/>
      <c r="O107" s="54"/>
      <c r="P107" s="54"/>
      <c r="Q107" s="54"/>
      <c r="R107" s="54"/>
      <c r="S107" s="54"/>
    </row>
    <row r="108" spans="14:19" x14ac:dyDescent="0.3">
      <c r="N108" s="54"/>
      <c r="O108" s="54"/>
      <c r="P108" s="54"/>
      <c r="Q108" s="54"/>
      <c r="R108" s="54"/>
      <c r="S108" s="54"/>
    </row>
    <row r="109" spans="14:19" x14ac:dyDescent="0.3">
      <c r="N109" s="54"/>
      <c r="O109" s="54"/>
      <c r="P109" s="54"/>
      <c r="Q109" s="54"/>
      <c r="R109" s="54"/>
      <c r="S109" s="54"/>
    </row>
    <row r="110" spans="14:19" x14ac:dyDescent="0.3">
      <c r="N110" s="54"/>
      <c r="O110" s="54"/>
      <c r="P110" s="54"/>
      <c r="Q110" s="54"/>
      <c r="R110" s="54"/>
      <c r="S110" s="54"/>
    </row>
    <row r="111" spans="14:19" x14ac:dyDescent="0.3">
      <c r="N111" s="54"/>
      <c r="O111" s="54"/>
      <c r="P111" s="54"/>
      <c r="Q111" s="54"/>
      <c r="R111" s="54"/>
      <c r="S111" s="54"/>
    </row>
    <row r="112" spans="14:19" x14ac:dyDescent="0.3">
      <c r="N112" s="54"/>
      <c r="O112" s="54"/>
      <c r="P112" s="54"/>
      <c r="Q112" s="54"/>
      <c r="R112" s="54"/>
      <c r="S112" s="54"/>
    </row>
    <row r="113" spans="14:19" x14ac:dyDescent="0.3">
      <c r="N113" s="54"/>
      <c r="O113" s="54"/>
      <c r="P113" s="54"/>
      <c r="Q113" s="54"/>
      <c r="R113" s="54"/>
      <c r="S113" s="54"/>
    </row>
    <row r="114" spans="14:19" x14ac:dyDescent="0.3">
      <c r="N114" s="54"/>
      <c r="O114" s="54"/>
      <c r="P114" s="54"/>
      <c r="Q114" s="54"/>
      <c r="R114" s="54"/>
      <c r="S114" s="54"/>
    </row>
    <row r="115" spans="14:19" x14ac:dyDescent="0.3">
      <c r="N115" s="54"/>
      <c r="O115" s="54"/>
      <c r="P115" s="54"/>
      <c r="Q115" s="54"/>
      <c r="R115" s="54"/>
      <c r="S115" s="54"/>
    </row>
    <row r="116" spans="14:19" x14ac:dyDescent="0.3">
      <c r="N116" s="54"/>
      <c r="O116" s="54"/>
      <c r="P116" s="54"/>
      <c r="Q116" s="54"/>
      <c r="R116" s="54"/>
      <c r="S116" s="54"/>
    </row>
    <row r="117" spans="14:19" x14ac:dyDescent="0.3">
      <c r="N117" s="54"/>
      <c r="O117" s="54"/>
      <c r="P117" s="54"/>
      <c r="Q117" s="54"/>
      <c r="R117" s="54"/>
      <c r="S117" s="54"/>
    </row>
    <row r="118" spans="14:19" x14ac:dyDescent="0.3">
      <c r="N118" s="54"/>
      <c r="O118" s="54"/>
      <c r="P118" s="54"/>
      <c r="Q118" s="54"/>
      <c r="R118" s="54"/>
      <c r="S118" s="54"/>
    </row>
    <row r="119" spans="14:19" x14ac:dyDescent="0.3">
      <c r="N119" s="54"/>
      <c r="O119" s="54"/>
      <c r="P119" s="54"/>
      <c r="Q119" s="54"/>
      <c r="R119" s="54"/>
      <c r="S119" s="54"/>
    </row>
    <row r="120" spans="14:19" x14ac:dyDescent="0.3">
      <c r="N120" s="54"/>
      <c r="O120" s="54"/>
      <c r="P120" s="54"/>
      <c r="Q120" s="54"/>
      <c r="R120" s="54"/>
      <c r="S120" s="54"/>
    </row>
    <row r="121" spans="14:19" x14ac:dyDescent="0.3">
      <c r="N121" s="54"/>
      <c r="O121" s="54"/>
      <c r="P121" s="54"/>
      <c r="Q121" s="54"/>
      <c r="R121" s="54"/>
      <c r="S121" s="54"/>
    </row>
    <row r="122" spans="14:19" x14ac:dyDescent="0.3">
      <c r="N122" s="54"/>
      <c r="O122" s="54"/>
      <c r="P122" s="54"/>
      <c r="Q122" s="54"/>
      <c r="R122" s="54"/>
      <c r="S122" s="54"/>
    </row>
    <row r="123" spans="14:19" x14ac:dyDescent="0.3">
      <c r="N123" s="54"/>
      <c r="O123" s="54"/>
      <c r="P123" s="54"/>
      <c r="Q123" s="54"/>
      <c r="R123" s="54"/>
      <c r="S123" s="54"/>
    </row>
    <row r="124" spans="14:19" x14ac:dyDescent="0.3">
      <c r="N124" s="54"/>
      <c r="O124" s="54"/>
      <c r="P124" s="54"/>
      <c r="Q124" s="54"/>
      <c r="R124" s="54"/>
      <c r="S124" s="54"/>
    </row>
    <row r="125" spans="14:19" x14ac:dyDescent="0.3">
      <c r="N125" s="54"/>
      <c r="O125" s="54"/>
      <c r="P125" s="54"/>
      <c r="Q125" s="54"/>
      <c r="R125" s="54"/>
      <c r="S125" s="54"/>
    </row>
    <row r="126" spans="14:19" x14ac:dyDescent="0.3">
      <c r="N126" s="54"/>
      <c r="O126" s="54"/>
      <c r="P126" s="54"/>
      <c r="Q126" s="54"/>
      <c r="R126" s="54"/>
      <c r="S126" s="54"/>
    </row>
    <row r="127" spans="14:19" x14ac:dyDescent="0.3">
      <c r="N127" s="54"/>
      <c r="O127" s="54"/>
      <c r="P127" s="54"/>
      <c r="Q127" s="54"/>
      <c r="R127" s="54"/>
      <c r="S127" s="54"/>
    </row>
    <row r="128" spans="14:19" x14ac:dyDescent="0.3">
      <c r="N128" s="54"/>
      <c r="O128" s="54"/>
      <c r="P128" s="54"/>
      <c r="Q128" s="54"/>
      <c r="R128" s="54"/>
      <c r="S128" s="54"/>
    </row>
    <row r="129" spans="14:19" x14ac:dyDescent="0.3">
      <c r="N129" s="54"/>
      <c r="O129" s="54"/>
      <c r="P129" s="54"/>
      <c r="Q129" s="54"/>
      <c r="R129" s="54"/>
      <c r="S129" s="54"/>
    </row>
    <row r="130" spans="14:19" x14ac:dyDescent="0.3">
      <c r="N130" s="54"/>
      <c r="O130" s="54"/>
      <c r="P130" s="54"/>
      <c r="Q130" s="54"/>
      <c r="R130" s="54"/>
      <c r="S130" s="54"/>
    </row>
    <row r="131" spans="14:19" x14ac:dyDescent="0.3">
      <c r="N131" s="54"/>
      <c r="O131" s="54"/>
      <c r="P131" s="54"/>
      <c r="Q131" s="54"/>
      <c r="R131" s="54"/>
      <c r="S131" s="54"/>
    </row>
    <row r="132" spans="14:19" x14ac:dyDescent="0.3">
      <c r="N132" s="54"/>
      <c r="O132" s="54"/>
      <c r="P132" s="54"/>
      <c r="Q132" s="54"/>
      <c r="R132" s="54"/>
      <c r="S132" s="54"/>
    </row>
    <row r="133" spans="14:19" x14ac:dyDescent="0.3">
      <c r="N133" s="54"/>
      <c r="O133" s="54"/>
      <c r="P133" s="54"/>
      <c r="Q133" s="54"/>
      <c r="R133" s="54"/>
      <c r="S133" s="54"/>
    </row>
    <row r="134" spans="14:19" x14ac:dyDescent="0.3">
      <c r="N134" s="54"/>
      <c r="O134" s="54"/>
      <c r="P134" s="54"/>
      <c r="Q134" s="54"/>
      <c r="R134" s="54"/>
      <c r="S134" s="54"/>
    </row>
    <row r="135" spans="14:19" x14ac:dyDescent="0.3">
      <c r="N135" s="54"/>
      <c r="O135" s="54"/>
      <c r="P135" s="54"/>
      <c r="Q135" s="54"/>
      <c r="R135" s="54"/>
      <c r="S135" s="54"/>
    </row>
    <row r="136" spans="14:19" x14ac:dyDescent="0.3">
      <c r="N136" s="54"/>
      <c r="O136" s="54"/>
      <c r="P136" s="54"/>
      <c r="Q136" s="54"/>
      <c r="R136" s="54"/>
      <c r="S136" s="54"/>
    </row>
    <row r="137" spans="14:19" x14ac:dyDescent="0.3">
      <c r="N137" s="54"/>
      <c r="O137" s="54"/>
      <c r="P137" s="54"/>
      <c r="Q137" s="54"/>
      <c r="R137" s="54"/>
      <c r="S137" s="54"/>
    </row>
    <row r="138" spans="14:19" x14ac:dyDescent="0.3">
      <c r="N138" s="54"/>
      <c r="O138" s="54"/>
      <c r="P138" s="54"/>
      <c r="Q138" s="54"/>
      <c r="R138" s="54"/>
      <c r="S138" s="54"/>
    </row>
    <row r="139" spans="14:19" x14ac:dyDescent="0.3">
      <c r="N139" s="54"/>
      <c r="O139" s="54"/>
      <c r="P139" s="54"/>
      <c r="Q139" s="54"/>
      <c r="R139" s="54"/>
      <c r="S139" s="54"/>
    </row>
    <row r="140" spans="14:19" x14ac:dyDescent="0.3">
      <c r="N140" s="54"/>
      <c r="O140" s="54"/>
      <c r="P140" s="54"/>
      <c r="Q140" s="54"/>
      <c r="R140" s="54"/>
      <c r="S140" s="54"/>
    </row>
    <row r="141" spans="14:19" x14ac:dyDescent="0.3">
      <c r="N141" s="54"/>
      <c r="O141" s="54"/>
      <c r="P141" s="54"/>
      <c r="Q141" s="54"/>
      <c r="R141" s="54"/>
      <c r="S141" s="54"/>
    </row>
    <row r="142" spans="14:19" x14ac:dyDescent="0.3">
      <c r="N142" s="54"/>
      <c r="O142" s="54"/>
      <c r="P142" s="54"/>
      <c r="Q142" s="54"/>
      <c r="R142" s="54"/>
      <c r="S142" s="54"/>
    </row>
    <row r="143" spans="14:19" x14ac:dyDescent="0.3">
      <c r="N143" s="54"/>
      <c r="O143" s="54"/>
      <c r="P143" s="54"/>
      <c r="Q143" s="54"/>
      <c r="R143" s="54"/>
      <c r="S143" s="54"/>
    </row>
    <row r="144" spans="14:19" x14ac:dyDescent="0.3">
      <c r="N144" s="54"/>
      <c r="O144" s="54"/>
      <c r="P144" s="54"/>
      <c r="Q144" s="54"/>
      <c r="R144" s="54"/>
      <c r="S144" s="54"/>
    </row>
    <row r="145" spans="14:19" x14ac:dyDescent="0.3">
      <c r="N145" s="54"/>
      <c r="O145" s="54"/>
      <c r="P145" s="54"/>
      <c r="Q145" s="54"/>
      <c r="R145" s="54"/>
      <c r="S145" s="54"/>
    </row>
    <row r="146" spans="14:19" x14ac:dyDescent="0.3">
      <c r="N146" s="54"/>
      <c r="O146" s="54"/>
      <c r="P146" s="54"/>
      <c r="Q146" s="54"/>
      <c r="R146" s="54"/>
      <c r="S146" s="54"/>
    </row>
    <row r="147" spans="14:19" x14ac:dyDescent="0.3">
      <c r="N147" s="54"/>
      <c r="O147" s="54"/>
      <c r="P147" s="54"/>
      <c r="Q147" s="54"/>
      <c r="R147" s="54"/>
      <c r="S147" s="54"/>
    </row>
    <row r="148" spans="14:19" x14ac:dyDescent="0.3">
      <c r="N148" s="54"/>
      <c r="O148" s="54"/>
      <c r="P148" s="54"/>
      <c r="Q148" s="54"/>
      <c r="R148" s="54"/>
      <c r="S148" s="54"/>
    </row>
    <row r="149" spans="14:19" x14ac:dyDescent="0.3">
      <c r="N149" s="54"/>
      <c r="O149" s="54"/>
      <c r="P149" s="54"/>
      <c r="Q149" s="54"/>
      <c r="R149" s="54"/>
      <c r="S149" s="54"/>
    </row>
    <row r="150" spans="14:19" x14ac:dyDescent="0.3">
      <c r="N150" s="54"/>
      <c r="O150" s="54"/>
      <c r="P150" s="54"/>
      <c r="Q150" s="54"/>
      <c r="R150" s="54"/>
      <c r="S150" s="54"/>
    </row>
    <row r="151" spans="14:19" x14ac:dyDescent="0.3">
      <c r="N151" s="54"/>
      <c r="O151" s="54"/>
      <c r="P151" s="54"/>
      <c r="Q151" s="54"/>
      <c r="R151" s="54"/>
      <c r="S151" s="54"/>
    </row>
    <row r="152" spans="14:19" x14ac:dyDescent="0.3">
      <c r="N152" s="54"/>
      <c r="O152" s="54"/>
      <c r="P152" s="54"/>
      <c r="Q152" s="54"/>
      <c r="R152" s="54"/>
      <c r="S152" s="54"/>
    </row>
    <row r="153" spans="14:19" x14ac:dyDescent="0.3">
      <c r="N153" s="54"/>
      <c r="O153" s="54"/>
      <c r="P153" s="54"/>
      <c r="Q153" s="54"/>
      <c r="R153" s="54"/>
      <c r="S153" s="54"/>
    </row>
    <row r="154" spans="14:19" x14ac:dyDescent="0.3">
      <c r="N154" s="54"/>
      <c r="O154" s="54"/>
      <c r="P154" s="54"/>
      <c r="Q154" s="54"/>
      <c r="R154" s="54"/>
      <c r="S154" s="54"/>
    </row>
    <row r="155" spans="14:19" x14ac:dyDescent="0.3">
      <c r="N155" s="54"/>
      <c r="O155" s="54"/>
      <c r="P155" s="54"/>
      <c r="Q155" s="54"/>
      <c r="R155" s="54"/>
      <c r="S155" s="54"/>
    </row>
    <row r="156" spans="14:19" x14ac:dyDescent="0.3">
      <c r="N156" s="54"/>
      <c r="O156" s="54"/>
      <c r="P156" s="54"/>
      <c r="Q156" s="54"/>
      <c r="R156" s="54"/>
      <c r="S156" s="54"/>
    </row>
    <row r="157" spans="14:19" x14ac:dyDescent="0.3">
      <c r="N157" s="54"/>
      <c r="O157" s="54"/>
      <c r="P157" s="54"/>
      <c r="Q157" s="54"/>
      <c r="R157" s="54"/>
      <c r="S157" s="54"/>
    </row>
    <row r="158" spans="14:19" x14ac:dyDescent="0.3">
      <c r="N158" s="54"/>
      <c r="O158" s="54"/>
      <c r="P158" s="54"/>
      <c r="Q158" s="54"/>
      <c r="R158" s="54"/>
      <c r="S158" s="54"/>
    </row>
    <row r="159" spans="14:19" x14ac:dyDescent="0.3">
      <c r="N159" s="54"/>
      <c r="O159" s="54"/>
      <c r="P159" s="54"/>
      <c r="Q159" s="54"/>
      <c r="R159" s="54"/>
      <c r="S159" s="54"/>
    </row>
    <row r="160" spans="14:19" x14ac:dyDescent="0.3">
      <c r="N160" s="54"/>
      <c r="O160" s="54"/>
      <c r="P160" s="54"/>
      <c r="Q160" s="54"/>
      <c r="R160" s="54"/>
      <c r="S160" s="54"/>
    </row>
    <row r="161" spans="14:19" x14ac:dyDescent="0.3">
      <c r="N161" s="54"/>
      <c r="O161" s="54"/>
      <c r="P161" s="54"/>
      <c r="Q161" s="54"/>
      <c r="R161" s="54"/>
      <c r="S161" s="54"/>
    </row>
    <row r="162" spans="14:19" x14ac:dyDescent="0.3">
      <c r="N162" s="54"/>
      <c r="O162" s="54"/>
      <c r="P162" s="54"/>
      <c r="Q162" s="54"/>
      <c r="R162" s="54"/>
      <c r="S162" s="54"/>
    </row>
    <row r="163" spans="14:19" x14ac:dyDescent="0.3">
      <c r="N163" s="54"/>
      <c r="O163" s="54"/>
      <c r="P163" s="54"/>
      <c r="Q163" s="54"/>
      <c r="R163" s="54"/>
      <c r="S163" s="54"/>
    </row>
    <row r="164" spans="14:19" x14ac:dyDescent="0.3">
      <c r="N164" s="54"/>
      <c r="O164" s="54"/>
      <c r="P164" s="54"/>
      <c r="Q164" s="54"/>
      <c r="R164" s="54"/>
      <c r="S164" s="54"/>
    </row>
    <row r="165" spans="14:19" x14ac:dyDescent="0.3">
      <c r="N165" s="54"/>
      <c r="O165" s="54"/>
      <c r="P165" s="54"/>
      <c r="Q165" s="54"/>
      <c r="R165" s="54"/>
      <c r="S165" s="54"/>
    </row>
    <row r="166" spans="14:19" x14ac:dyDescent="0.3">
      <c r="N166" s="54"/>
      <c r="O166" s="54"/>
      <c r="P166" s="54"/>
      <c r="Q166" s="54"/>
      <c r="R166" s="54"/>
      <c r="S166" s="54"/>
    </row>
    <row r="167" spans="14:19" x14ac:dyDescent="0.3">
      <c r="N167" s="54"/>
      <c r="O167" s="54"/>
      <c r="P167" s="54"/>
      <c r="Q167" s="54"/>
      <c r="R167" s="54"/>
      <c r="S167" s="54"/>
    </row>
    <row r="168" spans="14:19" x14ac:dyDescent="0.3">
      <c r="N168" s="54"/>
      <c r="O168" s="54"/>
      <c r="P168" s="54"/>
      <c r="Q168" s="54"/>
      <c r="R168" s="54"/>
      <c r="S168" s="54"/>
    </row>
    <row r="169" spans="14:19" x14ac:dyDescent="0.3">
      <c r="N169" s="54"/>
      <c r="O169" s="54"/>
      <c r="P169" s="54"/>
      <c r="Q169" s="54"/>
      <c r="R169" s="54"/>
      <c r="S169" s="54"/>
    </row>
    <row r="170" spans="14:19" x14ac:dyDescent="0.3">
      <c r="N170" s="54"/>
      <c r="O170" s="54"/>
      <c r="P170" s="54"/>
      <c r="Q170" s="54"/>
      <c r="R170" s="54"/>
      <c r="S170" s="54"/>
    </row>
    <row r="171" spans="14:19" x14ac:dyDescent="0.3">
      <c r="N171" s="54"/>
      <c r="O171" s="54"/>
      <c r="P171" s="54"/>
      <c r="Q171" s="54"/>
      <c r="R171" s="54"/>
      <c r="S171" s="54"/>
    </row>
    <row r="172" spans="14:19" x14ac:dyDescent="0.3">
      <c r="N172" s="54"/>
      <c r="O172" s="54"/>
      <c r="P172" s="54"/>
      <c r="Q172" s="54"/>
      <c r="R172" s="54"/>
      <c r="S172" s="54"/>
    </row>
    <row r="173" spans="14:19" x14ac:dyDescent="0.3">
      <c r="N173" s="54"/>
      <c r="O173" s="54"/>
      <c r="P173" s="54"/>
      <c r="Q173" s="54"/>
      <c r="R173" s="54"/>
      <c r="S173" s="54"/>
    </row>
    <row r="174" spans="14:19" x14ac:dyDescent="0.3">
      <c r="N174" s="54"/>
      <c r="O174" s="54"/>
      <c r="P174" s="54"/>
      <c r="Q174" s="54"/>
      <c r="R174" s="54"/>
      <c r="S174" s="54"/>
    </row>
    <row r="175" spans="14:19" x14ac:dyDescent="0.3">
      <c r="N175" s="54"/>
      <c r="O175" s="54"/>
      <c r="P175" s="54"/>
      <c r="Q175" s="54"/>
      <c r="R175" s="54"/>
      <c r="S175" s="54"/>
    </row>
    <row r="176" spans="14:19" x14ac:dyDescent="0.3">
      <c r="N176" s="54"/>
      <c r="O176" s="54"/>
      <c r="P176" s="54"/>
      <c r="Q176" s="54"/>
      <c r="R176" s="54"/>
      <c r="S176" s="54"/>
    </row>
    <row r="177" spans="14:19" x14ac:dyDescent="0.3">
      <c r="N177" s="54"/>
      <c r="O177" s="54"/>
      <c r="P177" s="54"/>
      <c r="Q177" s="54"/>
      <c r="R177" s="54"/>
      <c r="S177" s="54"/>
    </row>
    <row r="178" spans="14:19" x14ac:dyDescent="0.3">
      <c r="N178" s="54"/>
      <c r="O178" s="54"/>
      <c r="P178" s="54"/>
      <c r="Q178" s="54"/>
      <c r="R178" s="54"/>
      <c r="S178" s="54"/>
    </row>
    <row r="179" spans="14:19" x14ac:dyDescent="0.3">
      <c r="N179" s="54"/>
      <c r="O179" s="54"/>
      <c r="P179" s="54"/>
      <c r="Q179" s="54"/>
      <c r="R179" s="54"/>
      <c r="S179" s="54"/>
    </row>
    <row r="180" spans="14:19" x14ac:dyDescent="0.3">
      <c r="N180" s="54"/>
      <c r="O180" s="54"/>
      <c r="P180" s="54"/>
      <c r="Q180" s="54"/>
      <c r="R180" s="54"/>
      <c r="S180" s="54"/>
    </row>
    <row r="181" spans="14:19" x14ac:dyDescent="0.3">
      <c r="N181" s="54"/>
      <c r="O181" s="54"/>
      <c r="P181" s="54"/>
      <c r="Q181" s="54"/>
      <c r="R181" s="54"/>
      <c r="S181" s="54"/>
    </row>
    <row r="182" spans="14:19" x14ac:dyDescent="0.3">
      <c r="N182" s="54"/>
      <c r="O182" s="54"/>
      <c r="P182" s="54"/>
      <c r="Q182" s="54"/>
      <c r="R182" s="54"/>
      <c r="S182" s="54"/>
    </row>
    <row r="183" spans="14:19" x14ac:dyDescent="0.3">
      <c r="N183" s="54"/>
      <c r="O183" s="54"/>
      <c r="P183" s="54"/>
      <c r="Q183" s="54"/>
      <c r="R183" s="54"/>
      <c r="S183" s="54"/>
    </row>
    <row r="184" spans="14:19" x14ac:dyDescent="0.3">
      <c r="N184" s="54"/>
      <c r="O184" s="54"/>
      <c r="P184" s="54"/>
      <c r="Q184" s="54"/>
      <c r="R184" s="54"/>
      <c r="S184" s="54"/>
    </row>
    <row r="185" spans="14:19" x14ac:dyDescent="0.3">
      <c r="N185" s="54"/>
      <c r="O185" s="54"/>
      <c r="P185" s="54"/>
      <c r="Q185" s="54"/>
      <c r="R185" s="54"/>
      <c r="S185" s="54"/>
    </row>
    <row r="186" spans="14:19" x14ac:dyDescent="0.3">
      <c r="N186" s="54"/>
      <c r="O186" s="54"/>
      <c r="P186" s="54"/>
      <c r="Q186" s="54"/>
      <c r="R186" s="54"/>
      <c r="S186" s="54"/>
    </row>
    <row r="187" spans="14:19" x14ac:dyDescent="0.3">
      <c r="N187" s="54"/>
      <c r="O187" s="54"/>
      <c r="P187" s="54"/>
      <c r="Q187" s="54"/>
      <c r="R187" s="54"/>
      <c r="S187" s="54"/>
    </row>
    <row r="188" spans="14:19" x14ac:dyDescent="0.3">
      <c r="N188" s="54"/>
      <c r="O188" s="54"/>
      <c r="P188" s="54"/>
      <c r="Q188" s="54"/>
      <c r="R188" s="54"/>
      <c r="S188" s="54"/>
    </row>
    <row r="189" spans="14:19" x14ac:dyDescent="0.3">
      <c r="N189" s="54"/>
      <c r="O189" s="54"/>
      <c r="P189" s="54"/>
      <c r="Q189" s="54"/>
      <c r="R189" s="54"/>
      <c r="S189" s="54"/>
    </row>
    <row r="190" spans="14:19" x14ac:dyDescent="0.3">
      <c r="N190" s="54"/>
      <c r="O190" s="54"/>
      <c r="P190" s="54"/>
      <c r="Q190" s="54"/>
      <c r="R190" s="54"/>
      <c r="S190" s="54"/>
    </row>
    <row r="191" spans="14:19" x14ac:dyDescent="0.3">
      <c r="N191" s="54"/>
      <c r="O191" s="54"/>
      <c r="P191" s="54"/>
      <c r="Q191" s="54"/>
      <c r="R191" s="54"/>
      <c r="S191" s="54"/>
    </row>
    <row r="192" spans="14:19" x14ac:dyDescent="0.3">
      <c r="N192" s="54"/>
      <c r="O192" s="54"/>
      <c r="P192" s="54"/>
      <c r="Q192" s="54"/>
      <c r="R192" s="54"/>
      <c r="S192" s="54"/>
    </row>
    <row r="193" spans="14:19" x14ac:dyDescent="0.3">
      <c r="N193" s="54"/>
      <c r="O193" s="54"/>
      <c r="P193" s="54"/>
      <c r="Q193" s="54"/>
      <c r="R193" s="54"/>
      <c r="S193" s="54"/>
    </row>
    <row r="194" spans="14:19" x14ac:dyDescent="0.3">
      <c r="N194" s="54"/>
      <c r="O194" s="54"/>
      <c r="P194" s="54"/>
      <c r="Q194" s="54"/>
      <c r="R194" s="54"/>
      <c r="S194" s="54"/>
    </row>
    <row r="195" spans="14:19" x14ac:dyDescent="0.3">
      <c r="N195" s="54"/>
      <c r="O195" s="54"/>
      <c r="P195" s="54"/>
      <c r="Q195" s="54"/>
      <c r="R195" s="54"/>
      <c r="S195" s="54"/>
    </row>
    <row r="196" spans="14:19" x14ac:dyDescent="0.3">
      <c r="N196" s="54"/>
      <c r="O196" s="54"/>
      <c r="P196" s="54"/>
      <c r="Q196" s="54"/>
      <c r="R196" s="54"/>
      <c r="S196" s="54"/>
    </row>
    <row r="197" spans="14:19" x14ac:dyDescent="0.3">
      <c r="N197" s="54"/>
      <c r="O197" s="54"/>
      <c r="P197" s="54"/>
      <c r="Q197" s="54"/>
      <c r="R197" s="54"/>
      <c r="S197" s="54"/>
    </row>
    <row r="198" spans="14:19" x14ac:dyDescent="0.3">
      <c r="N198" s="54"/>
      <c r="O198" s="54"/>
      <c r="P198" s="54"/>
      <c r="Q198" s="54"/>
      <c r="R198" s="54"/>
      <c r="S198" s="54"/>
    </row>
    <row r="199" spans="14:19" x14ac:dyDescent="0.3">
      <c r="N199" s="54"/>
      <c r="O199" s="54"/>
      <c r="P199" s="54"/>
      <c r="Q199" s="54"/>
      <c r="R199" s="54"/>
      <c r="S199" s="54"/>
    </row>
    <row r="200" spans="14:19" x14ac:dyDescent="0.3">
      <c r="N200" s="54"/>
      <c r="O200" s="54"/>
      <c r="P200" s="54"/>
      <c r="Q200" s="54"/>
      <c r="R200" s="54"/>
      <c r="S200" s="54"/>
    </row>
    <row r="201" spans="14:19" x14ac:dyDescent="0.3">
      <c r="N201" s="54"/>
      <c r="O201" s="54"/>
      <c r="P201" s="54"/>
      <c r="Q201" s="54"/>
      <c r="R201" s="54"/>
      <c r="S201" s="54"/>
    </row>
    <row r="202" spans="14:19" x14ac:dyDescent="0.3">
      <c r="N202" s="54"/>
      <c r="O202" s="54"/>
      <c r="P202" s="54"/>
      <c r="Q202" s="54"/>
      <c r="R202" s="54"/>
      <c r="S202" s="54"/>
    </row>
    <row r="203" spans="14:19" x14ac:dyDescent="0.3">
      <c r="N203" s="54"/>
      <c r="O203" s="54"/>
      <c r="P203" s="54"/>
      <c r="Q203" s="54"/>
      <c r="R203" s="54"/>
      <c r="S203" s="54"/>
    </row>
    <row r="204" spans="14:19" x14ac:dyDescent="0.3">
      <c r="N204" s="54"/>
      <c r="O204" s="54"/>
      <c r="P204" s="54"/>
      <c r="Q204" s="54"/>
      <c r="R204" s="54"/>
      <c r="S204" s="54"/>
    </row>
    <row r="205" spans="14:19" x14ac:dyDescent="0.3">
      <c r="N205" s="54"/>
      <c r="O205" s="54"/>
      <c r="P205" s="54"/>
      <c r="Q205" s="54"/>
      <c r="R205" s="54"/>
      <c r="S205" s="54"/>
    </row>
    <row r="206" spans="14:19" x14ac:dyDescent="0.3">
      <c r="N206" s="54"/>
      <c r="O206" s="54"/>
      <c r="P206" s="54"/>
      <c r="Q206" s="54"/>
      <c r="R206" s="54"/>
      <c r="S206" s="54"/>
    </row>
    <row r="207" spans="14:19" x14ac:dyDescent="0.3">
      <c r="N207" s="54"/>
      <c r="O207" s="54"/>
      <c r="P207" s="54"/>
      <c r="Q207" s="54"/>
      <c r="R207" s="54"/>
      <c r="S207" s="54"/>
    </row>
    <row r="208" spans="14:19" x14ac:dyDescent="0.3">
      <c r="N208" s="54"/>
      <c r="O208" s="54"/>
      <c r="P208" s="54"/>
      <c r="Q208" s="54"/>
      <c r="R208" s="54"/>
      <c r="S208" s="54"/>
    </row>
    <row r="209" spans="14:19" x14ac:dyDescent="0.3">
      <c r="N209" s="54"/>
      <c r="O209" s="54"/>
      <c r="P209" s="54"/>
      <c r="Q209" s="54"/>
      <c r="R209" s="54"/>
      <c r="S209" s="54"/>
    </row>
    <row r="210" spans="14:19" x14ac:dyDescent="0.3">
      <c r="N210" s="54"/>
      <c r="O210" s="54"/>
      <c r="P210" s="54"/>
      <c r="Q210" s="54"/>
      <c r="R210" s="54"/>
      <c r="S210" s="54"/>
    </row>
    <row r="211" spans="14:19" x14ac:dyDescent="0.3">
      <c r="N211" s="54"/>
      <c r="O211" s="54"/>
      <c r="P211" s="54"/>
      <c r="Q211" s="54"/>
      <c r="R211" s="54"/>
      <c r="S211" s="54"/>
    </row>
    <row r="212" spans="14:19" x14ac:dyDescent="0.3">
      <c r="N212" s="54"/>
      <c r="O212" s="54"/>
      <c r="P212" s="54"/>
      <c r="Q212" s="54"/>
      <c r="R212" s="54"/>
      <c r="S212" s="54"/>
    </row>
    <row r="213" spans="14:19" x14ac:dyDescent="0.3">
      <c r="N213" s="54"/>
      <c r="O213" s="54"/>
      <c r="P213" s="54"/>
      <c r="Q213" s="54"/>
      <c r="R213" s="54"/>
      <c r="S213" s="54"/>
    </row>
    <row r="214" spans="14:19" x14ac:dyDescent="0.3">
      <c r="N214" s="54"/>
      <c r="O214" s="54"/>
      <c r="P214" s="54"/>
      <c r="Q214" s="54"/>
      <c r="R214" s="54"/>
      <c r="S214" s="54"/>
    </row>
    <row r="215" spans="14:19" x14ac:dyDescent="0.3">
      <c r="N215" s="54"/>
      <c r="O215" s="54"/>
      <c r="P215" s="54"/>
      <c r="Q215" s="54"/>
      <c r="R215" s="54"/>
      <c r="S215" s="54"/>
    </row>
    <row r="216" spans="14:19" x14ac:dyDescent="0.3">
      <c r="N216" s="54"/>
      <c r="O216" s="54"/>
      <c r="P216" s="54"/>
      <c r="Q216" s="54"/>
      <c r="R216" s="54"/>
      <c r="S216" s="54"/>
    </row>
    <row r="217" spans="14:19" x14ac:dyDescent="0.3">
      <c r="N217" s="54"/>
      <c r="O217" s="54"/>
      <c r="P217" s="54"/>
      <c r="Q217" s="54"/>
      <c r="R217" s="54"/>
      <c r="S217" s="54"/>
    </row>
    <row r="218" spans="14:19" x14ac:dyDescent="0.3">
      <c r="N218" s="54"/>
      <c r="O218" s="54"/>
      <c r="P218" s="54"/>
      <c r="Q218" s="54"/>
      <c r="R218" s="54"/>
      <c r="S218" s="54"/>
    </row>
    <row r="219" spans="14:19" x14ac:dyDescent="0.3">
      <c r="N219" s="54"/>
      <c r="O219" s="54"/>
      <c r="P219" s="54"/>
      <c r="Q219" s="54"/>
      <c r="R219" s="54"/>
      <c r="S219" s="54"/>
    </row>
    <row r="220" spans="14:19" x14ac:dyDescent="0.3">
      <c r="N220" s="54"/>
      <c r="O220" s="54"/>
      <c r="P220" s="54"/>
      <c r="Q220" s="54"/>
      <c r="R220" s="54"/>
      <c r="S220" s="54"/>
    </row>
    <row r="221" spans="14:19" x14ac:dyDescent="0.3">
      <c r="N221" s="54"/>
      <c r="O221" s="54"/>
      <c r="P221" s="54"/>
      <c r="Q221" s="54"/>
      <c r="R221" s="54"/>
      <c r="S221" s="54"/>
    </row>
    <row r="222" spans="14:19" x14ac:dyDescent="0.3">
      <c r="N222" s="54"/>
      <c r="O222" s="54"/>
      <c r="P222" s="54"/>
      <c r="Q222" s="54"/>
      <c r="R222" s="54"/>
      <c r="S222" s="54"/>
    </row>
    <row r="223" spans="14:19" x14ac:dyDescent="0.3">
      <c r="N223" s="54"/>
      <c r="O223" s="54"/>
      <c r="P223" s="54"/>
      <c r="Q223" s="54"/>
      <c r="R223" s="54"/>
      <c r="S223" s="54"/>
    </row>
    <row r="224" spans="14:19" x14ac:dyDescent="0.3">
      <c r="N224" s="54"/>
      <c r="O224" s="54"/>
      <c r="P224" s="54"/>
      <c r="Q224" s="54"/>
      <c r="R224" s="54"/>
      <c r="S224" s="54"/>
    </row>
    <row r="225" spans="14:19" x14ac:dyDescent="0.3">
      <c r="N225" s="54"/>
      <c r="O225" s="54"/>
      <c r="P225" s="54"/>
      <c r="Q225" s="54"/>
      <c r="R225" s="54"/>
      <c r="S225" s="54"/>
    </row>
    <row r="226" spans="14:19" x14ac:dyDescent="0.3">
      <c r="N226" s="54"/>
      <c r="O226" s="54"/>
      <c r="P226" s="54"/>
      <c r="Q226" s="54"/>
      <c r="R226" s="54"/>
      <c r="S226" s="54"/>
    </row>
    <row r="227" spans="14:19" x14ac:dyDescent="0.3">
      <c r="N227" s="54"/>
      <c r="O227" s="54"/>
      <c r="P227" s="54"/>
      <c r="Q227" s="54"/>
      <c r="R227" s="54"/>
      <c r="S227" s="54"/>
    </row>
    <row r="228" spans="14:19" x14ac:dyDescent="0.3">
      <c r="N228" s="54"/>
      <c r="O228" s="54"/>
      <c r="P228" s="54"/>
      <c r="Q228" s="54"/>
      <c r="R228" s="54"/>
      <c r="S228" s="54"/>
    </row>
    <row r="229" spans="14:19" x14ac:dyDescent="0.3">
      <c r="N229" s="54"/>
      <c r="O229" s="54"/>
      <c r="P229" s="54"/>
      <c r="Q229" s="54"/>
      <c r="R229" s="54"/>
      <c r="S229" s="54"/>
    </row>
    <row r="230" spans="14:19" x14ac:dyDescent="0.3">
      <c r="N230" s="54"/>
      <c r="O230" s="54"/>
      <c r="P230" s="54"/>
      <c r="Q230" s="54"/>
      <c r="R230" s="54"/>
      <c r="S230" s="54"/>
    </row>
    <row r="231" spans="14:19" x14ac:dyDescent="0.3">
      <c r="N231" s="54"/>
      <c r="O231" s="54"/>
      <c r="P231" s="54"/>
      <c r="Q231" s="54"/>
      <c r="R231" s="54"/>
      <c r="S231" s="54"/>
    </row>
    <row r="232" spans="14:19" x14ac:dyDescent="0.3">
      <c r="N232" s="54"/>
      <c r="O232" s="54"/>
      <c r="P232" s="54"/>
      <c r="Q232" s="54"/>
      <c r="R232" s="54"/>
      <c r="S232" s="54"/>
    </row>
    <row r="233" spans="14:19" x14ac:dyDescent="0.3">
      <c r="N233" s="54"/>
      <c r="O233" s="54"/>
      <c r="P233" s="54"/>
      <c r="Q233" s="54"/>
      <c r="R233" s="54"/>
      <c r="S233" s="54"/>
    </row>
    <row r="234" spans="14:19" x14ac:dyDescent="0.3">
      <c r="N234" s="54"/>
      <c r="O234" s="54"/>
      <c r="P234" s="54"/>
      <c r="Q234" s="54"/>
      <c r="R234" s="54"/>
      <c r="S234" s="54"/>
    </row>
    <row r="235" spans="14:19" x14ac:dyDescent="0.3">
      <c r="N235" s="54"/>
      <c r="O235" s="54"/>
      <c r="P235" s="54"/>
      <c r="Q235" s="54"/>
      <c r="R235" s="54"/>
      <c r="S235" s="54"/>
    </row>
    <row r="236" spans="14:19" x14ac:dyDescent="0.3">
      <c r="N236" s="54"/>
      <c r="O236" s="54"/>
      <c r="P236" s="54"/>
      <c r="Q236" s="54"/>
      <c r="R236" s="54"/>
      <c r="S236" s="54"/>
    </row>
    <row r="237" spans="14:19" x14ac:dyDescent="0.3">
      <c r="N237" s="54"/>
      <c r="O237" s="54"/>
      <c r="P237" s="54"/>
      <c r="Q237" s="54"/>
      <c r="R237" s="54"/>
      <c r="S237" s="54"/>
    </row>
    <row r="238" spans="14:19" x14ac:dyDescent="0.3">
      <c r="N238" s="54"/>
      <c r="O238" s="54"/>
      <c r="P238" s="54"/>
      <c r="Q238" s="54"/>
      <c r="R238" s="54"/>
      <c r="S238" s="54"/>
    </row>
    <row r="239" spans="14:19" x14ac:dyDescent="0.3">
      <c r="N239" s="54"/>
      <c r="O239" s="54"/>
      <c r="P239" s="54"/>
      <c r="Q239" s="54"/>
      <c r="R239" s="54"/>
      <c r="S239" s="54"/>
    </row>
    <row r="240" spans="14:19" x14ac:dyDescent="0.3">
      <c r="N240" s="54"/>
      <c r="O240" s="54"/>
      <c r="P240" s="54"/>
      <c r="Q240" s="54"/>
      <c r="R240" s="54"/>
      <c r="S240" s="54"/>
    </row>
    <row r="241" spans="14:19" x14ac:dyDescent="0.3">
      <c r="N241" s="54"/>
      <c r="O241" s="54"/>
      <c r="P241" s="54"/>
      <c r="Q241" s="54"/>
      <c r="R241" s="54"/>
      <c r="S241" s="54"/>
    </row>
    <row r="242" spans="14:19" x14ac:dyDescent="0.3">
      <c r="N242" s="54"/>
      <c r="O242" s="54"/>
      <c r="P242" s="54"/>
      <c r="Q242" s="54"/>
      <c r="R242" s="54"/>
      <c r="S242" s="54"/>
    </row>
    <row r="243" spans="14:19" x14ac:dyDescent="0.3">
      <c r="N243" s="54"/>
      <c r="O243" s="54"/>
      <c r="P243" s="54"/>
      <c r="Q243" s="54"/>
      <c r="R243" s="54"/>
      <c r="S243" s="54"/>
    </row>
    <row r="244" spans="14:19" x14ac:dyDescent="0.3">
      <c r="N244" s="54"/>
      <c r="O244" s="54"/>
      <c r="P244" s="54"/>
      <c r="Q244" s="54"/>
      <c r="R244" s="54"/>
      <c r="S244" s="54"/>
    </row>
    <row r="245" spans="14:19" x14ac:dyDescent="0.3">
      <c r="N245" s="54"/>
      <c r="O245" s="54"/>
      <c r="P245" s="54"/>
      <c r="Q245" s="54"/>
      <c r="R245" s="54"/>
      <c r="S245" s="54"/>
    </row>
    <row r="246" spans="14:19" x14ac:dyDescent="0.3">
      <c r="N246" s="54"/>
      <c r="O246" s="54"/>
      <c r="P246" s="54"/>
      <c r="Q246" s="54"/>
      <c r="R246" s="54"/>
      <c r="S246" s="54"/>
    </row>
    <row r="247" spans="14:19" x14ac:dyDescent="0.3">
      <c r="N247" s="54"/>
      <c r="O247" s="54"/>
      <c r="P247" s="54"/>
      <c r="Q247" s="54"/>
      <c r="R247" s="54"/>
      <c r="S247" s="54"/>
    </row>
    <row r="248" spans="14:19" x14ac:dyDescent="0.3">
      <c r="N248" s="54"/>
      <c r="O248" s="54"/>
      <c r="P248" s="54"/>
      <c r="Q248" s="54"/>
      <c r="R248" s="54"/>
      <c r="S248" s="54"/>
    </row>
    <row r="249" spans="14:19" x14ac:dyDescent="0.3">
      <c r="N249" s="54"/>
      <c r="O249" s="54"/>
      <c r="P249" s="54"/>
      <c r="Q249" s="54"/>
      <c r="R249" s="54"/>
      <c r="S249" s="54"/>
    </row>
    <row r="250" spans="14:19" x14ac:dyDescent="0.3">
      <c r="N250" s="54"/>
      <c r="O250" s="54"/>
      <c r="P250" s="54"/>
      <c r="Q250" s="54"/>
      <c r="R250" s="54"/>
      <c r="S250" s="54"/>
    </row>
    <row r="251" spans="14:19" x14ac:dyDescent="0.3">
      <c r="N251" s="54"/>
      <c r="O251" s="54"/>
      <c r="P251" s="54"/>
      <c r="Q251" s="54"/>
      <c r="R251" s="54"/>
      <c r="S251" s="54"/>
    </row>
    <row r="252" spans="14:19" x14ac:dyDescent="0.3">
      <c r="N252" s="27"/>
      <c r="O252" s="27"/>
      <c r="P252" s="27"/>
      <c r="Q252" s="27"/>
      <c r="R252" s="27"/>
      <c r="S252" s="27"/>
    </row>
    <row r="253" spans="14:19" x14ac:dyDescent="0.3">
      <c r="N253" s="27"/>
      <c r="O253" s="27"/>
      <c r="P253" s="27"/>
      <c r="Q253" s="27"/>
      <c r="R253" s="27"/>
      <c r="S253" s="27"/>
    </row>
    <row r="254" spans="14:19" x14ac:dyDescent="0.3">
      <c r="N254" s="27"/>
      <c r="O254" s="27"/>
      <c r="P254" s="27"/>
      <c r="Q254" s="27"/>
      <c r="R254" s="27"/>
      <c r="S254" s="27"/>
    </row>
    <row r="255" spans="14:19" x14ac:dyDescent="0.3">
      <c r="N255" s="27"/>
      <c r="O255" s="27"/>
      <c r="P255" s="27"/>
      <c r="Q255" s="27"/>
      <c r="R255" s="27"/>
      <c r="S255" s="27"/>
    </row>
    <row r="256" spans="14:19" x14ac:dyDescent="0.3">
      <c r="N256" s="27"/>
      <c r="O256" s="27"/>
      <c r="P256" s="27"/>
      <c r="Q256" s="27"/>
      <c r="R256" s="27"/>
      <c r="S256" s="27"/>
    </row>
    <row r="257" spans="14:19" x14ac:dyDescent="0.3">
      <c r="N257" s="27"/>
      <c r="O257" s="27"/>
      <c r="P257" s="27"/>
      <c r="Q257" s="27"/>
      <c r="R257" s="27"/>
      <c r="S257" s="27"/>
    </row>
    <row r="258" spans="14:19" x14ac:dyDescent="0.3">
      <c r="N258" s="27"/>
      <c r="O258" s="27"/>
      <c r="P258" s="27"/>
      <c r="Q258" s="27"/>
      <c r="R258" s="27"/>
      <c r="S258" s="27"/>
    </row>
    <row r="259" spans="14:19" x14ac:dyDescent="0.3">
      <c r="N259" s="27"/>
      <c r="O259" s="27"/>
      <c r="P259" s="27"/>
      <c r="Q259" s="27"/>
      <c r="R259" s="27"/>
      <c r="S259" s="27"/>
    </row>
    <row r="260" spans="14:19" x14ac:dyDescent="0.3">
      <c r="N260" s="27"/>
      <c r="O260" s="27"/>
      <c r="P260" s="27"/>
      <c r="Q260" s="27"/>
      <c r="R260" s="27"/>
      <c r="S260" s="27"/>
    </row>
    <row r="261" spans="14:19" x14ac:dyDescent="0.3">
      <c r="N261" s="27"/>
      <c r="O261" s="27"/>
      <c r="P261" s="27"/>
      <c r="Q261" s="27"/>
      <c r="R261" s="27"/>
      <c r="S261" s="27"/>
    </row>
    <row r="262" spans="14:19" x14ac:dyDescent="0.3">
      <c r="N262" s="27"/>
      <c r="O262" s="27"/>
      <c r="P262" s="27"/>
      <c r="Q262" s="27"/>
      <c r="R262" s="27"/>
      <c r="S262" s="27"/>
    </row>
    <row r="263" spans="14:19" x14ac:dyDescent="0.3">
      <c r="N263" s="27"/>
      <c r="O263" s="27"/>
      <c r="P263" s="27"/>
      <c r="Q263" s="27"/>
      <c r="R263" s="27"/>
      <c r="S263" s="27"/>
    </row>
    <row r="264" spans="14:19" x14ac:dyDescent="0.3">
      <c r="N264" s="27"/>
      <c r="O264" s="27"/>
      <c r="P264" s="27"/>
      <c r="Q264" s="27"/>
      <c r="R264" s="27"/>
      <c r="S264" s="27"/>
    </row>
    <row r="265" spans="14:19" x14ac:dyDescent="0.3">
      <c r="N265" s="27"/>
      <c r="O265" s="27"/>
      <c r="P265" s="27"/>
      <c r="Q265" s="27"/>
      <c r="R265" s="27"/>
      <c r="S265" s="27"/>
    </row>
    <row r="266" spans="14:19" x14ac:dyDescent="0.3">
      <c r="N266" s="27"/>
      <c r="O266" s="27"/>
      <c r="P266" s="27"/>
      <c r="Q266" s="27"/>
      <c r="R266" s="27"/>
      <c r="S266" s="27"/>
    </row>
    <row r="267" spans="14:19" x14ac:dyDescent="0.3">
      <c r="N267" s="27"/>
      <c r="O267" s="27"/>
      <c r="P267" s="27"/>
      <c r="Q267" s="27"/>
      <c r="R267" s="27"/>
      <c r="S267" s="27"/>
    </row>
    <row r="268" spans="14:19" x14ac:dyDescent="0.3">
      <c r="N268" s="27"/>
      <c r="O268" s="27"/>
      <c r="P268" s="27"/>
      <c r="Q268" s="27"/>
      <c r="R268" s="27"/>
      <c r="S268" s="27"/>
    </row>
    <row r="269" spans="14:19" x14ac:dyDescent="0.3">
      <c r="N269" s="27"/>
      <c r="O269" s="27"/>
      <c r="P269" s="27"/>
      <c r="Q269" s="27"/>
      <c r="R269" s="27"/>
      <c r="S269" s="27"/>
    </row>
    <row r="270" spans="14:19" x14ac:dyDescent="0.3">
      <c r="N270" s="27"/>
      <c r="O270" s="27"/>
      <c r="P270" s="27"/>
      <c r="Q270" s="27"/>
      <c r="R270" s="27"/>
      <c r="S270" s="27"/>
    </row>
    <row r="271" spans="14:19" x14ac:dyDescent="0.3">
      <c r="N271" s="27"/>
      <c r="O271" s="27"/>
      <c r="P271" s="27"/>
      <c r="Q271" s="27"/>
      <c r="R271" s="27"/>
      <c r="S271" s="27"/>
    </row>
    <row r="272" spans="14:19" x14ac:dyDescent="0.3">
      <c r="N272" s="27"/>
      <c r="O272" s="27"/>
      <c r="P272" s="27"/>
      <c r="Q272" s="27"/>
      <c r="R272" s="27"/>
      <c r="S272" s="27"/>
    </row>
    <row r="273" spans="14:19" x14ac:dyDescent="0.3">
      <c r="N273" s="27"/>
      <c r="O273" s="27"/>
      <c r="P273" s="27"/>
      <c r="Q273" s="27"/>
      <c r="R273" s="27"/>
      <c r="S273" s="27"/>
    </row>
    <row r="274" spans="14:19" x14ac:dyDescent="0.3">
      <c r="N274" s="27"/>
      <c r="O274" s="27"/>
      <c r="P274" s="27"/>
      <c r="Q274" s="27"/>
      <c r="R274" s="27"/>
      <c r="S274" s="27"/>
    </row>
    <row r="275" spans="14:19" x14ac:dyDescent="0.3">
      <c r="N275" s="27"/>
      <c r="O275" s="27"/>
      <c r="P275" s="27"/>
      <c r="Q275" s="27"/>
      <c r="R275" s="27"/>
      <c r="S275" s="27"/>
    </row>
    <row r="276" spans="14:19" x14ac:dyDescent="0.3">
      <c r="N276" s="27"/>
      <c r="O276" s="27"/>
      <c r="P276" s="27"/>
      <c r="Q276" s="27"/>
      <c r="R276" s="27"/>
      <c r="S276" s="27"/>
    </row>
    <row r="277" spans="14:19" x14ac:dyDescent="0.3">
      <c r="N277" s="27"/>
      <c r="O277" s="27"/>
      <c r="P277" s="27"/>
      <c r="Q277" s="27"/>
      <c r="R277" s="27"/>
      <c r="S277" s="27"/>
    </row>
    <row r="278" spans="14:19" x14ac:dyDescent="0.3">
      <c r="N278" s="27"/>
      <c r="O278" s="27"/>
      <c r="P278" s="27"/>
      <c r="Q278" s="27"/>
      <c r="R278" s="27"/>
      <c r="S278" s="27"/>
    </row>
    <row r="279" spans="14:19" x14ac:dyDescent="0.3">
      <c r="N279" s="27"/>
      <c r="O279" s="27"/>
      <c r="P279" s="27"/>
      <c r="Q279" s="27"/>
      <c r="R279" s="27"/>
      <c r="S279" s="27"/>
    </row>
    <row r="280" spans="14:19" x14ac:dyDescent="0.3">
      <c r="N280" s="27"/>
      <c r="O280" s="27"/>
      <c r="P280" s="27"/>
      <c r="Q280" s="27"/>
      <c r="R280" s="27"/>
      <c r="S280" s="27"/>
    </row>
    <row r="281" spans="14:19" x14ac:dyDescent="0.3">
      <c r="N281" s="27"/>
      <c r="O281" s="27"/>
      <c r="P281" s="27"/>
      <c r="Q281" s="27"/>
      <c r="R281" s="27"/>
      <c r="S281" s="27"/>
    </row>
    <row r="282" spans="14:19" x14ac:dyDescent="0.3">
      <c r="N282" s="27"/>
      <c r="O282" s="27"/>
      <c r="P282" s="27"/>
      <c r="Q282" s="27"/>
      <c r="R282" s="27"/>
      <c r="S282" s="27"/>
    </row>
    <row r="283" spans="14:19" x14ac:dyDescent="0.3">
      <c r="N283" s="27"/>
      <c r="O283" s="27"/>
      <c r="P283" s="27"/>
      <c r="Q283" s="27"/>
      <c r="R283" s="27"/>
      <c r="S283" s="27"/>
    </row>
    <row r="284" spans="14:19" x14ac:dyDescent="0.3">
      <c r="N284" s="27"/>
      <c r="O284" s="27"/>
      <c r="P284" s="27"/>
      <c r="Q284" s="27"/>
      <c r="R284" s="27"/>
      <c r="S284" s="27"/>
    </row>
    <row r="285" spans="14:19" x14ac:dyDescent="0.3">
      <c r="N285" s="27"/>
      <c r="O285" s="27"/>
      <c r="P285" s="27"/>
      <c r="Q285" s="27"/>
      <c r="R285" s="27"/>
      <c r="S285" s="27"/>
    </row>
    <row r="286" spans="14:19" x14ac:dyDescent="0.3">
      <c r="N286" s="27"/>
      <c r="O286" s="27"/>
      <c r="P286" s="27"/>
      <c r="Q286" s="27"/>
      <c r="R286" s="27"/>
      <c r="S286" s="27"/>
    </row>
    <row r="287" spans="14:19" x14ac:dyDescent="0.3">
      <c r="N287" s="27"/>
      <c r="O287" s="27"/>
      <c r="P287" s="27"/>
      <c r="Q287" s="27"/>
      <c r="R287" s="27"/>
      <c r="S287" s="27"/>
    </row>
    <row r="288" spans="14:19" x14ac:dyDescent="0.3">
      <c r="N288" s="27"/>
      <c r="O288" s="27"/>
      <c r="P288" s="27"/>
      <c r="Q288" s="27"/>
      <c r="R288" s="27"/>
      <c r="S288" s="27"/>
    </row>
    <row r="289" spans="14:19" x14ac:dyDescent="0.3">
      <c r="N289" s="27"/>
      <c r="O289" s="27"/>
      <c r="P289" s="27"/>
      <c r="Q289" s="27"/>
      <c r="R289" s="27"/>
      <c r="S289" s="27"/>
    </row>
    <row r="290" spans="14:19" x14ac:dyDescent="0.3">
      <c r="N290" s="27"/>
      <c r="O290" s="27"/>
      <c r="P290" s="27"/>
      <c r="Q290" s="27"/>
      <c r="R290" s="27"/>
      <c r="S290" s="27"/>
    </row>
    <row r="291" spans="14:19" x14ac:dyDescent="0.3">
      <c r="N291" s="27"/>
      <c r="O291" s="27"/>
      <c r="P291" s="27"/>
      <c r="Q291" s="27"/>
      <c r="R291" s="27"/>
      <c r="S291" s="27"/>
    </row>
    <row r="292" spans="14:19" x14ac:dyDescent="0.3">
      <c r="N292" s="27"/>
      <c r="O292" s="27"/>
      <c r="P292" s="27"/>
      <c r="Q292" s="27"/>
      <c r="R292" s="27"/>
      <c r="S292" s="27"/>
    </row>
    <row r="293" spans="14:19" x14ac:dyDescent="0.3">
      <c r="N293" s="27"/>
      <c r="O293" s="27"/>
      <c r="P293" s="27"/>
      <c r="Q293" s="27"/>
      <c r="R293" s="27"/>
      <c r="S293" s="27"/>
    </row>
    <row r="294" spans="14:19" x14ac:dyDescent="0.3">
      <c r="N294" s="27"/>
      <c r="O294" s="27"/>
      <c r="P294" s="27"/>
      <c r="Q294" s="27"/>
      <c r="R294" s="27"/>
      <c r="S294" s="27"/>
    </row>
    <row r="295" spans="14:19" x14ac:dyDescent="0.3">
      <c r="N295" s="27"/>
      <c r="O295" s="27"/>
      <c r="P295" s="27"/>
      <c r="Q295" s="27"/>
      <c r="R295" s="27"/>
      <c r="S295" s="27"/>
    </row>
    <row r="296" spans="14:19" x14ac:dyDescent="0.3">
      <c r="N296" s="27"/>
      <c r="O296" s="27"/>
      <c r="P296" s="27"/>
      <c r="Q296" s="27"/>
      <c r="R296" s="27"/>
      <c r="S296" s="27"/>
    </row>
    <row r="297" spans="14:19" x14ac:dyDescent="0.3">
      <c r="N297" s="27"/>
      <c r="O297" s="27"/>
      <c r="P297" s="27"/>
      <c r="Q297" s="27"/>
      <c r="R297" s="27"/>
      <c r="S297" s="27"/>
    </row>
    <row r="298" spans="14:19" x14ac:dyDescent="0.3">
      <c r="N298" s="27"/>
      <c r="O298" s="27"/>
      <c r="P298" s="27"/>
      <c r="Q298" s="27"/>
      <c r="R298" s="27"/>
      <c r="S298" s="27"/>
    </row>
  </sheetData>
  <pageMargins left="0.511811024" right="0.511811024" top="0.78740157499999996" bottom="0.78740157499999996" header="0.31496062000000002" footer="0.31496062000000002"/>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6F50C6-9DB2-4AD0-8D25-48E7615E0519}">
  <sheetPr>
    <tabColor theme="9" tint="0.59999389629810485"/>
  </sheetPr>
  <dimension ref="A1:AE297"/>
  <sheetViews>
    <sheetView showGridLines="0" topLeftCell="C5" workbookViewId="0">
      <selection activeCell="S12" sqref="S12"/>
    </sheetView>
  </sheetViews>
  <sheetFormatPr defaultColWidth="8.85546875" defaultRowHeight="18.75" x14ac:dyDescent="0.3"/>
  <cols>
    <col min="1" max="1" width="12.7109375" style="17" customWidth="1"/>
    <col min="2" max="2" width="26.140625" customWidth="1"/>
    <col min="4" max="4" width="44.28515625" bestFit="1" customWidth="1"/>
    <col min="5" max="5" width="4.5703125" customWidth="1"/>
    <col min="6" max="7" width="7.140625" bestFit="1" customWidth="1"/>
    <col min="8" max="8" width="9.28515625" bestFit="1" customWidth="1"/>
    <col min="9" max="11" width="12.42578125" bestFit="1" customWidth="1"/>
    <col min="12" max="12" width="15.140625" bestFit="1" customWidth="1"/>
    <col min="14" max="16" width="9" style="15" customWidth="1"/>
    <col min="17" max="31" width="8.85546875" style="15"/>
  </cols>
  <sheetData>
    <row r="1" spans="1:31" x14ac:dyDescent="0.3">
      <c r="A1" s="16" t="s">
        <v>221</v>
      </c>
      <c r="N1" s="14"/>
      <c r="O1" s="14"/>
      <c r="P1" s="14"/>
      <c r="Q1" s="14"/>
      <c r="R1" s="14"/>
      <c r="S1" s="14"/>
      <c r="T1" s="14"/>
      <c r="U1" s="14"/>
      <c r="V1" s="14"/>
      <c r="W1" s="14"/>
      <c r="X1" s="14"/>
      <c r="Y1" s="14"/>
      <c r="Z1" s="14"/>
      <c r="AA1" s="14"/>
      <c r="AB1" s="14"/>
      <c r="AC1" s="14"/>
      <c r="AD1" s="14"/>
      <c r="AE1" s="14"/>
    </row>
    <row r="2" spans="1:31" x14ac:dyDescent="0.3">
      <c r="A2" s="17" t="s">
        <v>222</v>
      </c>
      <c r="N2" s="14"/>
      <c r="O2" s="14"/>
      <c r="P2" s="14"/>
      <c r="Q2" s="14"/>
      <c r="R2" s="14"/>
      <c r="S2" s="14"/>
      <c r="T2" s="14"/>
      <c r="U2" s="14"/>
      <c r="V2" s="14"/>
      <c r="W2" s="14"/>
      <c r="X2" s="14"/>
      <c r="Y2" s="14"/>
      <c r="Z2" s="14"/>
      <c r="AA2" s="14"/>
      <c r="AB2" s="14"/>
      <c r="AC2" s="14"/>
      <c r="AD2" s="14"/>
      <c r="AE2" s="14"/>
    </row>
    <row r="4" spans="1:31" ht="15.75" x14ac:dyDescent="0.25">
      <c r="A4" s="2" t="s">
        <v>15</v>
      </c>
      <c r="B4" s="2" t="s">
        <v>16</v>
      </c>
    </row>
    <row r="5" spans="1:31" ht="15.75" x14ac:dyDescent="0.25">
      <c r="A5" s="23" t="s">
        <v>169</v>
      </c>
      <c r="B5" s="24" t="s">
        <v>171</v>
      </c>
    </row>
    <row r="6" spans="1:31" ht="31.5" x14ac:dyDescent="0.25">
      <c r="A6" s="23" t="s">
        <v>223</v>
      </c>
      <c r="B6" s="24" t="s">
        <v>224</v>
      </c>
    </row>
    <row r="7" spans="1:31" ht="15.75" x14ac:dyDescent="0.25">
      <c r="A7" s="23" t="s">
        <v>217</v>
      </c>
      <c r="B7" s="24" t="s">
        <v>218</v>
      </c>
    </row>
    <row r="8" spans="1:31" ht="63" x14ac:dyDescent="0.25">
      <c r="A8" s="23" t="s">
        <v>237</v>
      </c>
      <c r="B8" s="26" t="s">
        <v>238</v>
      </c>
    </row>
    <row r="9" spans="1:31" ht="31.5" x14ac:dyDescent="0.25">
      <c r="A9" s="23" t="s">
        <v>250</v>
      </c>
      <c r="B9" s="26" t="s">
        <v>273</v>
      </c>
      <c r="N9" s="61"/>
      <c r="S9" s="90"/>
    </row>
    <row r="10" spans="1:31" x14ac:dyDescent="0.3">
      <c r="D10" s="1" t="s">
        <v>17</v>
      </c>
      <c r="G10" s="13" t="s">
        <v>169</v>
      </c>
      <c r="H10" s="13" t="s">
        <v>219</v>
      </c>
      <c r="I10" s="13" t="s">
        <v>220</v>
      </c>
      <c r="J10" s="13" t="s">
        <v>236</v>
      </c>
      <c r="K10" s="13" t="s">
        <v>251</v>
      </c>
      <c r="L10" s="13" t="s">
        <v>395</v>
      </c>
      <c r="N10" s="61" t="s">
        <v>259</v>
      </c>
      <c r="S10" s="90" t="s">
        <v>260</v>
      </c>
    </row>
    <row r="11" spans="1:31" ht="18.75" customHeight="1" x14ac:dyDescent="0.3">
      <c r="D11" t="s">
        <v>182</v>
      </c>
      <c r="F11" s="50">
        <v>37257</v>
      </c>
      <c r="G11" s="53">
        <v>72.400000000000006</v>
      </c>
      <c r="H11" s="55">
        <v>3</v>
      </c>
      <c r="I11" s="55" t="b">
        <v>1</v>
      </c>
      <c r="J11" s="55" t="b">
        <v>1</v>
      </c>
      <c r="K11" s="55" t="b">
        <v>1</v>
      </c>
      <c r="L11" s="55" t="b">
        <v>0</v>
      </c>
      <c r="N11" s="54" cm="1">
        <f t="array" ref="N11:P28">_xlfn.LAMBDA(_xlpm.values,_xlop.nLeads,_xlop.fillWithNA,_xlop.allLeads,_xlop.descending,_xlop.headerFirstRow,
_xlfn.LET(
_xlpm.nLeads, IF(_xlfn.ISOMITTED(_xlpm.nLeads), 1, _xlpm.nLeads),
_xlpm.fillWithNA, IF(_xlfn.ISOMITTED(_xlpm.fillWithNA), TRUE, _xlpm.fillWithNA ),
_xlpm.allLeads, IF(_xlfn.ISOMITTED(_xlpm.allLeads), FALSE,_xlpm.allLeads),
_xlpm.headerFirstRow, IF(_xlfn.ISOMITTED(_xlpm.headerFirstRow), FALSE, _xlpm.headerFirstRow),
_xlpm.headers,IF(_xlpm.headerFirstRow, REPMAT(SLICE(_xlpm.values,1,1) &amp; "_LEAD", 1, _xlpm.nLeads * LARGE(1*_xlpm.allLeads, 1)) &amp; REVERSECOLS(_xlfn.SEQUENCE(1,_xlpm.nLeads * LARGE(1*_xlpm.allLeads, 1))), FALSE),
_xlpm.values,IF(_xlpm.headerFirstRow,SLICE(_xlpm.values,2,-1),_xlpm.values),
_xlpm.resultMatrix,
IF( OR( _xlpm.allLeads = FALSE, _xlpm.nLeads = 1),
IF(_xlpm.fillWithNA,
VERTCAT( SLICE(_xlpm.values,_xlpm.nLeads+1,-1), NA()*ONES(_xlpm.nLeads,1) ),
SLICE(_xlpm.values,_xlpm.nLeads+1,-1)
),
IF(_xlpm.fillWithNA,
HORZCAT( VERTCAT( SLICE(_xlpm.values,_xlpm.nLeads+1,-1), NA()*ONES(_xlpm.nLeads,1) ), LEAD(_xlpm.values,_xlpm.nLeads-1,_xlpm.fillWithNA,_xlpm.allLeads,TRUE) ),
HORZCAT( SLICE(_xlpm.values,_xlpm.nLeads+1,-1),  LEAD(_xlpm.values,_xlpm.nLeads-1,_xlpm.fillWithNA,_xlpm.allLeads,TRUE)  )
)),
_xlpm.resultMatrixHeaders, IF(_xlpm.headerFirstRow,VERTCAT(_xlpm.headers, _xlpm.resultMatrix), _xlpm.resultMatrix),
IF(_xlpm.descending,_xlpm.resultMatrixHeaders,REVERSECOLS(_xlpm.resultMatrixHeaders))
))($G$11:$G$28,$H$11,$I$11,$J$11,$K$11,$L$11)</f>
        <v>79.599999999999994</v>
      </c>
      <c r="O11" s="54">
        <v>77.400000000000006</v>
      </c>
      <c r="P11" s="15">
        <v>69.7</v>
      </c>
      <c r="S11" s="54" cm="1">
        <f t="array" ref="S11:U28">LEAD($G$11:$G$28,$H$11,$I$11,$J$11,$K$11,$L$11)</f>
        <v>79.599999999999994</v>
      </c>
      <c r="T11" s="15">
        <v>77.400000000000006</v>
      </c>
      <c r="U11" s="15">
        <v>69.7</v>
      </c>
    </row>
    <row r="12" spans="1:31" x14ac:dyDescent="0.3">
      <c r="D12" t="s">
        <v>183</v>
      </c>
      <c r="F12" s="50">
        <v>37288</v>
      </c>
      <c r="G12" s="53">
        <v>69.7</v>
      </c>
      <c r="N12" s="54">
        <v>80.400000000000006</v>
      </c>
      <c r="O12" s="54">
        <v>79.599999999999994</v>
      </c>
      <c r="P12" s="15">
        <v>77.400000000000006</v>
      </c>
      <c r="S12" s="54">
        <v>80.400000000000006</v>
      </c>
      <c r="T12" s="15">
        <v>79.599999999999994</v>
      </c>
      <c r="U12" s="15">
        <v>77.400000000000006</v>
      </c>
    </row>
    <row r="13" spans="1:31" x14ac:dyDescent="0.3">
      <c r="D13" t="s">
        <v>159</v>
      </c>
      <c r="F13" s="50">
        <v>37316</v>
      </c>
      <c r="G13" s="53">
        <v>77.400000000000006</v>
      </c>
      <c r="N13" s="54">
        <v>77.5</v>
      </c>
      <c r="O13" s="54">
        <v>80.400000000000006</v>
      </c>
      <c r="P13" s="15">
        <v>79.599999999999994</v>
      </c>
      <c r="S13" s="54">
        <v>77.5</v>
      </c>
      <c r="T13" s="15">
        <v>80.400000000000006</v>
      </c>
      <c r="U13" s="15">
        <v>79.599999999999994</v>
      </c>
    </row>
    <row r="14" spans="1:31" x14ac:dyDescent="0.3">
      <c r="D14" s="56"/>
      <c r="F14" s="50">
        <v>37347</v>
      </c>
      <c r="G14" s="53">
        <v>79.599999999999994</v>
      </c>
      <c r="N14" s="54">
        <v>83.3</v>
      </c>
      <c r="O14" s="54">
        <v>77.5</v>
      </c>
      <c r="P14" s="15">
        <v>80.400000000000006</v>
      </c>
      <c r="S14" s="54">
        <v>83.3</v>
      </c>
      <c r="T14" s="15">
        <v>77.5</v>
      </c>
      <c r="U14" s="15">
        <v>80.400000000000006</v>
      </c>
    </row>
    <row r="15" spans="1:31" x14ac:dyDescent="0.3">
      <c r="D15" s="56"/>
      <c r="F15" s="50">
        <v>37377</v>
      </c>
      <c r="G15" s="53">
        <v>80.400000000000006</v>
      </c>
      <c r="N15" s="54">
        <v>83.6</v>
      </c>
      <c r="O15" s="54">
        <v>83.3</v>
      </c>
      <c r="P15" s="15">
        <v>77.5</v>
      </c>
      <c r="S15" s="54">
        <v>83.6</v>
      </c>
      <c r="T15" s="15">
        <v>83.3</v>
      </c>
      <c r="U15" s="15">
        <v>77.5</v>
      </c>
    </row>
    <row r="16" spans="1:31" x14ac:dyDescent="0.3">
      <c r="D16" s="47"/>
      <c r="F16" s="50">
        <v>37408</v>
      </c>
      <c r="G16" s="53">
        <v>77.5</v>
      </c>
      <c r="N16" s="54">
        <v>82.1</v>
      </c>
      <c r="O16" s="54">
        <v>83.6</v>
      </c>
      <c r="P16" s="15">
        <v>83.3</v>
      </c>
      <c r="S16" s="54">
        <v>82.1</v>
      </c>
      <c r="T16" s="15">
        <v>83.6</v>
      </c>
      <c r="U16" s="15">
        <v>83.3</v>
      </c>
    </row>
    <row r="17" spans="6:21" x14ac:dyDescent="0.3">
      <c r="F17" s="50">
        <v>37438</v>
      </c>
      <c r="G17" s="53">
        <v>83.3</v>
      </c>
      <c r="N17" s="54">
        <v>89.2</v>
      </c>
      <c r="O17" s="54">
        <v>82.1</v>
      </c>
      <c r="P17" s="15">
        <v>83.6</v>
      </c>
      <c r="S17" s="54">
        <v>89.2</v>
      </c>
      <c r="T17" s="15">
        <v>82.1</v>
      </c>
      <c r="U17" s="15">
        <v>83.6</v>
      </c>
    </row>
    <row r="18" spans="6:21" x14ac:dyDescent="0.3">
      <c r="F18" s="50">
        <v>37469</v>
      </c>
      <c r="G18" s="53">
        <v>83.6</v>
      </c>
      <c r="N18" s="54">
        <v>83.9</v>
      </c>
      <c r="O18" s="54">
        <v>89.2</v>
      </c>
      <c r="P18" s="15">
        <v>82.1</v>
      </c>
      <c r="S18" s="54">
        <v>83.9</v>
      </c>
      <c r="T18" s="15">
        <v>89.2</v>
      </c>
      <c r="U18" s="15">
        <v>82.1</v>
      </c>
    </row>
    <row r="19" spans="6:21" x14ac:dyDescent="0.3">
      <c r="F19" s="50">
        <v>37500</v>
      </c>
      <c r="G19" s="53">
        <v>82.1</v>
      </c>
      <c r="N19" s="54">
        <v>74.599999999999994</v>
      </c>
      <c r="O19" s="54">
        <v>83.9</v>
      </c>
      <c r="P19" s="15">
        <v>89.2</v>
      </c>
      <c r="S19" s="54">
        <v>74.599999999999994</v>
      </c>
      <c r="T19" s="15">
        <v>83.9</v>
      </c>
      <c r="U19" s="15">
        <v>89.2</v>
      </c>
    </row>
    <row r="20" spans="6:21" x14ac:dyDescent="0.3">
      <c r="F20" s="50">
        <v>37530</v>
      </c>
      <c r="G20" s="53">
        <v>89.2</v>
      </c>
      <c r="N20" s="54">
        <v>74</v>
      </c>
      <c r="O20" s="54">
        <v>74.599999999999994</v>
      </c>
      <c r="P20" s="15">
        <v>83.9</v>
      </c>
      <c r="S20" s="54">
        <v>74</v>
      </c>
      <c r="T20" s="15">
        <v>74.599999999999994</v>
      </c>
      <c r="U20" s="15">
        <v>83.9</v>
      </c>
    </row>
    <row r="21" spans="6:21" x14ac:dyDescent="0.3">
      <c r="F21" s="50">
        <v>37561</v>
      </c>
      <c r="G21" s="53">
        <v>83.9</v>
      </c>
      <c r="N21" s="54">
        <v>71.8</v>
      </c>
      <c r="O21" s="54">
        <v>74</v>
      </c>
      <c r="P21" s="15">
        <v>74.599999999999994</v>
      </c>
      <c r="S21" s="54">
        <v>71.8</v>
      </c>
      <c r="T21" s="15">
        <v>74</v>
      </c>
      <c r="U21" s="15">
        <v>74.599999999999994</v>
      </c>
    </row>
    <row r="22" spans="6:21" x14ac:dyDescent="0.3">
      <c r="F22" s="50">
        <v>37591</v>
      </c>
      <c r="G22" s="53">
        <v>74.599999999999994</v>
      </c>
      <c r="N22" s="54">
        <v>77.400000000000006</v>
      </c>
      <c r="O22" s="54">
        <v>71.8</v>
      </c>
      <c r="P22" s="15">
        <v>74</v>
      </c>
      <c r="S22" s="54">
        <v>77.400000000000006</v>
      </c>
      <c r="T22" s="15">
        <v>71.8</v>
      </c>
      <c r="U22" s="15">
        <v>74</v>
      </c>
    </row>
    <row r="23" spans="6:21" x14ac:dyDescent="0.3">
      <c r="F23" s="50">
        <v>37622</v>
      </c>
      <c r="G23" s="53">
        <v>74</v>
      </c>
      <c r="N23" s="54">
        <v>76.5</v>
      </c>
      <c r="O23" s="54">
        <v>77.400000000000006</v>
      </c>
      <c r="P23" s="15">
        <v>71.8</v>
      </c>
      <c r="S23" s="54">
        <v>76.5</v>
      </c>
      <c r="T23" s="15">
        <v>77.400000000000006</v>
      </c>
      <c r="U23" s="15">
        <v>71.8</v>
      </c>
    </row>
    <row r="24" spans="6:21" x14ac:dyDescent="0.3">
      <c r="F24" s="50">
        <v>37653</v>
      </c>
      <c r="G24" s="53">
        <v>71.8</v>
      </c>
      <c r="N24" s="54">
        <v>79.7</v>
      </c>
      <c r="O24" s="54">
        <v>76.5</v>
      </c>
      <c r="P24" s="15">
        <v>77.400000000000006</v>
      </c>
      <c r="S24" s="54">
        <v>79.7</v>
      </c>
      <c r="T24" s="15">
        <v>76.5</v>
      </c>
      <c r="U24" s="15">
        <v>77.400000000000006</v>
      </c>
    </row>
    <row r="25" spans="6:21" x14ac:dyDescent="0.3">
      <c r="F25" s="50">
        <v>37681</v>
      </c>
      <c r="G25" s="53">
        <v>77.400000000000006</v>
      </c>
      <c r="N25" s="54">
        <v>76.3</v>
      </c>
      <c r="O25" s="54">
        <v>79.7</v>
      </c>
      <c r="P25" s="15">
        <v>76.5</v>
      </c>
      <c r="S25" s="54">
        <v>76.3</v>
      </c>
      <c r="T25" s="15">
        <v>79.7</v>
      </c>
      <c r="U25" s="15">
        <v>76.5</v>
      </c>
    </row>
    <row r="26" spans="6:21" x14ac:dyDescent="0.3">
      <c r="F26" s="50">
        <v>37712</v>
      </c>
      <c r="G26" s="53">
        <v>76.5</v>
      </c>
      <c r="N26" s="54" t="e">
        <v>#N/A</v>
      </c>
      <c r="O26" s="54">
        <v>76.3</v>
      </c>
      <c r="P26" s="15">
        <v>79.7</v>
      </c>
      <c r="S26" s="54" t="e">
        <v>#N/A</v>
      </c>
      <c r="T26" s="15">
        <v>76.3</v>
      </c>
      <c r="U26" s="15">
        <v>79.7</v>
      </c>
    </row>
    <row r="27" spans="6:21" x14ac:dyDescent="0.3">
      <c r="F27" s="50">
        <v>37742</v>
      </c>
      <c r="G27" s="53">
        <v>79.7</v>
      </c>
      <c r="N27" s="54" t="e">
        <v>#N/A</v>
      </c>
      <c r="O27" s="54" t="e">
        <v>#N/A</v>
      </c>
      <c r="P27" s="15">
        <v>76.3</v>
      </c>
      <c r="S27" s="54" t="e">
        <v>#N/A</v>
      </c>
      <c r="T27" s="15" t="e">
        <v>#N/A</v>
      </c>
      <c r="U27" s="15">
        <v>76.3</v>
      </c>
    </row>
    <row r="28" spans="6:21" x14ac:dyDescent="0.3">
      <c r="F28" s="50">
        <v>37773</v>
      </c>
      <c r="G28" s="53">
        <v>76.3</v>
      </c>
      <c r="N28" s="54" t="e">
        <v>#N/A</v>
      </c>
      <c r="O28" s="54" t="e">
        <v>#N/A</v>
      </c>
      <c r="P28" s="15" t="e">
        <v>#N/A</v>
      </c>
      <c r="S28" s="54" t="e">
        <v>#N/A</v>
      </c>
      <c r="T28" s="15" t="e">
        <v>#N/A</v>
      </c>
      <c r="U28" s="15" t="e">
        <v>#N/A</v>
      </c>
    </row>
    <row r="29" spans="6:21" x14ac:dyDescent="0.3">
      <c r="N29" s="54"/>
      <c r="O29" s="54"/>
      <c r="S29" s="54"/>
    </row>
    <row r="30" spans="6:21" x14ac:dyDescent="0.3">
      <c r="N30" s="54"/>
      <c r="O30" s="54"/>
      <c r="S30" s="54"/>
    </row>
    <row r="31" spans="6:21" x14ac:dyDescent="0.3">
      <c r="G31" s="13" t="s">
        <v>169</v>
      </c>
      <c r="H31" s="13" t="s">
        <v>219</v>
      </c>
      <c r="I31" s="13" t="s">
        <v>220</v>
      </c>
      <c r="J31" s="13" t="s">
        <v>236</v>
      </c>
      <c r="K31" s="13" t="s">
        <v>251</v>
      </c>
      <c r="L31" s="13" t="s">
        <v>395</v>
      </c>
      <c r="N31" s="61" t="s">
        <v>259</v>
      </c>
      <c r="S31" s="90" t="s">
        <v>260</v>
      </c>
    </row>
    <row r="32" spans="6:21" x14ac:dyDescent="0.3">
      <c r="G32" s="53" t="s">
        <v>396</v>
      </c>
      <c r="H32" s="55">
        <v>3</v>
      </c>
      <c r="I32" s="55" t="b">
        <v>1</v>
      </c>
      <c r="J32" s="55" t="b">
        <v>1</v>
      </c>
      <c r="K32" s="55" t="b">
        <v>1</v>
      </c>
      <c r="L32" s="55" t="b">
        <v>1</v>
      </c>
      <c r="N32" s="54" t="str" cm="1">
        <f t="array" ref="N32:P50">_xlfn.LAMBDA(_xlpm.values,_xlop.nLeads,_xlop.fillWithNA,_xlop.allLeads,_xlop.descending,_xlop.headerFirstRow,
_xlfn.LET(
_xlpm.nLeads, IF(_xlfn.ISOMITTED(_xlpm.nLeads), 1, _xlpm.nLeads),
_xlpm.fillWithNA, IF(_xlfn.ISOMITTED(_xlpm.fillWithNA), TRUE, _xlpm.fillWithNA ),
_xlpm.allLeads, IF(_xlfn.ISOMITTED(_xlpm.allLeads), FALSE,_xlpm.allLeads),
_xlpm.headerFirstRow, IF(_xlfn.ISOMITTED(_xlpm.headerFirstRow), FALSE, _xlpm.headerFirstRow),
_xlpm.headers,IF(_xlpm.headerFirstRow, REPMAT(SLICE(_xlpm.values,1,1) &amp; "_LEAD", 1, _xlpm.nLeads * LARGE(1*_xlpm.allLeads, 1)) &amp; REVERSECOLS(_xlfn.SEQUENCE(1,_xlpm.nLeads * LARGE(1*_xlpm.allLeads, 1))), FALSE),
_xlpm.values,IF(_xlpm.headerFirstRow,SLICE(_xlpm.values,2,-1),_xlpm.values),
_xlpm.resultMatrix,
IF( OR( _xlpm.allLeads = FALSE, _xlpm.nLeads = 1),
IF(_xlpm.fillWithNA,
VERTCAT( SLICE(_xlpm.values,_xlpm.nLeads+1,-1), NA()*ONES(_xlpm.nLeads,1) ),
SLICE(_xlpm.values,_xlpm.nLeads+1,-1)
),
IF(_xlpm.fillWithNA,
HORZCAT( VERTCAT( SLICE(_xlpm.values,_xlpm.nLeads+1,-1), NA()*ONES(_xlpm.nLeads,1) ), LEAD(_xlpm.values,_xlpm.nLeads-1,_xlpm.fillWithNA,_xlpm.allLeads,TRUE) ),
HORZCAT( SLICE(_xlpm.values,_xlpm.nLeads+1,-1),  LEAD(_xlpm.values,_xlpm.nLeads-1,_xlpm.fillWithNA,_xlpm.allLeads,TRUE)  )
)),
_xlpm.resultMatrixHeaders, IF(_xlpm.headerFirstRow,VERTCAT(_xlpm.headers, _xlpm.resultMatrix), _xlpm.resultMatrix),
IF(_xlpm.descending,_xlpm.resultMatrixHeaders,REVERSECOLS(_xlpm.resultMatrixHeaders))
))($G$32:$G$50,$H$32,$I$32,$J$32,$K$32,$L$32)</f>
        <v>IP_LEAD3</v>
      </c>
      <c r="O32" s="54" t="str">
        <v>IP_LEAD2</v>
      </c>
      <c r="P32" s="15" t="str">
        <v>IP_LEAD1</v>
      </c>
      <c r="S32" s="54" t="str" cm="1">
        <f t="array" ref="S32:U50">LEAD($G$32:$G$50,$H$32,$I$32,$J$32,$K$32,$L$32)</f>
        <v>IP_LEAD3</v>
      </c>
      <c r="T32" s="15" t="str">
        <v>IP_LEAD2</v>
      </c>
      <c r="U32" s="15" t="str">
        <v>IP_LEAD1</v>
      </c>
    </row>
    <row r="33" spans="6:21" x14ac:dyDescent="0.3">
      <c r="F33" s="50">
        <v>37257</v>
      </c>
      <c r="G33" s="53">
        <v>72.400000000000006</v>
      </c>
      <c r="N33" s="54">
        <v>79.599999999999994</v>
      </c>
      <c r="O33" s="54">
        <v>77.400000000000006</v>
      </c>
      <c r="P33" s="15">
        <v>69.7</v>
      </c>
      <c r="S33" s="54">
        <v>79.599999999999994</v>
      </c>
      <c r="T33" s="15">
        <v>77.400000000000006</v>
      </c>
      <c r="U33" s="15">
        <v>69.7</v>
      </c>
    </row>
    <row r="34" spans="6:21" x14ac:dyDescent="0.3">
      <c r="F34" s="50">
        <v>37288</v>
      </c>
      <c r="G34" s="53">
        <v>69.7</v>
      </c>
      <c r="N34" s="54">
        <v>80.400000000000006</v>
      </c>
      <c r="O34" s="54">
        <v>79.599999999999994</v>
      </c>
      <c r="P34" s="15">
        <v>77.400000000000006</v>
      </c>
      <c r="S34" s="54">
        <v>80.400000000000006</v>
      </c>
      <c r="T34" s="15">
        <v>79.599999999999994</v>
      </c>
      <c r="U34" s="15">
        <v>77.400000000000006</v>
      </c>
    </row>
    <row r="35" spans="6:21" x14ac:dyDescent="0.3">
      <c r="F35" s="50">
        <v>37316</v>
      </c>
      <c r="G35" s="53">
        <v>77.400000000000006</v>
      </c>
      <c r="N35" s="54">
        <v>77.5</v>
      </c>
      <c r="O35" s="54">
        <v>80.400000000000006</v>
      </c>
      <c r="P35" s="15">
        <v>79.599999999999994</v>
      </c>
      <c r="S35" s="54">
        <v>77.5</v>
      </c>
      <c r="T35" s="15">
        <v>80.400000000000006</v>
      </c>
      <c r="U35" s="15">
        <v>79.599999999999994</v>
      </c>
    </row>
    <row r="36" spans="6:21" x14ac:dyDescent="0.3">
      <c r="F36" s="50">
        <v>37347</v>
      </c>
      <c r="G36" s="53">
        <v>79.599999999999994</v>
      </c>
      <c r="N36" s="54">
        <v>83.3</v>
      </c>
      <c r="O36" s="54">
        <v>77.5</v>
      </c>
      <c r="P36" s="15">
        <v>80.400000000000006</v>
      </c>
      <c r="S36" s="54">
        <v>83.3</v>
      </c>
      <c r="T36" s="15">
        <v>77.5</v>
      </c>
      <c r="U36" s="15">
        <v>80.400000000000006</v>
      </c>
    </row>
    <row r="37" spans="6:21" x14ac:dyDescent="0.3">
      <c r="F37" s="50">
        <v>37377</v>
      </c>
      <c r="G37" s="53">
        <v>80.400000000000006</v>
      </c>
      <c r="N37" s="54">
        <v>83.6</v>
      </c>
      <c r="O37" s="54">
        <v>83.3</v>
      </c>
      <c r="P37" s="15">
        <v>77.5</v>
      </c>
      <c r="S37" s="54">
        <v>83.6</v>
      </c>
      <c r="T37" s="15">
        <v>83.3</v>
      </c>
      <c r="U37" s="15">
        <v>77.5</v>
      </c>
    </row>
    <row r="38" spans="6:21" x14ac:dyDescent="0.3">
      <c r="F38" s="50">
        <v>37408</v>
      </c>
      <c r="G38" s="53">
        <v>77.5</v>
      </c>
      <c r="N38" s="54">
        <v>82.1</v>
      </c>
      <c r="O38" s="54">
        <v>83.6</v>
      </c>
      <c r="P38" s="15">
        <v>83.3</v>
      </c>
      <c r="S38" s="54">
        <v>82.1</v>
      </c>
      <c r="T38" s="15">
        <v>83.6</v>
      </c>
      <c r="U38" s="15">
        <v>83.3</v>
      </c>
    </row>
    <row r="39" spans="6:21" x14ac:dyDescent="0.3">
      <c r="F39" s="50">
        <v>37438</v>
      </c>
      <c r="G39" s="53">
        <v>83.3</v>
      </c>
      <c r="N39" s="54">
        <v>89.2</v>
      </c>
      <c r="O39" s="54">
        <v>82.1</v>
      </c>
      <c r="P39" s="15">
        <v>83.6</v>
      </c>
      <c r="S39" s="54">
        <v>89.2</v>
      </c>
      <c r="T39" s="15">
        <v>82.1</v>
      </c>
      <c r="U39" s="15">
        <v>83.6</v>
      </c>
    </row>
    <row r="40" spans="6:21" x14ac:dyDescent="0.3">
      <c r="F40" s="50">
        <v>37469</v>
      </c>
      <c r="G40" s="53">
        <v>83.6</v>
      </c>
      <c r="N40" s="54">
        <v>83.9</v>
      </c>
      <c r="O40" s="54">
        <v>89.2</v>
      </c>
      <c r="P40" s="15">
        <v>82.1</v>
      </c>
      <c r="S40" s="54">
        <v>83.9</v>
      </c>
      <c r="T40" s="15">
        <v>89.2</v>
      </c>
      <c r="U40" s="15">
        <v>82.1</v>
      </c>
    </row>
    <row r="41" spans="6:21" x14ac:dyDescent="0.3">
      <c r="F41" s="50">
        <v>37500</v>
      </c>
      <c r="G41" s="53">
        <v>82.1</v>
      </c>
      <c r="N41" s="54">
        <v>74.599999999999994</v>
      </c>
      <c r="O41" s="54">
        <v>83.9</v>
      </c>
      <c r="P41" s="15">
        <v>89.2</v>
      </c>
      <c r="S41" s="54">
        <v>74.599999999999994</v>
      </c>
      <c r="T41" s="15">
        <v>83.9</v>
      </c>
      <c r="U41" s="15">
        <v>89.2</v>
      </c>
    </row>
    <row r="42" spans="6:21" x14ac:dyDescent="0.3">
      <c r="F42" s="50">
        <v>37530</v>
      </c>
      <c r="G42" s="53">
        <v>89.2</v>
      </c>
      <c r="N42" s="54">
        <v>74</v>
      </c>
      <c r="O42" s="54">
        <v>74.599999999999994</v>
      </c>
      <c r="P42" s="15">
        <v>83.9</v>
      </c>
      <c r="S42" s="54">
        <v>74</v>
      </c>
      <c r="T42" s="15">
        <v>74.599999999999994</v>
      </c>
      <c r="U42" s="15">
        <v>83.9</v>
      </c>
    </row>
    <row r="43" spans="6:21" x14ac:dyDescent="0.3">
      <c r="F43" s="50">
        <v>37561</v>
      </c>
      <c r="G43" s="53">
        <v>83.9</v>
      </c>
      <c r="N43" s="54">
        <v>71.8</v>
      </c>
      <c r="O43" s="54">
        <v>74</v>
      </c>
      <c r="P43" s="15">
        <v>74.599999999999994</v>
      </c>
      <c r="S43" s="54">
        <v>71.8</v>
      </c>
      <c r="T43" s="15">
        <v>74</v>
      </c>
      <c r="U43" s="15">
        <v>74.599999999999994</v>
      </c>
    </row>
    <row r="44" spans="6:21" x14ac:dyDescent="0.3">
      <c r="F44" s="50">
        <v>37591</v>
      </c>
      <c r="G44" s="53">
        <v>74.599999999999994</v>
      </c>
      <c r="N44" s="54">
        <v>77.400000000000006</v>
      </c>
      <c r="O44" s="54">
        <v>71.8</v>
      </c>
      <c r="P44" s="15">
        <v>74</v>
      </c>
      <c r="S44" s="54">
        <v>77.400000000000006</v>
      </c>
      <c r="T44" s="15">
        <v>71.8</v>
      </c>
      <c r="U44" s="15">
        <v>74</v>
      </c>
    </row>
    <row r="45" spans="6:21" x14ac:dyDescent="0.3">
      <c r="F45" s="50">
        <v>37622</v>
      </c>
      <c r="G45" s="53">
        <v>74</v>
      </c>
      <c r="N45" s="54">
        <v>76.5</v>
      </c>
      <c r="O45" s="54">
        <v>77.400000000000006</v>
      </c>
      <c r="P45" s="15">
        <v>71.8</v>
      </c>
      <c r="S45" s="54">
        <v>76.5</v>
      </c>
      <c r="T45" s="15">
        <v>77.400000000000006</v>
      </c>
      <c r="U45" s="15">
        <v>71.8</v>
      </c>
    </row>
    <row r="46" spans="6:21" x14ac:dyDescent="0.3">
      <c r="F46" s="50">
        <v>37653</v>
      </c>
      <c r="G46" s="53">
        <v>71.8</v>
      </c>
      <c r="N46" s="54">
        <v>79.7</v>
      </c>
      <c r="O46" s="54">
        <v>76.5</v>
      </c>
      <c r="P46" s="15">
        <v>77.400000000000006</v>
      </c>
      <c r="S46" s="54">
        <v>79.7</v>
      </c>
      <c r="T46" s="15">
        <v>76.5</v>
      </c>
      <c r="U46" s="15">
        <v>77.400000000000006</v>
      </c>
    </row>
    <row r="47" spans="6:21" x14ac:dyDescent="0.3">
      <c r="F47" s="50">
        <v>37681</v>
      </c>
      <c r="G47" s="53">
        <v>77.400000000000006</v>
      </c>
      <c r="N47" s="54">
        <v>76.3</v>
      </c>
      <c r="O47" s="54">
        <v>79.7</v>
      </c>
      <c r="P47" s="15">
        <v>76.5</v>
      </c>
      <c r="S47" s="54">
        <v>76.3</v>
      </c>
      <c r="T47" s="15">
        <v>79.7</v>
      </c>
      <c r="U47" s="15">
        <v>76.5</v>
      </c>
    </row>
    <row r="48" spans="6:21" x14ac:dyDescent="0.3">
      <c r="F48" s="50">
        <v>37712</v>
      </c>
      <c r="G48" s="53">
        <v>76.5</v>
      </c>
      <c r="N48" s="54" t="e">
        <v>#N/A</v>
      </c>
      <c r="O48" s="54">
        <v>76.3</v>
      </c>
      <c r="P48" s="15">
        <v>79.7</v>
      </c>
      <c r="S48" s="54" t="e">
        <v>#N/A</v>
      </c>
      <c r="T48" s="15">
        <v>76.3</v>
      </c>
      <c r="U48" s="15">
        <v>79.7</v>
      </c>
    </row>
    <row r="49" spans="6:21" x14ac:dyDescent="0.3">
      <c r="F49" s="50">
        <v>37742</v>
      </c>
      <c r="G49" s="53">
        <v>79.7</v>
      </c>
      <c r="N49" s="54" t="e">
        <v>#N/A</v>
      </c>
      <c r="O49" s="54" t="e">
        <v>#N/A</v>
      </c>
      <c r="P49" s="15">
        <v>76.3</v>
      </c>
      <c r="S49" s="54" t="e">
        <v>#N/A</v>
      </c>
      <c r="T49" s="15" t="e">
        <v>#N/A</v>
      </c>
      <c r="U49" s="15">
        <v>76.3</v>
      </c>
    </row>
    <row r="50" spans="6:21" x14ac:dyDescent="0.3">
      <c r="F50" s="50">
        <v>37773</v>
      </c>
      <c r="G50" s="53">
        <v>76.3</v>
      </c>
      <c r="N50" s="54" t="e">
        <v>#N/A</v>
      </c>
      <c r="O50" s="54" t="e">
        <v>#N/A</v>
      </c>
      <c r="P50" s="15" t="e">
        <v>#N/A</v>
      </c>
      <c r="S50" s="54" t="e">
        <v>#N/A</v>
      </c>
      <c r="T50" s="15" t="e">
        <v>#N/A</v>
      </c>
      <c r="U50" s="15" t="e">
        <v>#N/A</v>
      </c>
    </row>
    <row r="51" spans="6:21" x14ac:dyDescent="0.3">
      <c r="N51" s="54"/>
      <c r="O51" s="54"/>
      <c r="S51" s="54"/>
    </row>
    <row r="52" spans="6:21" x14ac:dyDescent="0.3">
      <c r="N52" s="54"/>
      <c r="O52" s="54"/>
      <c r="S52" s="54"/>
    </row>
    <row r="53" spans="6:21" x14ac:dyDescent="0.3">
      <c r="N53" s="54"/>
      <c r="O53" s="54"/>
      <c r="S53" s="54"/>
    </row>
    <row r="54" spans="6:21" x14ac:dyDescent="0.3">
      <c r="N54" s="54"/>
      <c r="O54" s="54"/>
      <c r="S54" s="54"/>
    </row>
    <row r="55" spans="6:21" x14ac:dyDescent="0.3">
      <c r="N55" s="54"/>
      <c r="O55" s="54"/>
      <c r="S55" s="54"/>
    </row>
    <row r="56" spans="6:21" x14ac:dyDescent="0.3">
      <c r="N56" s="54"/>
      <c r="O56" s="54"/>
      <c r="S56" s="54"/>
    </row>
    <row r="57" spans="6:21" x14ac:dyDescent="0.3">
      <c r="N57" s="54"/>
      <c r="O57" s="54"/>
      <c r="S57" s="54"/>
    </row>
    <row r="58" spans="6:21" x14ac:dyDescent="0.3">
      <c r="N58" s="54"/>
      <c r="O58" s="54"/>
      <c r="S58" s="54"/>
    </row>
    <row r="59" spans="6:21" x14ac:dyDescent="0.3">
      <c r="N59" s="54"/>
      <c r="O59" s="54"/>
      <c r="S59" s="54"/>
    </row>
    <row r="60" spans="6:21" x14ac:dyDescent="0.3">
      <c r="N60" s="54"/>
      <c r="O60" s="54"/>
      <c r="S60" s="54"/>
    </row>
    <row r="61" spans="6:21" x14ac:dyDescent="0.3">
      <c r="N61" s="54"/>
      <c r="O61" s="54"/>
      <c r="S61" s="54"/>
    </row>
    <row r="62" spans="6:21" x14ac:dyDescent="0.3">
      <c r="N62" s="54"/>
      <c r="O62" s="54"/>
      <c r="S62" s="54"/>
    </row>
    <row r="63" spans="6:21" x14ac:dyDescent="0.3">
      <c r="N63" s="54"/>
      <c r="O63" s="54"/>
      <c r="S63" s="54"/>
    </row>
    <row r="64" spans="6:21" x14ac:dyDescent="0.3">
      <c r="N64" s="54"/>
      <c r="O64" s="54"/>
      <c r="S64" s="54"/>
    </row>
    <row r="65" spans="14:19" x14ac:dyDescent="0.3">
      <c r="N65" s="54"/>
      <c r="O65" s="54"/>
      <c r="S65" s="54"/>
    </row>
    <row r="66" spans="14:19" x14ac:dyDescent="0.3">
      <c r="N66" s="54"/>
      <c r="O66" s="54"/>
      <c r="S66" s="54"/>
    </row>
    <row r="67" spans="14:19" x14ac:dyDescent="0.3">
      <c r="N67" s="54"/>
      <c r="O67" s="54"/>
      <c r="S67" s="54"/>
    </row>
    <row r="68" spans="14:19" x14ac:dyDescent="0.3">
      <c r="N68" s="54"/>
      <c r="O68" s="54"/>
      <c r="S68" s="54"/>
    </row>
    <row r="69" spans="14:19" x14ac:dyDescent="0.3">
      <c r="N69" s="54"/>
      <c r="O69" s="54"/>
      <c r="S69" s="54"/>
    </row>
    <row r="70" spans="14:19" x14ac:dyDescent="0.3">
      <c r="N70" s="54"/>
      <c r="O70" s="54"/>
      <c r="S70" s="54"/>
    </row>
    <row r="71" spans="14:19" x14ac:dyDescent="0.3">
      <c r="N71" s="54"/>
      <c r="O71" s="54"/>
      <c r="S71" s="54"/>
    </row>
    <row r="72" spans="14:19" x14ac:dyDescent="0.3">
      <c r="N72" s="54"/>
      <c r="O72" s="54"/>
      <c r="S72" s="54"/>
    </row>
    <row r="73" spans="14:19" x14ac:dyDescent="0.3">
      <c r="N73" s="54"/>
      <c r="O73" s="54"/>
      <c r="S73" s="54"/>
    </row>
    <row r="74" spans="14:19" x14ac:dyDescent="0.3">
      <c r="N74" s="54"/>
      <c r="O74" s="54"/>
      <c r="S74" s="54"/>
    </row>
    <row r="75" spans="14:19" x14ac:dyDescent="0.3">
      <c r="N75" s="54"/>
      <c r="O75" s="54"/>
      <c r="S75" s="54"/>
    </row>
    <row r="76" spans="14:19" x14ac:dyDescent="0.3">
      <c r="N76" s="54"/>
      <c r="O76" s="54"/>
      <c r="S76" s="54"/>
    </row>
    <row r="77" spans="14:19" x14ac:dyDescent="0.3">
      <c r="N77" s="54"/>
      <c r="O77" s="54"/>
      <c r="S77" s="54"/>
    </row>
    <row r="78" spans="14:19" x14ac:dyDescent="0.3">
      <c r="N78" s="54"/>
      <c r="O78" s="54"/>
      <c r="S78" s="54"/>
    </row>
    <row r="79" spans="14:19" x14ac:dyDescent="0.3">
      <c r="N79" s="54"/>
      <c r="O79" s="54"/>
      <c r="S79" s="54"/>
    </row>
    <row r="80" spans="14:19" x14ac:dyDescent="0.3">
      <c r="N80" s="54"/>
      <c r="O80" s="54"/>
      <c r="S80" s="54"/>
    </row>
    <row r="81" spans="14:19" x14ac:dyDescent="0.3">
      <c r="N81" s="54"/>
      <c r="O81" s="54"/>
      <c r="S81" s="54"/>
    </row>
    <row r="82" spans="14:19" x14ac:dyDescent="0.3">
      <c r="N82" s="54"/>
      <c r="O82" s="54"/>
      <c r="S82" s="54"/>
    </row>
    <row r="83" spans="14:19" x14ac:dyDescent="0.3">
      <c r="N83" s="54"/>
      <c r="O83" s="54"/>
      <c r="S83" s="54"/>
    </row>
    <row r="84" spans="14:19" x14ac:dyDescent="0.3">
      <c r="N84" s="54"/>
      <c r="O84" s="54"/>
      <c r="S84" s="54"/>
    </row>
    <row r="85" spans="14:19" x14ac:dyDescent="0.3">
      <c r="N85" s="54"/>
      <c r="O85" s="54"/>
      <c r="S85" s="54"/>
    </row>
    <row r="86" spans="14:19" x14ac:dyDescent="0.3">
      <c r="N86" s="54"/>
      <c r="O86" s="54"/>
      <c r="S86" s="54"/>
    </row>
    <row r="87" spans="14:19" x14ac:dyDescent="0.3">
      <c r="N87" s="54"/>
      <c r="O87" s="54"/>
      <c r="S87" s="54"/>
    </row>
    <row r="88" spans="14:19" x14ac:dyDescent="0.3">
      <c r="N88" s="54"/>
      <c r="O88" s="54"/>
      <c r="S88" s="54"/>
    </row>
    <row r="89" spans="14:19" x14ac:dyDescent="0.3">
      <c r="N89" s="54"/>
      <c r="O89" s="54"/>
      <c r="S89" s="54"/>
    </row>
    <row r="90" spans="14:19" x14ac:dyDescent="0.3">
      <c r="N90" s="54"/>
      <c r="O90" s="54"/>
      <c r="S90" s="54"/>
    </row>
    <row r="91" spans="14:19" x14ac:dyDescent="0.3">
      <c r="N91" s="54"/>
      <c r="O91" s="54"/>
      <c r="S91" s="54"/>
    </row>
    <row r="92" spans="14:19" x14ac:dyDescent="0.3">
      <c r="N92" s="54"/>
      <c r="O92" s="54"/>
      <c r="S92" s="54"/>
    </row>
    <row r="93" spans="14:19" x14ac:dyDescent="0.3">
      <c r="N93" s="54"/>
      <c r="O93" s="54"/>
      <c r="S93" s="54"/>
    </row>
    <row r="94" spans="14:19" x14ac:dyDescent="0.3">
      <c r="N94" s="54"/>
      <c r="O94" s="54"/>
      <c r="S94" s="54"/>
    </row>
    <row r="95" spans="14:19" x14ac:dyDescent="0.3">
      <c r="N95" s="54"/>
      <c r="O95" s="54"/>
      <c r="S95" s="54"/>
    </row>
    <row r="96" spans="14:19" x14ac:dyDescent="0.3">
      <c r="N96" s="54"/>
      <c r="O96" s="54"/>
      <c r="S96" s="54"/>
    </row>
    <row r="97" spans="14:19" x14ac:dyDescent="0.3">
      <c r="N97" s="54"/>
      <c r="O97" s="54"/>
      <c r="S97" s="54"/>
    </row>
    <row r="98" spans="14:19" x14ac:dyDescent="0.3">
      <c r="N98" s="54"/>
      <c r="O98" s="54"/>
      <c r="S98" s="54"/>
    </row>
    <row r="99" spans="14:19" x14ac:dyDescent="0.3">
      <c r="N99" s="54"/>
      <c r="O99" s="54"/>
      <c r="S99" s="54"/>
    </row>
    <row r="100" spans="14:19" x14ac:dyDescent="0.3">
      <c r="N100" s="54"/>
      <c r="O100" s="54"/>
      <c r="S100" s="54"/>
    </row>
    <row r="101" spans="14:19" x14ac:dyDescent="0.3">
      <c r="N101" s="54"/>
      <c r="O101" s="54"/>
      <c r="S101" s="54"/>
    </row>
    <row r="102" spans="14:19" x14ac:dyDescent="0.3">
      <c r="N102" s="54"/>
      <c r="O102" s="54"/>
      <c r="S102" s="54"/>
    </row>
    <row r="103" spans="14:19" x14ac:dyDescent="0.3">
      <c r="N103" s="54"/>
      <c r="O103" s="54"/>
      <c r="S103" s="54"/>
    </row>
    <row r="104" spans="14:19" x14ac:dyDescent="0.3">
      <c r="N104" s="54"/>
      <c r="O104" s="54"/>
      <c r="S104" s="54"/>
    </row>
    <row r="105" spans="14:19" x14ac:dyDescent="0.3">
      <c r="N105" s="54"/>
      <c r="O105" s="54"/>
      <c r="S105" s="54"/>
    </row>
    <row r="106" spans="14:19" x14ac:dyDescent="0.3">
      <c r="N106" s="54"/>
      <c r="O106" s="54"/>
      <c r="S106" s="54"/>
    </row>
    <row r="107" spans="14:19" x14ac:dyDescent="0.3">
      <c r="N107" s="54"/>
      <c r="O107" s="54"/>
      <c r="S107" s="54"/>
    </row>
    <row r="108" spans="14:19" x14ac:dyDescent="0.3">
      <c r="N108" s="54"/>
      <c r="O108" s="54"/>
      <c r="S108" s="54"/>
    </row>
    <row r="109" spans="14:19" x14ac:dyDescent="0.3">
      <c r="N109" s="54"/>
      <c r="O109" s="54"/>
      <c r="S109" s="54"/>
    </row>
    <row r="110" spans="14:19" x14ac:dyDescent="0.3">
      <c r="N110" s="54"/>
      <c r="O110" s="54"/>
      <c r="S110" s="54"/>
    </row>
    <row r="111" spans="14:19" x14ac:dyDescent="0.3">
      <c r="N111" s="54"/>
      <c r="O111" s="54"/>
      <c r="S111" s="54"/>
    </row>
    <row r="112" spans="14:19" x14ac:dyDescent="0.3">
      <c r="N112" s="54"/>
      <c r="O112" s="54"/>
      <c r="S112" s="54"/>
    </row>
    <row r="113" spans="14:19" x14ac:dyDescent="0.3">
      <c r="N113" s="54"/>
      <c r="O113" s="54"/>
      <c r="S113" s="54"/>
    </row>
    <row r="114" spans="14:19" x14ac:dyDescent="0.3">
      <c r="N114" s="54"/>
      <c r="O114" s="54"/>
      <c r="S114" s="54"/>
    </row>
    <row r="115" spans="14:19" x14ac:dyDescent="0.3">
      <c r="N115" s="54"/>
      <c r="O115" s="54"/>
      <c r="S115" s="54"/>
    </row>
    <row r="116" spans="14:19" x14ac:dyDescent="0.3">
      <c r="N116" s="54"/>
      <c r="O116" s="54"/>
      <c r="S116" s="54"/>
    </row>
    <row r="117" spans="14:19" x14ac:dyDescent="0.3">
      <c r="N117" s="54"/>
      <c r="O117" s="54"/>
      <c r="S117" s="54"/>
    </row>
    <row r="118" spans="14:19" x14ac:dyDescent="0.3">
      <c r="N118" s="54"/>
      <c r="O118" s="54"/>
      <c r="S118" s="54"/>
    </row>
    <row r="119" spans="14:19" x14ac:dyDescent="0.3">
      <c r="N119" s="54"/>
      <c r="O119" s="54"/>
      <c r="S119" s="54"/>
    </row>
    <row r="120" spans="14:19" x14ac:dyDescent="0.3">
      <c r="N120" s="54"/>
      <c r="O120" s="54"/>
      <c r="S120" s="54"/>
    </row>
    <row r="121" spans="14:19" x14ac:dyDescent="0.3">
      <c r="N121" s="54"/>
      <c r="O121" s="54"/>
      <c r="S121" s="54"/>
    </row>
    <row r="122" spans="14:19" x14ac:dyDescent="0.3">
      <c r="N122" s="54"/>
      <c r="O122" s="54"/>
      <c r="S122" s="54"/>
    </row>
    <row r="123" spans="14:19" x14ac:dyDescent="0.3">
      <c r="N123" s="54"/>
      <c r="O123" s="54"/>
      <c r="S123" s="54"/>
    </row>
    <row r="124" spans="14:19" x14ac:dyDescent="0.3">
      <c r="N124" s="54"/>
      <c r="O124" s="54"/>
      <c r="S124" s="54"/>
    </row>
    <row r="125" spans="14:19" x14ac:dyDescent="0.3">
      <c r="N125" s="54"/>
      <c r="O125" s="54"/>
      <c r="S125" s="54"/>
    </row>
    <row r="126" spans="14:19" x14ac:dyDescent="0.3">
      <c r="N126" s="54"/>
      <c r="O126" s="54"/>
      <c r="S126" s="54"/>
    </row>
    <row r="127" spans="14:19" x14ac:dyDescent="0.3">
      <c r="N127" s="54"/>
      <c r="O127" s="54"/>
      <c r="S127" s="54"/>
    </row>
    <row r="128" spans="14:19" x14ac:dyDescent="0.3">
      <c r="N128" s="54"/>
      <c r="O128" s="54"/>
      <c r="S128" s="54"/>
    </row>
    <row r="129" spans="14:19" x14ac:dyDescent="0.3">
      <c r="N129" s="54"/>
      <c r="O129" s="54"/>
      <c r="S129" s="54"/>
    </row>
    <row r="130" spans="14:19" x14ac:dyDescent="0.3">
      <c r="N130" s="54"/>
      <c r="O130" s="54"/>
      <c r="S130" s="54"/>
    </row>
    <row r="131" spans="14:19" x14ac:dyDescent="0.3">
      <c r="N131" s="54"/>
      <c r="O131" s="54"/>
      <c r="S131" s="54"/>
    </row>
    <row r="132" spans="14:19" x14ac:dyDescent="0.3">
      <c r="N132" s="54"/>
      <c r="O132" s="54"/>
      <c r="S132" s="54"/>
    </row>
    <row r="133" spans="14:19" x14ac:dyDescent="0.3">
      <c r="N133" s="54"/>
      <c r="O133" s="54"/>
      <c r="S133" s="54"/>
    </row>
    <row r="134" spans="14:19" x14ac:dyDescent="0.3">
      <c r="N134" s="54"/>
      <c r="O134" s="54"/>
      <c r="S134" s="54"/>
    </row>
    <row r="135" spans="14:19" x14ac:dyDescent="0.3">
      <c r="N135" s="54"/>
      <c r="O135" s="54"/>
      <c r="S135" s="54"/>
    </row>
    <row r="136" spans="14:19" x14ac:dyDescent="0.3">
      <c r="N136" s="54"/>
      <c r="O136" s="54"/>
      <c r="S136" s="54"/>
    </row>
    <row r="137" spans="14:19" x14ac:dyDescent="0.3">
      <c r="N137" s="54"/>
      <c r="O137" s="54"/>
      <c r="S137" s="54"/>
    </row>
    <row r="138" spans="14:19" x14ac:dyDescent="0.3">
      <c r="N138" s="54"/>
      <c r="O138" s="54"/>
      <c r="S138" s="54"/>
    </row>
    <row r="139" spans="14:19" x14ac:dyDescent="0.3">
      <c r="N139" s="54"/>
      <c r="O139" s="54"/>
      <c r="S139" s="54"/>
    </row>
    <row r="140" spans="14:19" x14ac:dyDescent="0.3">
      <c r="N140" s="54"/>
      <c r="O140" s="54"/>
      <c r="S140" s="54"/>
    </row>
    <row r="141" spans="14:19" x14ac:dyDescent="0.3">
      <c r="N141" s="54"/>
      <c r="O141" s="54"/>
      <c r="S141" s="54"/>
    </row>
    <row r="142" spans="14:19" x14ac:dyDescent="0.3">
      <c r="N142" s="54"/>
      <c r="O142" s="54"/>
      <c r="S142" s="54"/>
    </row>
    <row r="143" spans="14:19" x14ac:dyDescent="0.3">
      <c r="N143" s="54"/>
      <c r="O143" s="54"/>
      <c r="S143" s="54"/>
    </row>
    <row r="144" spans="14:19" x14ac:dyDescent="0.3">
      <c r="N144" s="54"/>
      <c r="O144" s="54"/>
      <c r="S144" s="54"/>
    </row>
    <row r="145" spans="14:19" x14ac:dyDescent="0.3">
      <c r="N145" s="54"/>
      <c r="O145" s="54"/>
      <c r="S145" s="54"/>
    </row>
    <row r="146" spans="14:19" x14ac:dyDescent="0.3">
      <c r="N146" s="54"/>
      <c r="O146" s="54"/>
      <c r="S146" s="54"/>
    </row>
    <row r="147" spans="14:19" x14ac:dyDescent="0.3">
      <c r="N147" s="54"/>
      <c r="O147" s="54"/>
      <c r="S147" s="54"/>
    </row>
    <row r="148" spans="14:19" x14ac:dyDescent="0.3">
      <c r="N148" s="54"/>
      <c r="O148" s="54"/>
      <c r="S148" s="54"/>
    </row>
    <row r="149" spans="14:19" x14ac:dyDescent="0.3">
      <c r="N149" s="54"/>
      <c r="O149" s="54"/>
      <c r="S149" s="54"/>
    </row>
    <row r="150" spans="14:19" x14ac:dyDescent="0.3">
      <c r="N150" s="54"/>
      <c r="O150" s="54"/>
      <c r="S150" s="54"/>
    </row>
    <row r="151" spans="14:19" x14ac:dyDescent="0.3">
      <c r="N151" s="54"/>
      <c r="O151" s="54"/>
      <c r="S151" s="54"/>
    </row>
    <row r="152" spans="14:19" x14ac:dyDescent="0.3">
      <c r="N152" s="54"/>
      <c r="O152" s="54"/>
      <c r="S152" s="54"/>
    </row>
    <row r="153" spans="14:19" x14ac:dyDescent="0.3">
      <c r="N153" s="54"/>
      <c r="O153" s="54"/>
      <c r="S153" s="54"/>
    </row>
    <row r="154" spans="14:19" x14ac:dyDescent="0.3">
      <c r="N154" s="54"/>
      <c r="O154" s="54"/>
      <c r="S154" s="54"/>
    </row>
    <row r="155" spans="14:19" x14ac:dyDescent="0.3">
      <c r="N155" s="54"/>
      <c r="O155" s="54"/>
      <c r="S155" s="54"/>
    </row>
    <row r="156" spans="14:19" x14ac:dyDescent="0.3">
      <c r="N156" s="54"/>
      <c r="O156" s="54"/>
      <c r="S156" s="54"/>
    </row>
    <row r="157" spans="14:19" x14ac:dyDescent="0.3">
      <c r="N157" s="54"/>
      <c r="O157" s="54"/>
      <c r="S157" s="54"/>
    </row>
    <row r="158" spans="14:19" x14ac:dyDescent="0.3">
      <c r="N158" s="54"/>
      <c r="O158" s="54"/>
      <c r="S158" s="54"/>
    </row>
    <row r="159" spans="14:19" x14ac:dyDescent="0.3">
      <c r="N159" s="54"/>
      <c r="O159" s="54"/>
      <c r="S159" s="54"/>
    </row>
    <row r="160" spans="14:19" x14ac:dyDescent="0.3">
      <c r="N160" s="54"/>
      <c r="O160" s="54"/>
      <c r="S160" s="54"/>
    </row>
    <row r="161" spans="14:19" x14ac:dyDescent="0.3">
      <c r="N161" s="54"/>
      <c r="O161" s="54"/>
      <c r="S161" s="54"/>
    </row>
    <row r="162" spans="14:19" x14ac:dyDescent="0.3">
      <c r="N162" s="54"/>
      <c r="O162" s="54"/>
      <c r="S162" s="54"/>
    </row>
    <row r="163" spans="14:19" x14ac:dyDescent="0.3">
      <c r="N163" s="54"/>
      <c r="O163" s="54"/>
      <c r="S163" s="54"/>
    </row>
    <row r="164" spans="14:19" x14ac:dyDescent="0.3">
      <c r="N164" s="54"/>
      <c r="O164" s="54"/>
      <c r="S164" s="54"/>
    </row>
    <row r="165" spans="14:19" x14ac:dyDescent="0.3">
      <c r="N165" s="54"/>
      <c r="O165" s="54"/>
      <c r="S165" s="54"/>
    </row>
    <row r="166" spans="14:19" x14ac:dyDescent="0.3">
      <c r="N166" s="54"/>
      <c r="O166" s="54"/>
      <c r="S166" s="54"/>
    </row>
    <row r="167" spans="14:19" x14ac:dyDescent="0.3">
      <c r="N167" s="54"/>
      <c r="O167" s="54"/>
      <c r="S167" s="54"/>
    </row>
    <row r="168" spans="14:19" x14ac:dyDescent="0.3">
      <c r="N168" s="54"/>
      <c r="O168" s="54"/>
      <c r="S168" s="54"/>
    </row>
    <row r="169" spans="14:19" x14ac:dyDescent="0.3">
      <c r="N169" s="54"/>
      <c r="O169" s="54"/>
      <c r="S169" s="54"/>
    </row>
    <row r="170" spans="14:19" x14ac:dyDescent="0.3">
      <c r="N170" s="54"/>
      <c r="O170" s="54"/>
      <c r="S170" s="54"/>
    </row>
    <row r="171" spans="14:19" x14ac:dyDescent="0.3">
      <c r="N171" s="54"/>
      <c r="O171" s="54"/>
      <c r="S171" s="54"/>
    </row>
    <row r="172" spans="14:19" x14ac:dyDescent="0.3">
      <c r="N172" s="54"/>
      <c r="O172" s="54"/>
      <c r="S172" s="54"/>
    </row>
    <row r="173" spans="14:19" x14ac:dyDescent="0.3">
      <c r="N173" s="54"/>
      <c r="O173" s="54"/>
      <c r="S173" s="54"/>
    </row>
    <row r="174" spans="14:19" x14ac:dyDescent="0.3">
      <c r="N174" s="54"/>
      <c r="O174" s="54"/>
      <c r="S174" s="54"/>
    </row>
    <row r="175" spans="14:19" x14ac:dyDescent="0.3">
      <c r="N175" s="54"/>
      <c r="O175" s="54"/>
      <c r="S175" s="54"/>
    </row>
    <row r="176" spans="14:19" x14ac:dyDescent="0.3">
      <c r="N176" s="54"/>
      <c r="O176" s="54"/>
      <c r="S176" s="54"/>
    </row>
    <row r="177" spans="14:19" x14ac:dyDescent="0.3">
      <c r="N177" s="54"/>
      <c r="O177" s="54"/>
      <c r="S177" s="54"/>
    </row>
    <row r="178" spans="14:19" x14ac:dyDescent="0.3">
      <c r="N178" s="54"/>
      <c r="O178" s="54"/>
      <c r="S178" s="54"/>
    </row>
    <row r="179" spans="14:19" x14ac:dyDescent="0.3">
      <c r="N179" s="54"/>
      <c r="O179" s="54"/>
      <c r="S179" s="54"/>
    </row>
    <row r="180" spans="14:19" x14ac:dyDescent="0.3">
      <c r="N180" s="54"/>
      <c r="O180" s="54"/>
      <c r="S180" s="54"/>
    </row>
    <row r="181" spans="14:19" x14ac:dyDescent="0.3">
      <c r="N181" s="54"/>
      <c r="O181" s="54"/>
      <c r="S181" s="54"/>
    </row>
    <row r="182" spans="14:19" x14ac:dyDescent="0.3">
      <c r="N182" s="54"/>
      <c r="O182" s="54"/>
      <c r="S182" s="54"/>
    </row>
    <row r="183" spans="14:19" x14ac:dyDescent="0.3">
      <c r="N183" s="54"/>
      <c r="O183" s="54"/>
      <c r="S183" s="54"/>
    </row>
    <row r="184" spans="14:19" x14ac:dyDescent="0.3">
      <c r="N184" s="54"/>
      <c r="O184" s="54"/>
      <c r="S184" s="54"/>
    </row>
    <row r="185" spans="14:19" x14ac:dyDescent="0.3">
      <c r="N185" s="54"/>
      <c r="O185" s="54"/>
      <c r="S185" s="54"/>
    </row>
    <row r="186" spans="14:19" x14ac:dyDescent="0.3">
      <c r="N186" s="54"/>
      <c r="O186" s="54"/>
      <c r="S186" s="54"/>
    </row>
    <row r="187" spans="14:19" x14ac:dyDescent="0.3">
      <c r="N187" s="54"/>
      <c r="O187" s="54"/>
      <c r="S187" s="54"/>
    </row>
    <row r="188" spans="14:19" x14ac:dyDescent="0.3">
      <c r="N188" s="54"/>
      <c r="O188" s="54"/>
      <c r="S188" s="54"/>
    </row>
    <row r="189" spans="14:19" x14ac:dyDescent="0.3">
      <c r="N189" s="54"/>
      <c r="O189" s="54"/>
      <c r="S189" s="54"/>
    </row>
    <row r="190" spans="14:19" x14ac:dyDescent="0.3">
      <c r="N190" s="54"/>
      <c r="O190" s="54"/>
      <c r="S190" s="54"/>
    </row>
    <row r="191" spans="14:19" x14ac:dyDescent="0.3">
      <c r="N191" s="54"/>
      <c r="O191" s="54"/>
      <c r="S191" s="54"/>
    </row>
    <row r="192" spans="14:19" x14ac:dyDescent="0.3">
      <c r="N192" s="54"/>
      <c r="O192" s="54"/>
      <c r="S192" s="54"/>
    </row>
    <row r="193" spans="14:19" x14ac:dyDescent="0.3">
      <c r="N193" s="54"/>
      <c r="O193" s="54"/>
      <c r="S193" s="54"/>
    </row>
    <row r="194" spans="14:19" x14ac:dyDescent="0.3">
      <c r="N194" s="54"/>
      <c r="O194" s="54"/>
      <c r="S194" s="54"/>
    </row>
    <row r="195" spans="14:19" x14ac:dyDescent="0.3">
      <c r="N195" s="54"/>
      <c r="O195" s="54"/>
      <c r="S195" s="54"/>
    </row>
    <row r="196" spans="14:19" x14ac:dyDescent="0.3">
      <c r="N196" s="54"/>
      <c r="O196" s="54"/>
      <c r="S196" s="54"/>
    </row>
    <row r="197" spans="14:19" x14ac:dyDescent="0.3">
      <c r="N197" s="54"/>
      <c r="O197" s="54"/>
      <c r="S197" s="54"/>
    </row>
    <row r="198" spans="14:19" x14ac:dyDescent="0.3">
      <c r="N198" s="54"/>
      <c r="O198" s="54"/>
      <c r="S198" s="54"/>
    </row>
    <row r="199" spans="14:19" x14ac:dyDescent="0.3">
      <c r="N199" s="54"/>
      <c r="O199" s="54"/>
      <c r="S199" s="54"/>
    </row>
    <row r="200" spans="14:19" x14ac:dyDescent="0.3">
      <c r="N200" s="54"/>
      <c r="O200" s="54"/>
      <c r="S200" s="54"/>
    </row>
    <row r="201" spans="14:19" x14ac:dyDescent="0.3">
      <c r="N201" s="54"/>
      <c r="O201" s="54"/>
      <c r="S201" s="54"/>
    </row>
    <row r="202" spans="14:19" x14ac:dyDescent="0.3">
      <c r="N202" s="54"/>
      <c r="O202" s="54"/>
      <c r="S202" s="54"/>
    </row>
    <row r="203" spans="14:19" x14ac:dyDescent="0.3">
      <c r="N203" s="54"/>
      <c r="O203" s="54"/>
      <c r="S203" s="54"/>
    </row>
    <row r="204" spans="14:19" x14ac:dyDescent="0.3">
      <c r="N204" s="54"/>
      <c r="O204" s="54"/>
      <c r="S204" s="54"/>
    </row>
    <row r="205" spans="14:19" x14ac:dyDescent="0.3">
      <c r="N205" s="54"/>
      <c r="O205" s="54"/>
      <c r="S205" s="54"/>
    </row>
    <row r="206" spans="14:19" x14ac:dyDescent="0.3">
      <c r="N206" s="54"/>
      <c r="O206" s="54"/>
      <c r="S206" s="54"/>
    </row>
    <row r="207" spans="14:19" x14ac:dyDescent="0.3">
      <c r="N207" s="54"/>
      <c r="O207" s="54"/>
      <c r="S207" s="54"/>
    </row>
    <row r="208" spans="14:19" x14ac:dyDescent="0.3">
      <c r="N208" s="54"/>
      <c r="O208" s="54"/>
      <c r="S208" s="54"/>
    </row>
    <row r="209" spans="14:19" x14ac:dyDescent="0.3">
      <c r="N209" s="54"/>
      <c r="O209" s="54"/>
      <c r="S209" s="54"/>
    </row>
    <row r="210" spans="14:19" x14ac:dyDescent="0.3">
      <c r="N210" s="54"/>
      <c r="O210" s="54"/>
      <c r="S210" s="54"/>
    </row>
    <row r="211" spans="14:19" x14ac:dyDescent="0.3">
      <c r="N211" s="54"/>
      <c r="O211" s="54"/>
      <c r="S211" s="54"/>
    </row>
    <row r="212" spans="14:19" x14ac:dyDescent="0.3">
      <c r="N212" s="54"/>
      <c r="O212" s="54"/>
      <c r="S212" s="54"/>
    </row>
    <row r="213" spans="14:19" x14ac:dyDescent="0.3">
      <c r="N213" s="54"/>
      <c r="O213" s="54"/>
      <c r="S213" s="54"/>
    </row>
    <row r="214" spans="14:19" x14ac:dyDescent="0.3">
      <c r="N214" s="54"/>
      <c r="O214" s="54"/>
      <c r="S214" s="54"/>
    </row>
    <row r="215" spans="14:19" x14ac:dyDescent="0.3">
      <c r="N215" s="54"/>
      <c r="O215" s="54"/>
      <c r="S215" s="54"/>
    </row>
    <row r="216" spans="14:19" x14ac:dyDescent="0.3">
      <c r="N216" s="54"/>
      <c r="O216" s="54"/>
      <c r="S216" s="54"/>
    </row>
    <row r="217" spans="14:19" x14ac:dyDescent="0.3">
      <c r="N217" s="54"/>
      <c r="O217" s="54"/>
      <c r="S217" s="54"/>
    </row>
    <row r="218" spans="14:19" x14ac:dyDescent="0.3">
      <c r="N218" s="54"/>
      <c r="O218" s="54"/>
      <c r="S218" s="54"/>
    </row>
    <row r="219" spans="14:19" x14ac:dyDescent="0.3">
      <c r="N219" s="54"/>
      <c r="O219" s="54"/>
      <c r="S219" s="54"/>
    </row>
    <row r="220" spans="14:19" x14ac:dyDescent="0.3">
      <c r="N220" s="54"/>
      <c r="O220" s="54"/>
      <c r="S220" s="54"/>
    </row>
    <row r="221" spans="14:19" x14ac:dyDescent="0.3">
      <c r="N221" s="54"/>
      <c r="O221" s="54"/>
      <c r="S221" s="54"/>
    </row>
    <row r="222" spans="14:19" x14ac:dyDescent="0.3">
      <c r="N222" s="54"/>
      <c r="O222" s="54"/>
      <c r="S222" s="54"/>
    </row>
    <row r="223" spans="14:19" x14ac:dyDescent="0.3">
      <c r="N223" s="54"/>
      <c r="O223" s="54"/>
      <c r="S223" s="54"/>
    </row>
    <row r="224" spans="14:19" x14ac:dyDescent="0.3">
      <c r="N224" s="54"/>
      <c r="O224" s="54"/>
      <c r="S224" s="54"/>
    </row>
    <row r="225" spans="14:19" x14ac:dyDescent="0.3">
      <c r="N225" s="54"/>
      <c r="O225" s="54"/>
      <c r="S225" s="54"/>
    </row>
    <row r="226" spans="14:19" x14ac:dyDescent="0.3">
      <c r="N226" s="54"/>
      <c r="O226" s="54"/>
      <c r="S226" s="54"/>
    </row>
    <row r="227" spans="14:19" x14ac:dyDescent="0.3">
      <c r="N227" s="54"/>
      <c r="O227" s="54"/>
      <c r="S227" s="54"/>
    </row>
    <row r="228" spans="14:19" x14ac:dyDescent="0.3">
      <c r="N228" s="54"/>
      <c r="O228" s="54"/>
      <c r="S228" s="54"/>
    </row>
    <row r="229" spans="14:19" x14ac:dyDescent="0.3">
      <c r="N229" s="54"/>
      <c r="O229" s="54"/>
      <c r="S229" s="54"/>
    </row>
    <row r="230" spans="14:19" x14ac:dyDescent="0.3">
      <c r="N230" s="54"/>
      <c r="O230" s="54"/>
      <c r="S230" s="54"/>
    </row>
    <row r="231" spans="14:19" x14ac:dyDescent="0.3">
      <c r="N231" s="54"/>
      <c r="O231" s="54"/>
      <c r="S231" s="54"/>
    </row>
    <row r="232" spans="14:19" x14ac:dyDescent="0.3">
      <c r="N232" s="54"/>
      <c r="O232" s="54"/>
      <c r="S232" s="54"/>
    </row>
    <row r="233" spans="14:19" x14ac:dyDescent="0.3">
      <c r="N233" s="54"/>
      <c r="O233" s="54"/>
      <c r="S233" s="54"/>
    </row>
    <row r="234" spans="14:19" x14ac:dyDescent="0.3">
      <c r="N234" s="54"/>
      <c r="O234" s="54"/>
      <c r="S234" s="54"/>
    </row>
    <row r="235" spans="14:19" x14ac:dyDescent="0.3">
      <c r="N235" s="54"/>
      <c r="O235" s="54"/>
      <c r="S235" s="54"/>
    </row>
    <row r="236" spans="14:19" x14ac:dyDescent="0.3">
      <c r="N236" s="54"/>
      <c r="O236" s="54"/>
      <c r="S236" s="54"/>
    </row>
    <row r="237" spans="14:19" x14ac:dyDescent="0.3">
      <c r="N237" s="54"/>
      <c r="O237" s="54"/>
      <c r="S237" s="54"/>
    </row>
    <row r="238" spans="14:19" x14ac:dyDescent="0.3">
      <c r="N238" s="54"/>
      <c r="O238" s="54"/>
      <c r="S238" s="54"/>
    </row>
    <row r="239" spans="14:19" x14ac:dyDescent="0.3">
      <c r="N239" s="54"/>
      <c r="O239" s="54"/>
      <c r="S239" s="54"/>
    </row>
    <row r="240" spans="14:19" x14ac:dyDescent="0.3">
      <c r="N240" s="54"/>
      <c r="O240" s="54"/>
      <c r="S240" s="54"/>
    </row>
    <row r="241" spans="14:19" x14ac:dyDescent="0.3">
      <c r="N241" s="54"/>
      <c r="O241" s="54"/>
      <c r="S241" s="54"/>
    </row>
    <row r="242" spans="14:19" x14ac:dyDescent="0.3">
      <c r="N242" s="54"/>
      <c r="O242" s="54"/>
      <c r="S242" s="54"/>
    </row>
    <row r="243" spans="14:19" x14ac:dyDescent="0.3">
      <c r="N243" s="54"/>
      <c r="O243" s="54"/>
      <c r="S243" s="54"/>
    </row>
    <row r="244" spans="14:19" x14ac:dyDescent="0.3">
      <c r="N244" s="54"/>
      <c r="O244" s="54"/>
      <c r="S244" s="54"/>
    </row>
    <row r="245" spans="14:19" x14ac:dyDescent="0.3">
      <c r="N245" s="54"/>
      <c r="O245" s="54"/>
      <c r="S245" s="54"/>
    </row>
    <row r="246" spans="14:19" x14ac:dyDescent="0.3">
      <c r="N246" s="54"/>
      <c r="O246" s="54"/>
      <c r="S246" s="54"/>
    </row>
    <row r="247" spans="14:19" x14ac:dyDescent="0.3">
      <c r="N247" s="54"/>
      <c r="O247" s="54"/>
      <c r="S247" s="54"/>
    </row>
    <row r="248" spans="14:19" x14ac:dyDescent="0.3">
      <c r="N248" s="54"/>
      <c r="O248" s="54"/>
      <c r="S248" s="54"/>
    </row>
    <row r="249" spans="14:19" x14ac:dyDescent="0.3">
      <c r="N249" s="54"/>
      <c r="O249" s="54"/>
      <c r="S249" s="54"/>
    </row>
    <row r="250" spans="14:19" x14ac:dyDescent="0.3">
      <c r="N250" s="54"/>
      <c r="O250" s="54"/>
      <c r="S250" s="54"/>
    </row>
    <row r="251" spans="14:19" x14ac:dyDescent="0.3">
      <c r="N251" s="27"/>
      <c r="O251" s="27"/>
      <c r="P251" s="27"/>
    </row>
    <row r="252" spans="14:19" x14ac:dyDescent="0.3">
      <c r="N252" s="27"/>
      <c r="O252" s="27"/>
      <c r="P252" s="27"/>
    </row>
    <row r="253" spans="14:19" x14ac:dyDescent="0.3">
      <c r="N253" s="27"/>
      <c r="O253" s="27"/>
      <c r="P253" s="27"/>
    </row>
    <row r="254" spans="14:19" x14ac:dyDescent="0.3">
      <c r="N254" s="27"/>
      <c r="O254" s="27"/>
      <c r="P254" s="27"/>
    </row>
    <row r="255" spans="14:19" x14ac:dyDescent="0.3">
      <c r="N255" s="27"/>
      <c r="O255" s="27"/>
      <c r="P255" s="27"/>
    </row>
    <row r="256" spans="14:19" x14ac:dyDescent="0.3">
      <c r="N256" s="27"/>
      <c r="O256" s="27"/>
      <c r="P256" s="27"/>
    </row>
    <row r="257" spans="14:16" x14ac:dyDescent="0.3">
      <c r="N257" s="27"/>
      <c r="O257" s="27"/>
      <c r="P257" s="27"/>
    </row>
    <row r="258" spans="14:16" x14ac:dyDescent="0.3">
      <c r="N258" s="27"/>
      <c r="O258" s="27"/>
      <c r="P258" s="27"/>
    </row>
    <row r="259" spans="14:16" x14ac:dyDescent="0.3">
      <c r="N259" s="27"/>
      <c r="O259" s="27"/>
      <c r="P259" s="27"/>
    </row>
    <row r="260" spans="14:16" x14ac:dyDescent="0.3">
      <c r="N260" s="27"/>
      <c r="O260" s="27"/>
      <c r="P260" s="27"/>
    </row>
    <row r="261" spans="14:16" x14ac:dyDescent="0.3">
      <c r="N261" s="27"/>
      <c r="O261" s="27"/>
      <c r="P261" s="27"/>
    </row>
    <row r="262" spans="14:16" x14ac:dyDescent="0.3">
      <c r="N262" s="27"/>
      <c r="O262" s="27"/>
      <c r="P262" s="27"/>
    </row>
    <row r="263" spans="14:16" x14ac:dyDescent="0.3">
      <c r="N263" s="27"/>
      <c r="O263" s="27"/>
      <c r="P263" s="27"/>
    </row>
    <row r="264" spans="14:16" x14ac:dyDescent="0.3">
      <c r="N264" s="27"/>
      <c r="O264" s="27"/>
      <c r="P264" s="27"/>
    </row>
    <row r="265" spans="14:16" x14ac:dyDescent="0.3">
      <c r="N265" s="27"/>
      <c r="O265" s="27"/>
      <c r="P265" s="27"/>
    </row>
    <row r="266" spans="14:16" x14ac:dyDescent="0.3">
      <c r="N266" s="27"/>
      <c r="O266" s="27"/>
      <c r="P266" s="27"/>
    </row>
    <row r="267" spans="14:16" x14ac:dyDescent="0.3">
      <c r="N267" s="27"/>
      <c r="O267" s="27"/>
      <c r="P267" s="27"/>
    </row>
    <row r="268" spans="14:16" x14ac:dyDescent="0.3">
      <c r="N268" s="27"/>
      <c r="O268" s="27"/>
      <c r="P268" s="27"/>
    </row>
    <row r="269" spans="14:16" x14ac:dyDescent="0.3">
      <c r="N269" s="27"/>
      <c r="O269" s="27"/>
      <c r="P269" s="27"/>
    </row>
    <row r="270" spans="14:16" x14ac:dyDescent="0.3">
      <c r="N270" s="27"/>
      <c r="O270" s="27"/>
      <c r="P270" s="27"/>
    </row>
    <row r="271" spans="14:16" x14ac:dyDescent="0.3">
      <c r="N271" s="27"/>
      <c r="O271" s="27"/>
      <c r="P271" s="27"/>
    </row>
    <row r="272" spans="14:16" x14ac:dyDescent="0.3">
      <c r="N272" s="27"/>
      <c r="O272" s="27"/>
      <c r="P272" s="27"/>
    </row>
    <row r="273" spans="14:16" x14ac:dyDescent="0.3">
      <c r="N273" s="27"/>
      <c r="O273" s="27"/>
      <c r="P273" s="27"/>
    </row>
    <row r="274" spans="14:16" x14ac:dyDescent="0.3">
      <c r="N274" s="27"/>
      <c r="O274" s="27"/>
      <c r="P274" s="27"/>
    </row>
    <row r="275" spans="14:16" x14ac:dyDescent="0.3">
      <c r="N275" s="27"/>
      <c r="O275" s="27"/>
      <c r="P275" s="27"/>
    </row>
    <row r="276" spans="14:16" x14ac:dyDescent="0.3">
      <c r="N276" s="27"/>
      <c r="O276" s="27"/>
      <c r="P276" s="27"/>
    </row>
    <row r="277" spans="14:16" x14ac:dyDescent="0.3">
      <c r="N277" s="27"/>
      <c r="O277" s="27"/>
      <c r="P277" s="27"/>
    </row>
    <row r="278" spans="14:16" x14ac:dyDescent="0.3">
      <c r="N278" s="27"/>
      <c r="O278" s="27"/>
      <c r="P278" s="27"/>
    </row>
    <row r="279" spans="14:16" x14ac:dyDescent="0.3">
      <c r="N279" s="27"/>
      <c r="O279" s="27"/>
      <c r="P279" s="27"/>
    </row>
    <row r="280" spans="14:16" x14ac:dyDescent="0.3">
      <c r="N280" s="27"/>
      <c r="O280" s="27"/>
      <c r="P280" s="27"/>
    </row>
    <row r="281" spans="14:16" x14ac:dyDescent="0.3">
      <c r="N281" s="27"/>
      <c r="O281" s="27"/>
      <c r="P281" s="27"/>
    </row>
    <row r="282" spans="14:16" x14ac:dyDescent="0.3">
      <c r="N282" s="27"/>
      <c r="O282" s="27"/>
      <c r="P282" s="27"/>
    </row>
    <row r="283" spans="14:16" x14ac:dyDescent="0.3">
      <c r="N283" s="27"/>
      <c r="O283" s="27"/>
      <c r="P283" s="27"/>
    </row>
    <row r="284" spans="14:16" x14ac:dyDescent="0.3">
      <c r="N284" s="27"/>
      <c r="O284" s="27"/>
      <c r="P284" s="27"/>
    </row>
    <row r="285" spans="14:16" x14ac:dyDescent="0.3">
      <c r="N285" s="27"/>
      <c r="O285" s="27"/>
      <c r="P285" s="27"/>
    </row>
    <row r="286" spans="14:16" x14ac:dyDescent="0.3">
      <c r="N286" s="27"/>
      <c r="O286" s="27"/>
      <c r="P286" s="27"/>
    </row>
    <row r="287" spans="14:16" x14ac:dyDescent="0.3">
      <c r="N287" s="27"/>
      <c r="O287" s="27"/>
      <c r="P287" s="27"/>
    </row>
    <row r="288" spans="14:16" x14ac:dyDescent="0.3">
      <c r="N288" s="27"/>
      <c r="O288" s="27"/>
      <c r="P288" s="27"/>
    </row>
    <row r="289" spans="14:16" x14ac:dyDescent="0.3">
      <c r="N289" s="27"/>
      <c r="O289" s="27"/>
      <c r="P289" s="27"/>
    </row>
    <row r="290" spans="14:16" x14ac:dyDescent="0.3">
      <c r="N290" s="27"/>
      <c r="O290" s="27"/>
      <c r="P290" s="27"/>
    </row>
    <row r="291" spans="14:16" x14ac:dyDescent="0.3">
      <c r="N291" s="27"/>
      <c r="O291" s="27"/>
      <c r="P291" s="27"/>
    </row>
    <row r="292" spans="14:16" x14ac:dyDescent="0.3">
      <c r="N292" s="27"/>
      <c r="O292" s="27"/>
      <c r="P292" s="27"/>
    </row>
    <row r="293" spans="14:16" x14ac:dyDescent="0.3">
      <c r="N293" s="27"/>
      <c r="O293" s="27"/>
      <c r="P293" s="27"/>
    </row>
    <row r="294" spans="14:16" x14ac:dyDescent="0.3">
      <c r="N294" s="27"/>
      <c r="O294" s="27"/>
      <c r="P294" s="27"/>
    </row>
    <row r="295" spans="14:16" x14ac:dyDescent="0.3">
      <c r="N295" s="27"/>
      <c r="O295" s="27"/>
      <c r="P295" s="27"/>
    </row>
    <row r="296" spans="14:16" x14ac:dyDescent="0.3">
      <c r="N296" s="27"/>
      <c r="O296" s="27"/>
      <c r="P296" s="27"/>
    </row>
    <row r="297" spans="14:16" x14ac:dyDescent="0.3">
      <c r="N297" s="27"/>
      <c r="O297" s="27"/>
      <c r="P297" s="27"/>
    </row>
  </sheetData>
  <pageMargins left="0.511811024" right="0.511811024" top="0.78740157499999996" bottom="0.78740157499999996" header="0.31496062000000002" footer="0.31496062000000002"/>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574DA9-BB91-4799-B509-ADCAA62A4B42}">
  <sheetPr codeName="Planilha32">
    <tabColor theme="9" tint="0.59999389629810485"/>
  </sheetPr>
  <dimension ref="A1:X297"/>
  <sheetViews>
    <sheetView showGridLines="0" workbookViewId="0">
      <selection activeCell="D5" sqref="D5"/>
    </sheetView>
  </sheetViews>
  <sheetFormatPr defaultColWidth="8.85546875" defaultRowHeight="18.75" x14ac:dyDescent="0.3"/>
  <cols>
    <col min="1" max="1" width="12.7109375" style="17" customWidth="1"/>
    <col min="2" max="2" width="24.85546875" bestFit="1" customWidth="1"/>
    <col min="4" max="4" width="44.28515625" bestFit="1" customWidth="1"/>
    <col min="5" max="5" width="4.5703125" customWidth="1"/>
    <col min="6" max="7" width="7.140625" bestFit="1" customWidth="1"/>
    <col min="8" max="8" width="10.42578125" bestFit="1" customWidth="1"/>
    <col min="9" max="9" width="10.5703125" bestFit="1" customWidth="1"/>
    <col min="10" max="10" width="10.42578125" customWidth="1"/>
    <col min="11" max="11" width="10.5703125" bestFit="1" customWidth="1"/>
    <col min="13" max="15" width="9" style="15" customWidth="1"/>
    <col min="16" max="24" width="8.85546875" style="15"/>
  </cols>
  <sheetData>
    <row r="1" spans="1:24" x14ac:dyDescent="0.3">
      <c r="A1" s="16" t="s">
        <v>198</v>
      </c>
      <c r="M1" s="14"/>
      <c r="N1" s="14"/>
      <c r="O1" s="14"/>
      <c r="P1" s="14"/>
      <c r="Q1" s="14"/>
      <c r="R1" s="14"/>
      <c r="S1" s="14"/>
      <c r="T1" s="14"/>
      <c r="U1" s="14"/>
      <c r="V1" s="14"/>
      <c r="W1" s="14"/>
      <c r="X1" s="14"/>
    </row>
    <row r="2" spans="1:24" x14ac:dyDescent="0.3">
      <c r="A2" s="17" t="s">
        <v>199</v>
      </c>
      <c r="M2" s="14"/>
      <c r="N2" s="14"/>
      <c r="O2" s="14"/>
      <c r="P2" s="14"/>
      <c r="Q2" s="14"/>
      <c r="R2" s="14"/>
      <c r="S2" s="14"/>
      <c r="T2" s="14"/>
      <c r="U2" s="14"/>
      <c r="V2" s="14"/>
      <c r="W2" s="14"/>
      <c r="X2" s="14"/>
    </row>
    <row r="4" spans="1:24" ht="15.75" x14ac:dyDescent="0.25">
      <c r="A4" s="2" t="s">
        <v>15</v>
      </c>
      <c r="B4" s="2" t="s">
        <v>16</v>
      </c>
    </row>
    <row r="5" spans="1:24" ht="15.75" x14ac:dyDescent="0.25">
      <c r="A5" s="23" t="s">
        <v>169</v>
      </c>
      <c r="B5" s="24" t="s">
        <v>171</v>
      </c>
    </row>
    <row r="6" spans="1:24" ht="31.5" x14ac:dyDescent="0.25">
      <c r="A6" s="23" t="s">
        <v>201</v>
      </c>
      <c r="B6" s="24" t="s">
        <v>202</v>
      </c>
    </row>
    <row r="7" spans="1:24" ht="47.25" x14ac:dyDescent="0.25">
      <c r="A7" s="23" t="s">
        <v>205</v>
      </c>
      <c r="B7" s="24" t="s">
        <v>206</v>
      </c>
      <c r="D7" s="1" t="s">
        <v>17</v>
      </c>
      <c r="G7" s="13" t="s">
        <v>169</v>
      </c>
      <c r="H7" s="13" t="s">
        <v>201</v>
      </c>
      <c r="I7" s="13" t="s">
        <v>205</v>
      </c>
      <c r="K7" s="13" t="s">
        <v>205</v>
      </c>
      <c r="M7" s="15" t="s">
        <v>200</v>
      </c>
      <c r="O7" s="15" t="s">
        <v>209</v>
      </c>
      <c r="P7" s="15" t="s">
        <v>210</v>
      </c>
    </row>
    <row r="8" spans="1:24" x14ac:dyDescent="0.3">
      <c r="D8" t="s">
        <v>203</v>
      </c>
      <c r="F8" s="50">
        <v>37622</v>
      </c>
      <c r="G8" s="53">
        <v>100.45</v>
      </c>
      <c r="H8" s="55">
        <v>1600</v>
      </c>
      <c r="I8" s="55" t="s">
        <v>208</v>
      </c>
      <c r="K8" s="55" t="s">
        <v>207</v>
      </c>
      <c r="M8" s="54" cm="1">
        <f t="array" ref="M8:M237">_xlfn.LAMBDA(_xlpm.values,_xlpm.lambda,_xlop.trendCycle,
_xlfn.LET(
_xlpm.trendCycle,
IF( _xlfn.ISOMITTED(_xlpm.trendCycle), "t", LOWER(_xlpm.trendCycle) ),
_xlpm.ident,
EYE(LENGTH(_xlpm.values)),
_xlpm.pentad0,
VERTCAT( VERTCAT( {1;5;6}, 6 * ONES(LENGTH(_xlpm.values) - 6,1)), {6;5;1} ),
_xlpm.pentad1,
VERTCAT( VERTCAT( {-2;-4}, -4 * ONES(LENGTH(_xlpm.values) - 5,1)), {-4;-2} ),
_xlpm.pentad2,
ONES(LENGTH(_xlpm.values) - 2,1),
_xlpm.pentad,
_xlfn.LAMBDA(_xlpm.matrix0,_xlpm.matrix1,_xlpm.matrix2,
_xlfn.MAKEARRAY( LENGTH(_xlpm.matrix0), LENGTH(_xlpm.matrix0),
_xlfn.LAMBDA(_xlpm.row,_xlpm.col,
IF( _xlpm.row = _xlpm.col, INDEX(_xlpm.matrix0,_xlpm.row,1), IF( OR(_xlpm.row=_xlpm.col+1, _xlpm.col=_xlpm.row+1), INDEX(_xlpm.matrix1, MIN(_xlpm.row,_xlpm.col),1), IF( OR(_xlpm.row=_xlpm.col+2, _xlpm.col=_xlpm.row+2), INDEX(_xlpm.matrix2, MIN(_xlpm.row,_xlpm.col),1), 0 ) ) ) )  )
)(_xlpm.pentad0,_xlpm.pentad1,_xlpm.pentad2),
_xlpm.trend,
MMULT( MINVERSE( _xlpm.lambda * _xlpm.pentad + _xlpm.ident), _xlpm.values),
IF(_xlpm.trendCycle = "t", _xlpm.trend, IF(_xlpm.trendCycle = "c", _xlpm.values - _xlpm.trend, "#trendCycle must be either ""t"" or ""c""") )
)
)($G$8:$G$237,$H$8,$I$8)</f>
        <v>99.436846900816306</v>
      </c>
      <c r="N8" s="54"/>
      <c r="O8" s="54" cm="1">
        <f t="array" ref="O8:O237">HPFILTER($G$8:$G$237,$H$8,$I$8)</f>
        <v>99.436846900816306</v>
      </c>
      <c r="P8" s="15" cm="1">
        <f t="array" ref="P8:P237">HPFILTER($G$8:$G$237,$H$8,$K$8)</f>
        <v>1.0131530991836968</v>
      </c>
    </row>
    <row r="9" spans="1:24" x14ac:dyDescent="0.3">
      <c r="D9" t="s">
        <v>204</v>
      </c>
      <c r="F9" s="50">
        <v>37653</v>
      </c>
      <c r="G9" s="53">
        <v>101.95</v>
      </c>
      <c r="M9" s="54">
        <v>99.778505732491766</v>
      </c>
      <c r="N9" s="54"/>
      <c r="O9" s="54">
        <v>99.778505732491766</v>
      </c>
      <c r="P9" s="15">
        <v>2.1714942675082369</v>
      </c>
    </row>
    <row r="10" spans="1:24" x14ac:dyDescent="0.3">
      <c r="D10" t="s">
        <v>159</v>
      </c>
      <c r="F10" s="50">
        <v>37681</v>
      </c>
      <c r="G10" s="53">
        <v>102.03</v>
      </c>
      <c r="M10" s="54">
        <v>100.12079778485426</v>
      </c>
      <c r="N10" s="54"/>
      <c r="O10" s="54">
        <v>100.12079778485426</v>
      </c>
      <c r="P10" s="15">
        <v>1.90920221514574</v>
      </c>
    </row>
    <row r="11" spans="1:24" ht="18.75" customHeight="1" x14ac:dyDescent="0.3">
      <c r="D11" s="111"/>
      <c r="F11" s="50">
        <v>37712</v>
      </c>
      <c r="G11" s="53">
        <v>100.92</v>
      </c>
      <c r="M11" s="54">
        <v>100.46571346250781</v>
      </c>
      <c r="N11" s="54"/>
      <c r="O11" s="54">
        <v>100.46571346250781</v>
      </c>
      <c r="P11" s="15">
        <v>0.4542865374921945</v>
      </c>
    </row>
    <row r="12" spans="1:24" x14ac:dyDescent="0.3">
      <c r="D12" s="111"/>
      <c r="F12" s="50">
        <v>37742</v>
      </c>
      <c r="G12" s="53">
        <v>99.89</v>
      </c>
      <c r="M12" s="54">
        <v>100.81643642144117</v>
      </c>
      <c r="N12" s="54"/>
      <c r="O12" s="54">
        <v>100.81643642144117</v>
      </c>
      <c r="P12" s="15">
        <v>-0.92643642144116711</v>
      </c>
    </row>
    <row r="13" spans="1:24" x14ac:dyDescent="0.3">
      <c r="D13" s="47"/>
      <c r="F13" s="50">
        <v>37773</v>
      </c>
      <c r="G13" s="53">
        <v>100.28</v>
      </c>
      <c r="M13" s="54">
        <v>101.17643424672869</v>
      </c>
      <c r="N13" s="54"/>
      <c r="O13" s="54">
        <v>101.17643424672869</v>
      </c>
      <c r="P13" s="15">
        <v>-0.89643424672868832</v>
      </c>
    </row>
    <row r="14" spans="1:24" x14ac:dyDescent="0.3">
      <c r="F14" s="50">
        <v>37803</v>
      </c>
      <c r="G14" s="53">
        <v>99.07</v>
      </c>
      <c r="M14" s="54">
        <v>101.54859550068154</v>
      </c>
      <c r="N14" s="54"/>
      <c r="O14" s="54">
        <v>101.54859550068154</v>
      </c>
      <c r="P14" s="15">
        <v>-2.4785955006815499</v>
      </c>
    </row>
    <row r="15" spans="1:24" x14ac:dyDescent="0.3">
      <c r="F15" s="50">
        <v>37834</v>
      </c>
      <c r="G15" s="53">
        <v>99.73</v>
      </c>
      <c r="M15" s="54">
        <v>101.93524847420672</v>
      </c>
      <c r="N15" s="54"/>
      <c r="O15" s="54">
        <v>101.93524847420672</v>
      </c>
      <c r="P15" s="15">
        <v>-2.2052484742067122</v>
      </c>
    </row>
    <row r="16" spans="1:24" x14ac:dyDescent="0.3">
      <c r="F16" s="50">
        <v>37865</v>
      </c>
      <c r="G16" s="53">
        <v>101.71</v>
      </c>
      <c r="M16" s="54">
        <v>102.33717233602304</v>
      </c>
      <c r="N16" s="54"/>
      <c r="O16" s="54">
        <v>102.33717233602304</v>
      </c>
      <c r="P16" s="15">
        <v>-0.627172336023051</v>
      </c>
    </row>
    <row r="17" spans="6:16" x14ac:dyDescent="0.3">
      <c r="F17" s="50">
        <v>37895</v>
      </c>
      <c r="G17" s="53">
        <v>101.88</v>
      </c>
      <c r="M17" s="54">
        <v>102.75376797455331</v>
      </c>
      <c r="N17" s="54"/>
      <c r="O17" s="54">
        <v>102.75376797455331</v>
      </c>
      <c r="P17" s="15">
        <v>-0.87376797455331712</v>
      </c>
    </row>
    <row r="18" spans="6:16" x14ac:dyDescent="0.3">
      <c r="F18" s="50">
        <v>37926</v>
      </c>
      <c r="G18" s="53">
        <v>101.97</v>
      </c>
      <c r="M18" s="54">
        <v>103.18404429550976</v>
      </c>
      <c r="N18" s="54"/>
      <c r="O18" s="54">
        <v>103.18404429550976</v>
      </c>
      <c r="P18" s="15">
        <v>-1.2140442955097654</v>
      </c>
    </row>
    <row r="19" spans="6:16" x14ac:dyDescent="0.3">
      <c r="F19" s="50">
        <v>37956</v>
      </c>
      <c r="G19" s="53">
        <v>101.58</v>
      </c>
      <c r="M19" s="54">
        <v>103.62646409962105</v>
      </c>
      <c r="N19" s="54"/>
      <c r="O19" s="54">
        <v>103.62646409962105</v>
      </c>
      <c r="P19" s="15">
        <v>-2.0464640996210477</v>
      </c>
    </row>
    <row r="20" spans="6:16" x14ac:dyDescent="0.3">
      <c r="F20" s="50">
        <v>37987</v>
      </c>
      <c r="G20" s="53">
        <v>103.57</v>
      </c>
      <c r="M20" s="54">
        <v>104.07873140993098</v>
      </c>
      <c r="N20" s="54"/>
      <c r="O20" s="54">
        <v>104.07873140993098</v>
      </c>
      <c r="P20" s="15">
        <v>-0.50873140993098787</v>
      </c>
    </row>
    <row r="21" spans="6:16" x14ac:dyDescent="0.3">
      <c r="F21" s="50">
        <v>38018</v>
      </c>
      <c r="G21" s="53">
        <v>104.49</v>
      </c>
      <c r="M21" s="54">
        <v>104.53727120942108</v>
      </c>
      <c r="N21" s="54"/>
      <c r="O21" s="54">
        <v>104.53727120942108</v>
      </c>
      <c r="P21" s="15">
        <v>-4.7271209421083427E-2</v>
      </c>
    </row>
    <row r="22" spans="6:16" x14ac:dyDescent="0.3">
      <c r="F22" s="50">
        <v>38047</v>
      </c>
      <c r="G22" s="53">
        <v>105.98</v>
      </c>
      <c r="M22" s="54">
        <v>104.998190523942</v>
      </c>
      <c r="N22" s="54"/>
      <c r="O22" s="54">
        <v>104.998190523942</v>
      </c>
      <c r="P22" s="15">
        <v>0.98180947605800384</v>
      </c>
    </row>
    <row r="23" spans="6:16" x14ac:dyDescent="0.3">
      <c r="F23" s="50">
        <v>38078</v>
      </c>
      <c r="G23" s="53">
        <v>106.41</v>
      </c>
      <c r="M23" s="54">
        <v>105.45756683483786</v>
      </c>
      <c r="N23" s="54"/>
      <c r="O23" s="54">
        <v>105.45756683483786</v>
      </c>
      <c r="P23" s="15">
        <v>0.95243316516213383</v>
      </c>
    </row>
    <row r="24" spans="6:16" x14ac:dyDescent="0.3">
      <c r="F24" s="50">
        <v>38108</v>
      </c>
      <c r="G24" s="53">
        <v>106.44</v>
      </c>
      <c r="M24" s="54">
        <v>105.91209125437609</v>
      </c>
      <c r="N24" s="54"/>
      <c r="O24" s="54">
        <v>105.91209125437609</v>
      </c>
      <c r="P24" s="15">
        <v>0.527908745623904</v>
      </c>
    </row>
    <row r="25" spans="6:16" x14ac:dyDescent="0.3">
      <c r="F25" s="50">
        <v>38139</v>
      </c>
      <c r="G25" s="53">
        <v>107.22</v>
      </c>
      <c r="M25" s="54">
        <v>106.35905016555165</v>
      </c>
      <c r="N25" s="54"/>
      <c r="O25" s="54">
        <v>106.35905016555165</v>
      </c>
      <c r="P25" s="15">
        <v>0.86094983444834838</v>
      </c>
    </row>
    <row r="26" spans="6:16" x14ac:dyDescent="0.3">
      <c r="F26" s="50">
        <v>38169</v>
      </c>
      <c r="G26" s="53">
        <v>107.82</v>
      </c>
      <c r="M26" s="54">
        <v>106.79605989432595</v>
      </c>
      <c r="N26" s="54"/>
      <c r="O26" s="54">
        <v>106.79605989432595</v>
      </c>
      <c r="P26" s="15">
        <v>1.0239401056740434</v>
      </c>
    </row>
    <row r="27" spans="6:16" x14ac:dyDescent="0.3">
      <c r="F27" s="50">
        <v>38200</v>
      </c>
      <c r="G27" s="53">
        <v>108.19</v>
      </c>
      <c r="M27" s="54">
        <v>107.22127486030696</v>
      </c>
      <c r="N27" s="54"/>
      <c r="O27" s="54">
        <v>107.22127486030696</v>
      </c>
      <c r="P27" s="15">
        <v>0.96872513969303498</v>
      </c>
    </row>
    <row r="28" spans="6:16" x14ac:dyDescent="0.3">
      <c r="F28" s="50">
        <v>38231</v>
      </c>
      <c r="G28" s="53">
        <v>109.46</v>
      </c>
      <c r="M28" s="54">
        <v>107.63348944566813</v>
      </c>
      <c r="N28" s="54"/>
      <c r="O28" s="54">
        <v>107.63348944566813</v>
      </c>
      <c r="P28" s="15">
        <v>1.8265105543318612</v>
      </c>
    </row>
    <row r="29" spans="6:16" x14ac:dyDescent="0.3">
      <c r="F29" s="50">
        <v>38261</v>
      </c>
      <c r="G29" s="53">
        <v>108.73</v>
      </c>
      <c r="M29" s="54">
        <v>108.03210348579594</v>
      </c>
      <c r="N29" s="54"/>
      <c r="O29" s="54">
        <v>108.03210348579594</v>
      </c>
      <c r="P29" s="15">
        <v>0.69789651420406074</v>
      </c>
    </row>
    <row r="30" spans="6:16" x14ac:dyDescent="0.3">
      <c r="F30" s="50">
        <v>38292</v>
      </c>
      <c r="G30" s="53">
        <v>109.62</v>
      </c>
      <c r="M30" s="54">
        <v>108.41765838517246</v>
      </c>
      <c r="N30" s="54"/>
      <c r="O30" s="54">
        <v>108.41765838517246</v>
      </c>
      <c r="P30" s="15">
        <v>1.2023416148275459</v>
      </c>
    </row>
    <row r="31" spans="6:16" x14ac:dyDescent="0.3">
      <c r="F31" s="50">
        <v>38322</v>
      </c>
      <c r="G31" s="53">
        <v>108.79</v>
      </c>
      <c r="M31" s="54">
        <v>108.79113173360183</v>
      </c>
      <c r="N31" s="54"/>
      <c r="O31" s="54">
        <v>108.79113173360183</v>
      </c>
      <c r="P31" s="15">
        <v>-1.1317336018237256E-3</v>
      </c>
    </row>
    <row r="32" spans="6:16" x14ac:dyDescent="0.3">
      <c r="F32" s="50">
        <v>38353</v>
      </c>
      <c r="G32" s="53">
        <v>109.62</v>
      </c>
      <c r="M32" s="54">
        <v>109.15425258439663</v>
      </c>
      <c r="N32" s="54"/>
      <c r="O32" s="54">
        <v>109.15425258439663</v>
      </c>
      <c r="P32" s="15">
        <v>0.46574741560337429</v>
      </c>
    </row>
    <row r="33" spans="6:16" x14ac:dyDescent="0.3">
      <c r="F33" s="50">
        <v>38384</v>
      </c>
      <c r="G33" s="53">
        <v>110.14</v>
      </c>
      <c r="M33" s="54">
        <v>109.50874928353706</v>
      </c>
      <c r="N33" s="54"/>
      <c r="O33" s="54">
        <v>109.50874928353706</v>
      </c>
      <c r="P33" s="15">
        <v>0.63125071646294373</v>
      </c>
    </row>
    <row r="34" spans="6:16" x14ac:dyDescent="0.3">
      <c r="F34" s="50">
        <v>38412</v>
      </c>
      <c r="G34" s="53">
        <v>110.43</v>
      </c>
      <c r="M34" s="54">
        <v>109.85664126913728</v>
      </c>
      <c r="N34" s="54"/>
      <c r="O34" s="54">
        <v>109.85664126913728</v>
      </c>
      <c r="P34" s="15">
        <v>0.57335873086272215</v>
      </c>
    </row>
    <row r="35" spans="6:16" x14ac:dyDescent="0.3">
      <c r="F35" s="50">
        <v>38443</v>
      </c>
      <c r="G35" s="53">
        <v>110.95</v>
      </c>
      <c r="M35" s="54">
        <v>110.20034251100934</v>
      </c>
      <c r="N35" s="54"/>
      <c r="O35" s="54">
        <v>110.20034251100934</v>
      </c>
      <c r="P35" s="15">
        <v>0.74965748899066398</v>
      </c>
    </row>
    <row r="36" spans="6:16" x14ac:dyDescent="0.3">
      <c r="F36" s="50">
        <v>38473</v>
      </c>
      <c r="G36" s="53">
        <v>110.99</v>
      </c>
      <c r="M36" s="54">
        <v>110.54262532817241</v>
      </c>
      <c r="N36" s="54"/>
      <c r="O36" s="54">
        <v>110.54262532817241</v>
      </c>
      <c r="P36" s="15">
        <v>0.44737467182758905</v>
      </c>
    </row>
    <row r="37" spans="6:16" x14ac:dyDescent="0.3">
      <c r="F37" s="50">
        <v>38504</v>
      </c>
      <c r="G37" s="53">
        <v>110.63</v>
      </c>
      <c r="M37" s="54">
        <v>110.88673057557597</v>
      </c>
      <c r="N37" s="54"/>
      <c r="O37" s="54">
        <v>110.88673057557597</v>
      </c>
      <c r="P37" s="15">
        <v>-0.2567305755759719</v>
      </c>
    </row>
    <row r="38" spans="6:16" x14ac:dyDescent="0.3">
      <c r="F38" s="50">
        <v>38534</v>
      </c>
      <c r="G38" s="53">
        <v>110.63</v>
      </c>
      <c r="M38" s="54">
        <v>111.23617871733977</v>
      </c>
      <c r="N38" s="54"/>
      <c r="O38" s="54">
        <v>111.23617871733977</v>
      </c>
      <c r="P38" s="15">
        <v>-0.60617871733977324</v>
      </c>
    </row>
    <row r="39" spans="6:16" x14ac:dyDescent="0.3">
      <c r="F39" s="50">
        <v>38565</v>
      </c>
      <c r="G39" s="53">
        <v>111.29</v>
      </c>
      <c r="M39" s="54">
        <v>111.59432976097314</v>
      </c>
      <c r="N39" s="54"/>
      <c r="O39" s="54">
        <v>111.59432976097314</v>
      </c>
      <c r="P39" s="15">
        <v>-0.30432976097313258</v>
      </c>
    </row>
    <row r="40" spans="6:16" x14ac:dyDescent="0.3">
      <c r="F40" s="50">
        <v>38596</v>
      </c>
      <c r="G40" s="53">
        <v>110.86</v>
      </c>
      <c r="M40" s="54">
        <v>111.96416485228801</v>
      </c>
      <c r="N40" s="54"/>
      <c r="O40" s="54">
        <v>111.96416485228801</v>
      </c>
      <c r="P40" s="15">
        <v>-1.1041648522880081</v>
      </c>
    </row>
    <row r="41" spans="6:16" x14ac:dyDescent="0.3">
      <c r="F41" s="50">
        <v>38626</v>
      </c>
      <c r="G41" s="53">
        <v>111.05</v>
      </c>
      <c r="M41" s="54">
        <v>112.34847493099501</v>
      </c>
      <c r="N41" s="54"/>
      <c r="O41" s="54">
        <v>112.34847493099501</v>
      </c>
      <c r="P41" s="15">
        <v>-1.2984749309950132</v>
      </c>
    </row>
    <row r="42" spans="6:16" x14ac:dyDescent="0.3">
      <c r="F42" s="50">
        <v>38657</v>
      </c>
      <c r="G42" s="53">
        <v>111.81</v>
      </c>
      <c r="M42" s="54">
        <v>112.74936083377223</v>
      </c>
      <c r="N42" s="54"/>
      <c r="O42" s="54">
        <v>112.74936083377223</v>
      </c>
      <c r="P42" s="15">
        <v>-0.93936083377222701</v>
      </c>
    </row>
    <row r="43" spans="6:16" x14ac:dyDescent="0.3">
      <c r="F43" s="50">
        <v>38687</v>
      </c>
      <c r="G43" s="53">
        <v>112.32</v>
      </c>
      <c r="M43" s="54">
        <v>113.16811185046606</v>
      </c>
      <c r="N43" s="54"/>
      <c r="O43" s="54">
        <v>113.16811185046606</v>
      </c>
      <c r="P43" s="15">
        <v>-0.84811185046606852</v>
      </c>
    </row>
    <row r="44" spans="6:16" x14ac:dyDescent="0.3">
      <c r="F44" s="50">
        <v>38718</v>
      </c>
      <c r="G44" s="53">
        <v>113.38</v>
      </c>
      <c r="M44" s="54">
        <v>113.60543017040166</v>
      </c>
      <c r="N44" s="54"/>
      <c r="O44" s="54">
        <v>113.60543017040166</v>
      </c>
      <c r="P44" s="15">
        <v>-0.22543017040166546</v>
      </c>
    </row>
    <row r="45" spans="6:16" x14ac:dyDescent="0.3">
      <c r="F45" s="50">
        <v>38749</v>
      </c>
      <c r="G45" s="53">
        <v>113.61</v>
      </c>
      <c r="M45" s="54">
        <v>114.06148791299742</v>
      </c>
      <c r="N45" s="54"/>
      <c r="O45" s="54">
        <v>114.06148791299742</v>
      </c>
      <c r="P45" s="15">
        <v>-0.45148791299742186</v>
      </c>
    </row>
    <row r="46" spans="6:16" x14ac:dyDescent="0.3">
      <c r="F46" s="50">
        <v>38777</v>
      </c>
      <c r="G46" s="53">
        <v>113.55</v>
      </c>
      <c r="M46" s="54">
        <v>114.53631630381561</v>
      </c>
      <c r="N46" s="54"/>
      <c r="O46" s="54">
        <v>114.53631630381561</v>
      </c>
      <c r="P46" s="15">
        <v>-0.98631630381561308</v>
      </c>
    </row>
    <row r="47" spans="6:16" x14ac:dyDescent="0.3">
      <c r="F47" s="50">
        <v>38808</v>
      </c>
      <c r="G47" s="53">
        <v>114.23</v>
      </c>
      <c r="M47" s="54">
        <v>115.02966438847253</v>
      </c>
      <c r="N47" s="54"/>
      <c r="O47" s="54">
        <v>115.02966438847253</v>
      </c>
      <c r="P47" s="15">
        <v>-0.79966438847252164</v>
      </c>
    </row>
    <row r="48" spans="6:16" x14ac:dyDescent="0.3">
      <c r="F48" s="50">
        <v>38838</v>
      </c>
      <c r="G48" s="53">
        <v>115.66</v>
      </c>
      <c r="M48" s="54">
        <v>115.54066476489501</v>
      </c>
      <c r="N48" s="54"/>
      <c r="O48" s="54">
        <v>115.54066476489501</v>
      </c>
      <c r="P48" s="15">
        <v>0.11933523510498389</v>
      </c>
    </row>
    <row r="49" spans="6:16" x14ac:dyDescent="0.3">
      <c r="F49" s="50">
        <v>38869</v>
      </c>
      <c r="G49" s="53">
        <v>114.72</v>
      </c>
      <c r="M49" s="54">
        <v>116.06795024076641</v>
      </c>
      <c r="N49" s="54"/>
      <c r="O49" s="54">
        <v>116.06795024076641</v>
      </c>
      <c r="P49" s="15">
        <v>-1.3479502407664086</v>
      </c>
    </row>
    <row r="50" spans="6:16" x14ac:dyDescent="0.3">
      <c r="F50" s="50">
        <v>38899</v>
      </c>
      <c r="G50" s="53">
        <v>116.94</v>
      </c>
      <c r="M50" s="54">
        <v>116.61022820829227</v>
      </c>
      <c r="N50" s="54"/>
      <c r="O50" s="54">
        <v>116.61022820829227</v>
      </c>
      <c r="P50" s="15">
        <v>0.32977179170772786</v>
      </c>
    </row>
    <row r="51" spans="6:16" x14ac:dyDescent="0.3">
      <c r="F51" s="50">
        <v>38930</v>
      </c>
      <c r="G51" s="53">
        <v>116.62</v>
      </c>
      <c r="M51" s="54">
        <v>117.16536359077821</v>
      </c>
      <c r="N51" s="54"/>
      <c r="O51" s="54">
        <v>117.16536359077821</v>
      </c>
      <c r="P51" s="15">
        <v>-0.54536359077820862</v>
      </c>
    </row>
    <row r="52" spans="6:16" x14ac:dyDescent="0.3">
      <c r="F52" s="50">
        <v>38961</v>
      </c>
      <c r="G52" s="53">
        <v>116.82</v>
      </c>
      <c r="M52" s="54">
        <v>117.73142741889913</v>
      </c>
      <c r="N52" s="54"/>
      <c r="O52" s="54">
        <v>117.73142741889913</v>
      </c>
      <c r="P52" s="15">
        <v>-0.91142741889913736</v>
      </c>
    </row>
    <row r="53" spans="6:16" x14ac:dyDescent="0.3">
      <c r="F53" s="50">
        <v>38991</v>
      </c>
      <c r="G53" s="53">
        <v>118.07</v>
      </c>
      <c r="M53" s="54">
        <v>118.30614987108561</v>
      </c>
      <c r="N53" s="54"/>
      <c r="O53" s="54">
        <v>118.30614987108561</v>
      </c>
      <c r="P53" s="15">
        <v>-0.23614987108561536</v>
      </c>
    </row>
    <row r="54" spans="6:16" x14ac:dyDescent="0.3">
      <c r="F54" s="50">
        <v>39022</v>
      </c>
      <c r="G54" s="53">
        <v>118.87</v>
      </c>
      <c r="M54" s="54">
        <v>118.88669148363186</v>
      </c>
      <c r="N54" s="54"/>
      <c r="O54" s="54">
        <v>118.88669148363186</v>
      </c>
      <c r="P54" s="15">
        <v>-1.6691483631859683E-2</v>
      </c>
    </row>
    <row r="55" spans="6:16" x14ac:dyDescent="0.3">
      <c r="F55" s="50">
        <v>39052</v>
      </c>
      <c r="G55" s="53">
        <v>119.87</v>
      </c>
      <c r="M55" s="54">
        <v>119.47006519916222</v>
      </c>
      <c r="N55" s="54"/>
      <c r="O55" s="54">
        <v>119.47006519916222</v>
      </c>
      <c r="P55" s="15">
        <v>0.39993480083778365</v>
      </c>
    </row>
    <row r="56" spans="6:16" x14ac:dyDescent="0.3">
      <c r="F56" s="50">
        <v>39083</v>
      </c>
      <c r="G56" s="53">
        <v>119.66</v>
      </c>
      <c r="M56" s="54">
        <v>120.05327352812397</v>
      </c>
      <c r="N56" s="54"/>
      <c r="O56" s="54">
        <v>120.05327352812397</v>
      </c>
      <c r="P56" s="15">
        <v>-0.3932735281239701</v>
      </c>
    </row>
    <row r="57" spans="6:16" x14ac:dyDescent="0.3">
      <c r="F57" s="50">
        <v>39114</v>
      </c>
      <c r="G57" s="53">
        <v>120.17</v>
      </c>
      <c r="M57" s="54">
        <v>120.63356894021486</v>
      </c>
      <c r="N57" s="54"/>
      <c r="O57" s="54">
        <v>120.63356894021486</v>
      </c>
      <c r="P57" s="15">
        <v>-0.46356894021485573</v>
      </c>
    </row>
    <row r="58" spans="6:16" x14ac:dyDescent="0.3">
      <c r="F58" s="50">
        <v>39142</v>
      </c>
      <c r="G58" s="53">
        <v>119.4</v>
      </c>
      <c r="M58" s="54">
        <v>121.20795810917768</v>
      </c>
      <c r="N58" s="54"/>
      <c r="O58" s="54">
        <v>121.20795810917768</v>
      </c>
      <c r="P58" s="15">
        <v>-1.807958109177676</v>
      </c>
    </row>
    <row r="59" spans="6:16" x14ac:dyDescent="0.3">
      <c r="F59" s="50">
        <v>39173</v>
      </c>
      <c r="G59" s="53">
        <v>121.18</v>
      </c>
      <c r="M59" s="54">
        <v>121.77315797816721</v>
      </c>
      <c r="N59" s="54"/>
      <c r="O59" s="54">
        <v>121.77315797816721</v>
      </c>
      <c r="P59" s="15">
        <v>-0.59315797816719851</v>
      </c>
    </row>
    <row r="60" spans="6:16" x14ac:dyDescent="0.3">
      <c r="F60" s="50">
        <v>39203</v>
      </c>
      <c r="G60" s="53">
        <v>122.38</v>
      </c>
      <c r="M60" s="54">
        <v>122.32475551652027</v>
      </c>
      <c r="N60" s="54"/>
      <c r="O60" s="54">
        <v>122.32475551652027</v>
      </c>
      <c r="P60" s="15">
        <v>5.5244483479725659E-2</v>
      </c>
    </row>
    <row r="61" spans="6:16" x14ac:dyDescent="0.3">
      <c r="F61" s="50">
        <v>39234</v>
      </c>
      <c r="G61" s="53">
        <v>123.41</v>
      </c>
      <c r="M61" s="54">
        <v>122.85796696983728</v>
      </c>
      <c r="N61" s="54"/>
      <c r="O61" s="54">
        <v>122.85796696983728</v>
      </c>
      <c r="P61" s="15">
        <v>0.55203303016271832</v>
      </c>
    </row>
    <row r="62" spans="6:16" x14ac:dyDescent="0.3">
      <c r="F62" s="50">
        <v>39264</v>
      </c>
      <c r="G62" s="53">
        <v>124.23</v>
      </c>
      <c r="M62" s="54">
        <v>123.36804311152036</v>
      </c>
      <c r="N62" s="54"/>
      <c r="O62" s="54">
        <v>123.36804311152036</v>
      </c>
      <c r="P62" s="15">
        <v>0.86195688847963936</v>
      </c>
    </row>
    <row r="63" spans="6:16" x14ac:dyDescent="0.3">
      <c r="F63" s="50">
        <v>39295</v>
      </c>
      <c r="G63" s="53">
        <v>124.34</v>
      </c>
      <c r="M63" s="54">
        <v>123.85057973561665</v>
      </c>
      <c r="N63" s="54"/>
      <c r="O63" s="54">
        <v>123.85057973561665</v>
      </c>
      <c r="P63" s="15">
        <v>0.48942026438335517</v>
      </c>
    </row>
    <row r="64" spans="6:16" x14ac:dyDescent="0.3">
      <c r="F64" s="50">
        <v>39326</v>
      </c>
      <c r="G64" s="53">
        <v>125.35</v>
      </c>
      <c r="M64" s="54">
        <v>124.30171135922731</v>
      </c>
      <c r="N64" s="54"/>
      <c r="O64" s="54">
        <v>124.30171135922731</v>
      </c>
      <c r="P64" s="15">
        <v>1.0482886407726824</v>
      </c>
    </row>
    <row r="65" spans="6:16" x14ac:dyDescent="0.3">
      <c r="F65" s="50">
        <v>39356</v>
      </c>
      <c r="G65" s="53">
        <v>126.32</v>
      </c>
      <c r="M65" s="54">
        <v>124.7178783871197</v>
      </c>
      <c r="N65" s="54"/>
      <c r="O65" s="54">
        <v>124.7178783871197</v>
      </c>
      <c r="P65" s="15">
        <v>1.6021216128802962</v>
      </c>
    </row>
    <row r="66" spans="6:16" x14ac:dyDescent="0.3">
      <c r="F66" s="50">
        <v>39387</v>
      </c>
      <c r="G66" s="53">
        <v>126.17</v>
      </c>
      <c r="M66" s="54">
        <v>125.09617640446112</v>
      </c>
      <c r="N66" s="54"/>
      <c r="O66" s="54">
        <v>125.09617640446112</v>
      </c>
      <c r="P66" s="15">
        <v>1.0738235955388831</v>
      </c>
    </row>
    <row r="67" spans="6:16" x14ac:dyDescent="0.3">
      <c r="F67" s="50">
        <v>39417</v>
      </c>
      <c r="G67" s="53">
        <v>126.96</v>
      </c>
      <c r="M67" s="54">
        <v>125.43470232242747</v>
      </c>
      <c r="N67" s="54"/>
      <c r="O67" s="54">
        <v>125.43470232242747</v>
      </c>
      <c r="P67" s="15">
        <v>1.5252976775725244</v>
      </c>
    </row>
    <row r="68" spans="6:16" x14ac:dyDescent="0.3">
      <c r="F68" s="50">
        <v>39448</v>
      </c>
      <c r="G68" s="53">
        <v>127.22</v>
      </c>
      <c r="M68" s="54">
        <v>125.73222419194119</v>
      </c>
      <c r="N68" s="54"/>
      <c r="O68" s="54">
        <v>125.73222419194119</v>
      </c>
      <c r="P68" s="15">
        <v>1.4877758080588137</v>
      </c>
    </row>
    <row r="69" spans="6:16" x14ac:dyDescent="0.3">
      <c r="F69" s="50">
        <v>39479</v>
      </c>
      <c r="G69" s="53">
        <v>126.83</v>
      </c>
      <c r="M69" s="54">
        <v>125.98846337497385</v>
      </c>
      <c r="N69" s="54"/>
      <c r="O69" s="54">
        <v>125.98846337497385</v>
      </c>
      <c r="P69" s="15">
        <v>0.84153662502615134</v>
      </c>
    </row>
    <row r="70" spans="6:16" x14ac:dyDescent="0.3">
      <c r="F70" s="50">
        <v>39508</v>
      </c>
      <c r="G70" s="53">
        <v>126.44</v>
      </c>
      <c r="M70" s="54">
        <v>126.20407109337651</v>
      </c>
      <c r="N70" s="54"/>
      <c r="O70" s="54">
        <v>126.20407109337651</v>
      </c>
      <c r="P70" s="15">
        <v>0.23592890662348509</v>
      </c>
    </row>
    <row r="71" spans="6:16" x14ac:dyDescent="0.3">
      <c r="F71" s="50">
        <v>39539</v>
      </c>
      <c r="G71" s="53">
        <v>127.7</v>
      </c>
      <c r="M71" s="54">
        <v>126.38022452939107</v>
      </c>
      <c r="N71" s="54"/>
      <c r="O71" s="54">
        <v>126.38022452939107</v>
      </c>
      <c r="P71" s="15">
        <v>1.3197754706089313</v>
      </c>
    </row>
    <row r="72" spans="6:16" x14ac:dyDescent="0.3">
      <c r="F72" s="50">
        <v>39569</v>
      </c>
      <c r="G72" s="53">
        <v>129.4</v>
      </c>
      <c r="M72" s="54">
        <v>126.51824832082593</v>
      </c>
      <c r="N72" s="54"/>
      <c r="O72" s="54">
        <v>126.51824832082593</v>
      </c>
      <c r="P72" s="15">
        <v>2.8817516791740729</v>
      </c>
    </row>
    <row r="73" spans="6:16" x14ac:dyDescent="0.3">
      <c r="F73" s="50">
        <v>39600</v>
      </c>
      <c r="G73" s="53">
        <v>131.19</v>
      </c>
      <c r="M73" s="54">
        <v>126.62029196515856</v>
      </c>
      <c r="N73" s="54"/>
      <c r="O73" s="54">
        <v>126.62029196515856</v>
      </c>
      <c r="P73" s="15">
        <v>4.5697080348414403</v>
      </c>
    </row>
    <row r="74" spans="6:16" x14ac:dyDescent="0.3">
      <c r="F74" s="50">
        <v>39630</v>
      </c>
      <c r="G74" s="53">
        <v>130.93</v>
      </c>
      <c r="M74" s="54">
        <v>126.69030605466614</v>
      </c>
      <c r="N74" s="54"/>
      <c r="O74" s="54">
        <v>126.69030605466614</v>
      </c>
      <c r="P74" s="15">
        <v>4.2396939453338689</v>
      </c>
    </row>
    <row r="75" spans="6:16" x14ac:dyDescent="0.3">
      <c r="F75" s="50">
        <v>39661</v>
      </c>
      <c r="G75" s="53">
        <v>130.99</v>
      </c>
      <c r="M75" s="54">
        <v>126.7350972491473</v>
      </c>
      <c r="N75" s="54"/>
      <c r="O75" s="54">
        <v>126.7350972491473</v>
      </c>
      <c r="P75" s="15">
        <v>4.2549027508527075</v>
      </c>
    </row>
    <row r="76" spans="6:16" x14ac:dyDescent="0.3">
      <c r="F76" s="50">
        <v>39692</v>
      </c>
      <c r="G76" s="53">
        <v>130.93</v>
      </c>
      <c r="M76" s="54">
        <v>126.76412201711685</v>
      </c>
      <c r="N76" s="54"/>
      <c r="O76" s="54">
        <v>126.76412201711685</v>
      </c>
      <c r="P76" s="15">
        <v>4.1658779828831598</v>
      </c>
    </row>
    <row r="77" spans="6:16" x14ac:dyDescent="0.3">
      <c r="F77" s="50">
        <v>39722</v>
      </c>
      <c r="G77" s="53">
        <v>128.19</v>
      </c>
      <c r="M77" s="54">
        <v>126.78949614130859</v>
      </c>
      <c r="N77" s="54"/>
      <c r="O77" s="54">
        <v>126.78949614130859</v>
      </c>
      <c r="P77" s="15">
        <v>1.4005038586914083</v>
      </c>
    </row>
    <row r="78" spans="6:16" x14ac:dyDescent="0.3">
      <c r="F78" s="50">
        <v>39753</v>
      </c>
      <c r="G78" s="53">
        <v>124.95</v>
      </c>
      <c r="M78" s="54">
        <v>126.82593907819594</v>
      </c>
      <c r="N78" s="54"/>
      <c r="O78" s="54">
        <v>126.82593907819594</v>
      </c>
      <c r="P78" s="15">
        <v>-1.8759390781959411</v>
      </c>
    </row>
    <row r="79" spans="6:16" x14ac:dyDescent="0.3">
      <c r="F79" s="50">
        <v>39783</v>
      </c>
      <c r="G79" s="53">
        <v>120.93</v>
      </c>
      <c r="M79" s="54">
        <v>126.88904559916357</v>
      </c>
      <c r="N79" s="54"/>
      <c r="O79" s="54">
        <v>126.88904559916357</v>
      </c>
      <c r="P79" s="15">
        <v>-5.9590455991635594</v>
      </c>
    </row>
    <row r="80" spans="6:16" x14ac:dyDescent="0.3">
      <c r="F80" s="50">
        <v>39814</v>
      </c>
      <c r="G80" s="53">
        <v>120.82</v>
      </c>
      <c r="M80" s="54">
        <v>126.99323801367291</v>
      </c>
      <c r="N80" s="54"/>
      <c r="O80" s="54">
        <v>126.99323801367291</v>
      </c>
      <c r="P80" s="15">
        <v>-6.1732380136729148</v>
      </c>
    </row>
    <row r="81" spans="6:16" x14ac:dyDescent="0.3">
      <c r="F81" s="50">
        <v>39845</v>
      </c>
      <c r="G81" s="53">
        <v>122.19</v>
      </c>
      <c r="M81" s="54">
        <v>127.14921422768508</v>
      </c>
      <c r="N81" s="54"/>
      <c r="O81" s="54">
        <v>127.14921422768508</v>
      </c>
      <c r="P81" s="15">
        <v>-4.9592142276850808</v>
      </c>
    </row>
    <row r="82" spans="6:16" x14ac:dyDescent="0.3">
      <c r="F82" s="50">
        <v>39873</v>
      </c>
      <c r="G82" s="53">
        <v>122.97</v>
      </c>
      <c r="M82" s="54">
        <v>127.36381387340319</v>
      </c>
      <c r="N82" s="54"/>
      <c r="O82" s="54">
        <v>127.36381387340319</v>
      </c>
      <c r="P82" s="15">
        <v>-4.3938138734031895</v>
      </c>
    </row>
    <row r="83" spans="6:16" x14ac:dyDescent="0.3">
      <c r="F83" s="50">
        <v>39904</v>
      </c>
      <c r="G83" s="53">
        <v>123.64</v>
      </c>
      <c r="M83" s="54">
        <v>127.64077707413762</v>
      </c>
      <c r="N83" s="54"/>
      <c r="O83" s="54">
        <v>127.64077707413762</v>
      </c>
      <c r="P83" s="15">
        <v>-4.0007770741376163</v>
      </c>
    </row>
    <row r="84" spans="6:16" x14ac:dyDescent="0.3">
      <c r="F84" s="50">
        <v>39934</v>
      </c>
      <c r="G84" s="53">
        <v>124.87</v>
      </c>
      <c r="M84" s="54">
        <v>127.98109781952773</v>
      </c>
      <c r="N84" s="54"/>
      <c r="O84" s="54">
        <v>127.98109781952773</v>
      </c>
      <c r="P84" s="15">
        <v>-3.1110978195277283</v>
      </c>
    </row>
    <row r="85" spans="6:16" x14ac:dyDescent="0.3">
      <c r="F85" s="50">
        <v>39965</v>
      </c>
      <c r="G85" s="53">
        <v>125.93</v>
      </c>
      <c r="M85" s="54">
        <v>128.38326961354201</v>
      </c>
      <c r="N85" s="54"/>
      <c r="O85" s="54">
        <v>128.38326961354201</v>
      </c>
      <c r="P85" s="15">
        <v>-2.4532696135420053</v>
      </c>
    </row>
    <row r="86" spans="6:16" x14ac:dyDescent="0.3">
      <c r="F86" s="50">
        <v>39995</v>
      </c>
      <c r="G86" s="53">
        <v>126.29</v>
      </c>
      <c r="M86" s="54">
        <v>128.84384152401157</v>
      </c>
      <c r="N86" s="54"/>
      <c r="O86" s="54">
        <v>128.84384152401157</v>
      </c>
      <c r="P86" s="15">
        <v>-2.5538415240115597</v>
      </c>
    </row>
    <row r="87" spans="6:16" x14ac:dyDescent="0.3">
      <c r="F87" s="50">
        <v>40026</v>
      </c>
      <c r="G87" s="53">
        <v>128.09</v>
      </c>
      <c r="M87" s="54">
        <v>129.35782932525862</v>
      </c>
      <c r="N87" s="54"/>
      <c r="O87" s="54">
        <v>129.35782932525862</v>
      </c>
      <c r="P87" s="15">
        <v>-1.2678293252586172</v>
      </c>
    </row>
    <row r="88" spans="6:16" x14ac:dyDescent="0.3">
      <c r="F88" s="50">
        <v>40057</v>
      </c>
      <c r="G88" s="53">
        <v>129.12</v>
      </c>
      <c r="M88" s="54">
        <v>129.91865264065356</v>
      </c>
      <c r="N88" s="54"/>
      <c r="O88" s="54">
        <v>129.91865264065356</v>
      </c>
      <c r="P88" s="15">
        <v>-0.79865264065355746</v>
      </c>
    </row>
    <row r="89" spans="6:16" x14ac:dyDescent="0.3">
      <c r="F89" s="50">
        <v>40087</v>
      </c>
      <c r="G89" s="53">
        <v>129.79</v>
      </c>
      <c r="M89" s="54">
        <v>130.51893870023824</v>
      </c>
      <c r="N89" s="54"/>
      <c r="O89" s="54">
        <v>130.51893870023824</v>
      </c>
      <c r="P89" s="15">
        <v>-0.72893870023824547</v>
      </c>
    </row>
    <row r="90" spans="6:16" x14ac:dyDescent="0.3">
      <c r="F90" s="50">
        <v>40118</v>
      </c>
      <c r="G90" s="53">
        <v>130.02000000000001</v>
      </c>
      <c r="M90" s="54">
        <v>131.15081557615329</v>
      </c>
      <c r="N90" s="54"/>
      <c r="O90" s="54">
        <v>131.15081557615329</v>
      </c>
      <c r="P90" s="15">
        <v>-1.1308155761532817</v>
      </c>
    </row>
    <row r="91" spans="6:16" x14ac:dyDescent="0.3">
      <c r="F91" s="50">
        <v>40148</v>
      </c>
      <c r="G91" s="53">
        <v>131.30000000000001</v>
      </c>
      <c r="M91" s="54">
        <v>131.80595575385303</v>
      </c>
      <c r="N91" s="54"/>
      <c r="O91" s="54">
        <v>131.80595575385303</v>
      </c>
      <c r="P91" s="15">
        <v>-0.50595575385301572</v>
      </c>
    </row>
    <row r="92" spans="6:16" x14ac:dyDescent="0.3">
      <c r="F92" s="50">
        <v>40179</v>
      </c>
      <c r="G92" s="53">
        <v>133.47</v>
      </c>
      <c r="M92" s="54">
        <v>132.475324959056</v>
      </c>
      <c r="N92" s="54"/>
      <c r="O92" s="54">
        <v>132.475324959056</v>
      </c>
      <c r="P92" s="15">
        <v>0.99467504094400283</v>
      </c>
    </row>
    <row r="93" spans="6:16" x14ac:dyDescent="0.3">
      <c r="F93" s="50">
        <v>40210</v>
      </c>
      <c r="G93" s="53">
        <v>135.16999999999999</v>
      </c>
      <c r="M93" s="54">
        <v>133.14957269513411</v>
      </c>
      <c r="N93" s="54"/>
      <c r="O93" s="54">
        <v>133.14957269513411</v>
      </c>
      <c r="P93" s="15">
        <v>2.0204273048658763</v>
      </c>
    </row>
    <row r="94" spans="6:16" x14ac:dyDescent="0.3">
      <c r="F94" s="50">
        <v>40238</v>
      </c>
      <c r="G94" s="53">
        <v>136.59</v>
      </c>
      <c r="M94" s="54">
        <v>133.81997013736111</v>
      </c>
      <c r="N94" s="54"/>
      <c r="O94" s="54">
        <v>133.81997013736111</v>
      </c>
      <c r="P94" s="15">
        <v>2.7700298626388928</v>
      </c>
    </row>
    <row r="95" spans="6:16" x14ac:dyDescent="0.3">
      <c r="F95" s="50">
        <v>40269</v>
      </c>
      <c r="G95" s="53">
        <v>137.05000000000001</v>
      </c>
      <c r="M95" s="54">
        <v>134.47905122807515</v>
      </c>
      <c r="N95" s="54"/>
      <c r="O95" s="54">
        <v>134.47905122807515</v>
      </c>
      <c r="P95" s="15">
        <v>2.5709487719248614</v>
      </c>
    </row>
    <row r="96" spans="6:16" x14ac:dyDescent="0.3">
      <c r="F96" s="50">
        <v>40299</v>
      </c>
      <c r="G96" s="53">
        <v>136.49</v>
      </c>
      <c r="M96" s="54">
        <v>135.12108117827924</v>
      </c>
      <c r="N96" s="54"/>
      <c r="O96" s="54">
        <v>135.12108117827924</v>
      </c>
      <c r="P96" s="15">
        <v>1.3689188217207686</v>
      </c>
    </row>
    <row r="97" spans="6:16" x14ac:dyDescent="0.3">
      <c r="F97" s="50">
        <v>40330</v>
      </c>
      <c r="G97" s="53">
        <v>136.22999999999999</v>
      </c>
      <c r="M97" s="54">
        <v>135.74193204195879</v>
      </c>
      <c r="N97" s="54"/>
      <c r="O97" s="54">
        <v>135.74193204195879</v>
      </c>
      <c r="P97" s="15">
        <v>0.48806795804119929</v>
      </c>
    </row>
    <row r="98" spans="6:16" x14ac:dyDescent="0.3">
      <c r="F98" s="50">
        <v>40360</v>
      </c>
      <c r="G98" s="53">
        <v>136.93</v>
      </c>
      <c r="M98" s="54">
        <v>136.33833144736329</v>
      </c>
      <c r="N98" s="54"/>
      <c r="O98" s="54">
        <v>136.33833144736329</v>
      </c>
      <c r="P98" s="15">
        <v>0.59166855263671891</v>
      </c>
    </row>
    <row r="99" spans="6:16" x14ac:dyDescent="0.3">
      <c r="F99" s="50">
        <v>40391</v>
      </c>
      <c r="G99" s="53">
        <v>137.66999999999999</v>
      </c>
      <c r="M99" s="54">
        <v>136.90731206521437</v>
      </c>
      <c r="N99" s="54"/>
      <c r="O99" s="54">
        <v>136.90731206521437</v>
      </c>
      <c r="P99" s="15">
        <v>0.76268793478561747</v>
      </c>
    </row>
    <row r="100" spans="6:16" x14ac:dyDescent="0.3">
      <c r="F100" s="50">
        <v>40422</v>
      </c>
      <c r="G100" s="53">
        <v>139.41</v>
      </c>
      <c r="M100" s="54">
        <v>137.44627635908066</v>
      </c>
      <c r="N100" s="54"/>
      <c r="O100" s="54">
        <v>137.44627635908066</v>
      </c>
      <c r="P100" s="15">
        <v>1.9637236409193406</v>
      </c>
    </row>
    <row r="101" spans="6:16" x14ac:dyDescent="0.3">
      <c r="F101" s="50">
        <v>40452</v>
      </c>
      <c r="G101" s="53">
        <v>138.72</v>
      </c>
      <c r="M101" s="54">
        <v>137.95310347248957</v>
      </c>
      <c r="N101" s="54"/>
      <c r="O101" s="54">
        <v>137.95310347248957</v>
      </c>
      <c r="P101" s="15">
        <v>0.76689652751042559</v>
      </c>
    </row>
    <row r="102" spans="6:16" x14ac:dyDescent="0.3">
      <c r="F102" s="50">
        <v>40483</v>
      </c>
      <c r="G102" s="53">
        <v>140.09</v>
      </c>
      <c r="M102" s="54">
        <v>138.42689987624411</v>
      </c>
      <c r="N102" s="54"/>
      <c r="O102" s="54">
        <v>138.42689987624411</v>
      </c>
      <c r="P102" s="15">
        <v>1.6631001237558962</v>
      </c>
    </row>
    <row r="103" spans="6:16" x14ac:dyDescent="0.3">
      <c r="F103" s="50">
        <v>40513</v>
      </c>
      <c r="G103" s="53">
        <v>138.29</v>
      </c>
      <c r="M103" s="54">
        <v>138.86725135147694</v>
      </c>
      <c r="N103" s="54"/>
      <c r="O103" s="54">
        <v>138.86725135147694</v>
      </c>
      <c r="P103" s="15">
        <v>-0.57725135147694573</v>
      </c>
    </row>
    <row r="104" spans="6:16" x14ac:dyDescent="0.3">
      <c r="F104" s="50">
        <v>40544</v>
      </c>
      <c r="G104" s="53">
        <v>140.13999999999999</v>
      </c>
      <c r="M104" s="54">
        <v>139.27478311689774</v>
      </c>
      <c r="N104" s="54"/>
      <c r="O104" s="54">
        <v>139.27478311689774</v>
      </c>
      <c r="P104" s="15">
        <v>0.86521688310224931</v>
      </c>
    </row>
    <row r="105" spans="6:16" x14ac:dyDescent="0.3">
      <c r="F105" s="50">
        <v>40575</v>
      </c>
      <c r="G105" s="53">
        <v>140.72</v>
      </c>
      <c r="M105" s="54">
        <v>139.64975960912238</v>
      </c>
      <c r="N105" s="54"/>
      <c r="O105" s="54">
        <v>139.64975960912238</v>
      </c>
      <c r="P105" s="15">
        <v>1.0702403908776148</v>
      </c>
    </row>
    <row r="106" spans="6:16" x14ac:dyDescent="0.3">
      <c r="F106" s="50">
        <v>40603</v>
      </c>
      <c r="G106" s="53">
        <v>141.1</v>
      </c>
      <c r="M106" s="54">
        <v>139.99298602531749</v>
      </c>
      <c r="N106" s="54"/>
      <c r="O106" s="54">
        <v>139.99298602531749</v>
      </c>
      <c r="P106" s="15">
        <v>1.1070139746825021</v>
      </c>
    </row>
    <row r="107" spans="6:16" x14ac:dyDescent="0.3">
      <c r="F107" s="50">
        <v>40634</v>
      </c>
      <c r="G107" s="53">
        <v>140.84</v>
      </c>
      <c r="M107" s="54">
        <v>140.30593646289492</v>
      </c>
      <c r="N107" s="54"/>
      <c r="O107" s="54">
        <v>140.30593646289492</v>
      </c>
      <c r="P107" s="15">
        <v>0.5340635371050837</v>
      </c>
    </row>
    <row r="108" spans="6:16" x14ac:dyDescent="0.3">
      <c r="F108" s="50">
        <v>40664</v>
      </c>
      <c r="G108" s="53">
        <v>141.27000000000001</v>
      </c>
      <c r="M108" s="54">
        <v>140.59077690300066</v>
      </c>
      <c r="N108" s="54"/>
      <c r="O108" s="54">
        <v>140.59077690300066</v>
      </c>
      <c r="P108" s="15">
        <v>0.67922309699935113</v>
      </c>
    </row>
    <row r="109" spans="6:16" x14ac:dyDescent="0.3">
      <c r="F109" s="50">
        <v>40695</v>
      </c>
      <c r="G109" s="53">
        <v>142.22</v>
      </c>
      <c r="M109" s="54">
        <v>140.85000711649124</v>
      </c>
      <c r="N109" s="54"/>
      <c r="O109" s="54">
        <v>140.85000711649124</v>
      </c>
      <c r="P109" s="15">
        <v>1.3699928835087576</v>
      </c>
    </row>
    <row r="110" spans="6:16" x14ac:dyDescent="0.3">
      <c r="F110" s="50">
        <v>40725</v>
      </c>
      <c r="G110" s="53">
        <v>142.25</v>
      </c>
      <c r="M110" s="54">
        <v>141.08655138865819</v>
      </c>
      <c r="N110" s="54"/>
      <c r="O110" s="54">
        <v>141.08655138865819</v>
      </c>
      <c r="P110" s="15">
        <v>1.1634486113418063</v>
      </c>
    </row>
    <row r="111" spans="6:16" x14ac:dyDescent="0.3">
      <c r="F111" s="50">
        <v>40756</v>
      </c>
      <c r="G111" s="53">
        <v>141.96</v>
      </c>
      <c r="M111" s="54">
        <v>141.30419025034615</v>
      </c>
      <c r="N111" s="54"/>
      <c r="O111" s="54">
        <v>141.30419025034615</v>
      </c>
      <c r="P111" s="15">
        <v>0.65580974965385508</v>
      </c>
    </row>
    <row r="112" spans="6:16" x14ac:dyDescent="0.3">
      <c r="F112" s="50">
        <v>40787</v>
      </c>
      <c r="G112" s="53">
        <v>141.79</v>
      </c>
      <c r="M112" s="54">
        <v>141.50743138778193</v>
      </c>
      <c r="N112" s="54"/>
      <c r="O112" s="54">
        <v>141.50743138778193</v>
      </c>
      <c r="P112" s="15">
        <v>0.28256861221805707</v>
      </c>
    </row>
    <row r="113" spans="6:16" x14ac:dyDescent="0.3">
      <c r="F113" s="50">
        <v>40817</v>
      </c>
      <c r="G113" s="53">
        <v>141.58000000000001</v>
      </c>
      <c r="M113" s="54">
        <v>141.70119236828478</v>
      </c>
      <c r="N113" s="54"/>
      <c r="O113" s="54">
        <v>141.70119236828478</v>
      </c>
      <c r="P113" s="15">
        <v>-0.12119236828476687</v>
      </c>
    </row>
    <row r="114" spans="6:16" x14ac:dyDescent="0.3">
      <c r="F114" s="50">
        <v>40848</v>
      </c>
      <c r="G114" s="53">
        <v>142.25</v>
      </c>
      <c r="M114" s="54">
        <v>141.89056736455754</v>
      </c>
      <c r="N114" s="54"/>
      <c r="O114" s="54">
        <v>141.89056736455754</v>
      </c>
      <c r="P114" s="15">
        <v>0.35943263544245951</v>
      </c>
    </row>
    <row r="115" spans="6:16" x14ac:dyDescent="0.3">
      <c r="F115" s="50">
        <v>40878</v>
      </c>
      <c r="G115" s="53">
        <v>140.44999999999999</v>
      </c>
      <c r="M115" s="54">
        <v>142.08057480407277</v>
      </c>
      <c r="N115" s="54"/>
      <c r="O115" s="54">
        <v>142.08057480407277</v>
      </c>
      <c r="P115" s="15">
        <v>-1.6305748040727792</v>
      </c>
    </row>
    <row r="116" spans="6:16" x14ac:dyDescent="0.3">
      <c r="F116" s="50">
        <v>40909</v>
      </c>
      <c r="G116" s="53">
        <v>138.87</v>
      </c>
      <c r="M116" s="54">
        <v>142.27645775970004</v>
      </c>
      <c r="N116" s="54"/>
      <c r="O116" s="54">
        <v>142.27645775970004</v>
      </c>
      <c r="P116" s="15">
        <v>-3.4064577597000323</v>
      </c>
    </row>
    <row r="117" spans="6:16" x14ac:dyDescent="0.3">
      <c r="F117" s="50">
        <v>40940</v>
      </c>
      <c r="G117" s="53">
        <v>140.49</v>
      </c>
      <c r="M117" s="54">
        <v>142.482440195056</v>
      </c>
      <c r="N117" s="54"/>
      <c r="O117" s="54">
        <v>142.482440195056</v>
      </c>
      <c r="P117" s="15">
        <v>-1.9924401950559911</v>
      </c>
    </row>
    <row r="118" spans="6:16" x14ac:dyDescent="0.3">
      <c r="F118" s="50">
        <v>40969</v>
      </c>
      <c r="G118" s="53">
        <v>140.06</v>
      </c>
      <c r="M118" s="54">
        <v>142.70061703765853</v>
      </c>
      <c r="N118" s="54"/>
      <c r="O118" s="54">
        <v>142.70061703765853</v>
      </c>
      <c r="P118" s="15">
        <v>-2.6406170376585294</v>
      </c>
    </row>
    <row r="119" spans="6:16" x14ac:dyDescent="0.3">
      <c r="F119" s="50">
        <v>41000</v>
      </c>
      <c r="G119" s="53">
        <v>141.04</v>
      </c>
      <c r="M119" s="54">
        <v>142.93183793990289</v>
      </c>
      <c r="N119" s="54"/>
      <c r="O119" s="54">
        <v>142.93183793990289</v>
      </c>
      <c r="P119" s="15">
        <v>-1.8918379399028993</v>
      </c>
    </row>
    <row r="120" spans="6:16" x14ac:dyDescent="0.3">
      <c r="F120" s="50">
        <v>41030</v>
      </c>
      <c r="G120" s="53">
        <v>142.66999999999999</v>
      </c>
      <c r="M120" s="54">
        <v>143.17530216853615</v>
      </c>
      <c r="N120" s="54"/>
      <c r="O120" s="54">
        <v>143.17530216853615</v>
      </c>
      <c r="P120" s="15">
        <v>-0.50530216853616139</v>
      </c>
    </row>
    <row r="121" spans="6:16" x14ac:dyDescent="0.3">
      <c r="F121" s="50">
        <v>41061</v>
      </c>
      <c r="G121" s="53">
        <v>143.56</v>
      </c>
      <c r="M121" s="54">
        <v>143.4290265915925</v>
      </c>
      <c r="N121" s="54"/>
      <c r="O121" s="54">
        <v>143.4290265915925</v>
      </c>
      <c r="P121" s="15">
        <v>0.13097340840749894</v>
      </c>
    </row>
    <row r="122" spans="6:16" x14ac:dyDescent="0.3">
      <c r="F122" s="50">
        <v>41091</v>
      </c>
      <c r="G122" s="53">
        <v>144.03</v>
      </c>
      <c r="M122" s="54">
        <v>143.6907122632511</v>
      </c>
      <c r="N122" s="54"/>
      <c r="O122" s="54">
        <v>143.6907122632511</v>
      </c>
      <c r="P122" s="15">
        <v>0.33928773674890067</v>
      </c>
    </row>
    <row r="123" spans="6:16" x14ac:dyDescent="0.3">
      <c r="F123" s="50">
        <v>41122</v>
      </c>
      <c r="G123" s="53">
        <v>144.35</v>
      </c>
      <c r="M123" s="54">
        <v>143.95814209607136</v>
      </c>
      <c r="N123" s="54"/>
      <c r="O123" s="54">
        <v>143.95814209607136</v>
      </c>
      <c r="P123" s="15">
        <v>0.39185790392863851</v>
      </c>
    </row>
    <row r="124" spans="6:16" x14ac:dyDescent="0.3">
      <c r="F124" s="50">
        <v>41153</v>
      </c>
      <c r="G124" s="53">
        <v>143.71</v>
      </c>
      <c r="M124" s="54">
        <v>144.22931105744766</v>
      </c>
      <c r="N124" s="54"/>
      <c r="O124" s="54">
        <v>144.22931105744766</v>
      </c>
      <c r="P124" s="15">
        <v>-0.51931105744765205</v>
      </c>
    </row>
    <row r="125" spans="6:16" x14ac:dyDescent="0.3">
      <c r="F125" s="50">
        <v>41183</v>
      </c>
      <c r="G125" s="53">
        <v>144.86000000000001</v>
      </c>
      <c r="M125" s="54">
        <v>144.50245902596535</v>
      </c>
      <c r="N125" s="54"/>
      <c r="O125" s="54">
        <v>144.50245902596535</v>
      </c>
      <c r="P125" s="15">
        <v>0.3575409740346629</v>
      </c>
    </row>
    <row r="126" spans="6:16" x14ac:dyDescent="0.3">
      <c r="F126" s="50">
        <v>41214</v>
      </c>
      <c r="G126" s="53">
        <v>144.58000000000001</v>
      </c>
      <c r="M126" s="54">
        <v>144.77550131079826</v>
      </c>
      <c r="N126" s="54"/>
      <c r="O126" s="54">
        <v>144.77550131079826</v>
      </c>
      <c r="P126" s="15">
        <v>-0.19550131079824951</v>
      </c>
    </row>
    <row r="127" spans="6:16" x14ac:dyDescent="0.3">
      <c r="F127" s="50">
        <v>41244</v>
      </c>
      <c r="G127" s="53">
        <v>144.16</v>
      </c>
      <c r="M127" s="54">
        <v>145.04657668422865</v>
      </c>
      <c r="N127" s="54"/>
      <c r="O127" s="54">
        <v>145.04657668422865</v>
      </c>
      <c r="P127" s="15">
        <v>-0.88657668422865754</v>
      </c>
    </row>
    <row r="128" spans="6:16" x14ac:dyDescent="0.3">
      <c r="F128" s="50">
        <v>41275</v>
      </c>
      <c r="G128" s="53">
        <v>144.99</v>
      </c>
      <c r="M128" s="54">
        <v>145.31370173021986</v>
      </c>
      <c r="N128" s="54"/>
      <c r="O128" s="54">
        <v>145.31370173021986</v>
      </c>
      <c r="P128" s="15">
        <v>-0.32370173021985238</v>
      </c>
    </row>
    <row r="129" spans="6:16" x14ac:dyDescent="0.3">
      <c r="F129" s="50">
        <v>41306</v>
      </c>
      <c r="G129" s="53">
        <v>143.77000000000001</v>
      </c>
      <c r="M129" s="54">
        <v>145.57433892230776</v>
      </c>
      <c r="N129" s="54"/>
      <c r="O129" s="54">
        <v>145.57433892230776</v>
      </c>
      <c r="P129" s="15">
        <v>-1.8043389223077497</v>
      </c>
    </row>
    <row r="130" spans="6:16" x14ac:dyDescent="0.3">
      <c r="F130" s="50">
        <v>41334</v>
      </c>
      <c r="G130" s="53">
        <v>144.94999999999999</v>
      </c>
      <c r="M130" s="54">
        <v>145.82574842044656</v>
      </c>
      <c r="N130" s="54"/>
      <c r="O130" s="54">
        <v>145.82574842044656</v>
      </c>
      <c r="P130" s="15">
        <v>-0.87574842044656975</v>
      </c>
    </row>
    <row r="131" spans="6:16" x14ac:dyDescent="0.3">
      <c r="F131" s="50">
        <v>41365</v>
      </c>
      <c r="G131" s="53">
        <v>146.24</v>
      </c>
      <c r="M131" s="54">
        <v>146.06406267276415</v>
      </c>
      <c r="N131" s="54"/>
      <c r="O131" s="54">
        <v>146.06406267276415</v>
      </c>
      <c r="P131" s="15">
        <v>0.17593732723585731</v>
      </c>
    </row>
    <row r="132" spans="6:16" x14ac:dyDescent="0.3">
      <c r="F132" s="50">
        <v>41395</v>
      </c>
      <c r="G132" s="53">
        <v>146.83000000000001</v>
      </c>
      <c r="M132" s="54">
        <v>146.28486678462571</v>
      </c>
      <c r="N132" s="54"/>
      <c r="O132" s="54">
        <v>146.28486678462571</v>
      </c>
      <c r="P132" s="15">
        <v>0.5451332153743067</v>
      </c>
    </row>
    <row r="133" spans="6:16" x14ac:dyDescent="0.3">
      <c r="F133" s="50">
        <v>41426</v>
      </c>
      <c r="G133" s="53">
        <v>146.35</v>
      </c>
      <c r="M133" s="54">
        <v>146.48385582222588</v>
      </c>
      <c r="N133" s="54"/>
      <c r="O133" s="54">
        <v>146.48385582222588</v>
      </c>
      <c r="P133" s="15">
        <v>-0.13385582222588255</v>
      </c>
    </row>
    <row r="134" spans="6:16" x14ac:dyDescent="0.3">
      <c r="F134" s="50">
        <v>41456</v>
      </c>
      <c r="G134" s="53">
        <v>147.19</v>
      </c>
      <c r="M134" s="54">
        <v>146.65706556001851</v>
      </c>
      <c r="N134" s="54"/>
      <c r="O134" s="54">
        <v>146.65706556001851</v>
      </c>
      <c r="P134" s="15">
        <v>0.53293443998148859</v>
      </c>
    </row>
    <row r="135" spans="6:16" x14ac:dyDescent="0.3">
      <c r="F135" s="50">
        <v>41487</v>
      </c>
      <c r="G135" s="53">
        <v>147.11000000000001</v>
      </c>
      <c r="M135" s="54">
        <v>146.8004481125696</v>
      </c>
      <c r="N135" s="54"/>
      <c r="O135" s="54">
        <v>146.8004481125696</v>
      </c>
      <c r="P135" s="15">
        <v>0.30955188743041617</v>
      </c>
    </row>
    <row r="136" spans="6:16" x14ac:dyDescent="0.3">
      <c r="F136" s="50">
        <v>41518</v>
      </c>
      <c r="G136" s="53">
        <v>148.13999999999999</v>
      </c>
      <c r="M136" s="54">
        <v>146.91028867846939</v>
      </c>
      <c r="N136" s="54"/>
      <c r="O136" s="54">
        <v>146.91028867846939</v>
      </c>
      <c r="P136" s="15">
        <v>1.2297113215306013</v>
      </c>
    </row>
    <row r="137" spans="6:16" x14ac:dyDescent="0.3">
      <c r="F137" s="50">
        <v>41548</v>
      </c>
      <c r="G137" s="53">
        <v>147.99</v>
      </c>
      <c r="M137" s="54">
        <v>146.98306592623734</v>
      </c>
      <c r="N137" s="54"/>
      <c r="O137" s="54">
        <v>146.98306592623734</v>
      </c>
      <c r="P137" s="15">
        <v>1.0069340737626646</v>
      </c>
    </row>
    <row r="138" spans="6:16" x14ac:dyDescent="0.3">
      <c r="F138" s="50">
        <v>41579</v>
      </c>
      <c r="G138" s="53">
        <v>148.34</v>
      </c>
      <c r="M138" s="54">
        <v>147.01602709396968</v>
      </c>
      <c r="N138" s="54"/>
      <c r="O138" s="54">
        <v>147.01602709396968</v>
      </c>
      <c r="P138" s="15">
        <v>1.3239729060303205</v>
      </c>
    </row>
    <row r="139" spans="6:16" x14ac:dyDescent="0.3">
      <c r="F139" s="50">
        <v>41609</v>
      </c>
      <c r="G139" s="53">
        <v>148.61000000000001</v>
      </c>
      <c r="M139" s="54">
        <v>147.00704875355828</v>
      </c>
      <c r="N139" s="54"/>
      <c r="O139" s="54">
        <v>147.00704875355828</v>
      </c>
      <c r="P139" s="15">
        <v>1.6029512464417337</v>
      </c>
    </row>
    <row r="140" spans="6:16" x14ac:dyDescent="0.3">
      <c r="F140" s="50">
        <v>41640</v>
      </c>
      <c r="G140" s="53">
        <v>148.27000000000001</v>
      </c>
      <c r="M140" s="54">
        <v>146.95483495996115</v>
      </c>
      <c r="N140" s="54"/>
      <c r="O140" s="54">
        <v>146.95483495996115</v>
      </c>
      <c r="P140" s="15">
        <v>1.3151650400388633</v>
      </c>
    </row>
    <row r="141" spans="6:16" x14ac:dyDescent="0.3">
      <c r="F141" s="50">
        <v>41671</v>
      </c>
      <c r="G141" s="53">
        <v>147.85</v>
      </c>
      <c r="M141" s="54">
        <v>146.85909161266596</v>
      </c>
      <c r="N141" s="54"/>
      <c r="O141" s="54">
        <v>146.85909161266596</v>
      </c>
      <c r="P141" s="15">
        <v>0.99090838733403075</v>
      </c>
    </row>
    <row r="142" spans="6:16" x14ac:dyDescent="0.3">
      <c r="F142" s="50">
        <v>41699</v>
      </c>
      <c r="G142" s="53">
        <v>147.88999999999999</v>
      </c>
      <c r="M142" s="54">
        <v>146.72034658930906</v>
      </c>
      <c r="N142" s="54"/>
      <c r="O142" s="54">
        <v>146.72034658930906</v>
      </c>
      <c r="P142" s="15">
        <v>1.1696534106909269</v>
      </c>
    </row>
    <row r="143" spans="6:16" x14ac:dyDescent="0.3">
      <c r="F143" s="50">
        <v>41730</v>
      </c>
      <c r="G143" s="53">
        <v>146.88</v>
      </c>
      <c r="M143" s="54">
        <v>146.53974708527008</v>
      </c>
      <c r="N143" s="54"/>
      <c r="O143" s="54">
        <v>146.53974708527008</v>
      </c>
      <c r="P143" s="15">
        <v>0.34025291472991626</v>
      </c>
    </row>
    <row r="144" spans="6:16" x14ac:dyDescent="0.3">
      <c r="F144" s="50">
        <v>41760</v>
      </c>
      <c r="G144" s="53">
        <v>146.30000000000001</v>
      </c>
      <c r="M144" s="54">
        <v>146.31917132931011</v>
      </c>
      <c r="N144" s="54"/>
      <c r="O144" s="54">
        <v>146.31917132931011</v>
      </c>
      <c r="P144" s="15">
        <v>-1.9171329310097462E-2</v>
      </c>
    </row>
    <row r="145" spans="6:16" x14ac:dyDescent="0.3">
      <c r="F145" s="50">
        <v>41791</v>
      </c>
      <c r="G145" s="53">
        <v>143.61000000000001</v>
      </c>
      <c r="M145" s="54">
        <v>146.06071020826127</v>
      </c>
      <c r="N145" s="54"/>
      <c r="O145" s="54">
        <v>146.06071020826127</v>
      </c>
      <c r="P145" s="15">
        <v>-2.4507102082612562</v>
      </c>
    </row>
    <row r="146" spans="6:16" x14ac:dyDescent="0.3">
      <c r="F146" s="50">
        <v>41821</v>
      </c>
      <c r="G146" s="53">
        <v>144.81</v>
      </c>
      <c r="M146" s="54">
        <v>145.76644262687537</v>
      </c>
      <c r="N146" s="54"/>
      <c r="O146" s="54">
        <v>145.76644262687537</v>
      </c>
      <c r="P146" s="15">
        <v>-0.95644262687537207</v>
      </c>
    </row>
    <row r="147" spans="6:16" x14ac:dyDescent="0.3">
      <c r="F147" s="50">
        <v>41852</v>
      </c>
      <c r="G147" s="53">
        <v>145.58000000000001</v>
      </c>
      <c r="M147" s="54">
        <v>145.43691579602358</v>
      </c>
      <c r="N147" s="54"/>
      <c r="O147" s="54">
        <v>145.43691579602358</v>
      </c>
      <c r="P147" s="15">
        <v>0.14308420397642863</v>
      </c>
    </row>
    <row r="148" spans="6:16" x14ac:dyDescent="0.3">
      <c r="F148" s="50">
        <v>41883</v>
      </c>
      <c r="G148" s="53">
        <v>146.24</v>
      </c>
      <c r="M148" s="54">
        <v>145.07207914993617</v>
      </c>
      <c r="N148" s="54"/>
      <c r="O148" s="54">
        <v>145.07207914993617</v>
      </c>
      <c r="P148" s="15">
        <v>1.1679208500638367</v>
      </c>
    </row>
    <row r="149" spans="6:16" x14ac:dyDescent="0.3">
      <c r="F149" s="50">
        <v>41913</v>
      </c>
      <c r="G149" s="53">
        <v>145.41999999999999</v>
      </c>
      <c r="M149" s="54">
        <v>144.67197155046949</v>
      </c>
      <c r="N149" s="54"/>
      <c r="O149" s="54">
        <v>144.67197155046949</v>
      </c>
      <c r="P149" s="15">
        <v>0.7480284495304943</v>
      </c>
    </row>
    <row r="150" spans="6:16" x14ac:dyDescent="0.3">
      <c r="F150" s="50">
        <v>41944</v>
      </c>
      <c r="G150" s="53">
        <v>145.56</v>
      </c>
      <c r="M150" s="54">
        <v>144.23736181001226</v>
      </c>
      <c r="N150" s="54"/>
      <c r="O150" s="54">
        <v>144.23736181001226</v>
      </c>
      <c r="P150" s="15">
        <v>1.3226381899877424</v>
      </c>
    </row>
    <row r="151" spans="6:16" x14ac:dyDescent="0.3">
      <c r="F151" s="50">
        <v>41974</v>
      </c>
      <c r="G151" s="53">
        <v>146.21</v>
      </c>
      <c r="M151" s="54">
        <v>143.76948625873348</v>
      </c>
      <c r="N151" s="54"/>
      <c r="O151" s="54">
        <v>143.76948625873348</v>
      </c>
      <c r="P151" s="15">
        <v>2.4405137412665283</v>
      </c>
    </row>
    <row r="152" spans="6:16" x14ac:dyDescent="0.3">
      <c r="F152" s="50">
        <v>42005</v>
      </c>
      <c r="G152" s="53">
        <v>144.96</v>
      </c>
      <c r="M152" s="54">
        <v>143.27040787567151</v>
      </c>
      <c r="N152" s="54"/>
      <c r="O152" s="54">
        <v>143.27040787567151</v>
      </c>
      <c r="P152" s="15">
        <v>1.6895921243284988</v>
      </c>
    </row>
    <row r="153" spans="6:16" x14ac:dyDescent="0.3">
      <c r="F153" s="50">
        <v>42036</v>
      </c>
      <c r="G153" s="53">
        <v>143.97999999999999</v>
      </c>
      <c r="M153" s="54">
        <v>142.7437149609523</v>
      </c>
      <c r="N153" s="54"/>
      <c r="O153" s="54">
        <v>142.7437149609523</v>
      </c>
      <c r="P153" s="15">
        <v>1.2362850390476865</v>
      </c>
    </row>
    <row r="154" spans="6:16" x14ac:dyDescent="0.3">
      <c r="F154" s="50">
        <v>42064</v>
      </c>
      <c r="G154" s="53">
        <v>143.72999999999999</v>
      </c>
      <c r="M154" s="54">
        <v>142.19405180977992</v>
      </c>
      <c r="N154" s="54"/>
      <c r="O154" s="54">
        <v>142.19405180977992</v>
      </c>
      <c r="P154" s="15">
        <v>1.5359481902200685</v>
      </c>
    </row>
    <row r="155" spans="6:16" x14ac:dyDescent="0.3">
      <c r="F155" s="50">
        <v>42095</v>
      </c>
      <c r="G155" s="53">
        <v>142.38</v>
      </c>
      <c r="M155" s="54">
        <v>141.62683539550764</v>
      </c>
      <c r="N155" s="54"/>
      <c r="O155" s="54">
        <v>141.62683539550764</v>
      </c>
      <c r="P155" s="15">
        <v>0.75316460449235478</v>
      </c>
    </row>
    <row r="156" spans="6:16" x14ac:dyDescent="0.3">
      <c r="F156" s="50">
        <v>42125</v>
      </c>
      <c r="G156" s="53">
        <v>141.08000000000001</v>
      </c>
      <c r="M156" s="54">
        <v>141.04844265910805</v>
      </c>
      <c r="N156" s="54"/>
      <c r="O156" s="54">
        <v>141.04844265910805</v>
      </c>
      <c r="P156" s="15">
        <v>3.1557340891964714E-2</v>
      </c>
    </row>
    <row r="157" spans="6:16" x14ac:dyDescent="0.3">
      <c r="F157" s="50">
        <v>42156</v>
      </c>
      <c r="G157" s="53">
        <v>139.58000000000001</v>
      </c>
      <c r="M157" s="54">
        <v>140.46572126943113</v>
      </c>
      <c r="N157" s="54"/>
      <c r="O157" s="54">
        <v>140.46572126943113</v>
      </c>
      <c r="P157" s="15">
        <v>-0.88572126943111584</v>
      </c>
    </row>
    <row r="158" spans="6:16" x14ac:dyDescent="0.3">
      <c r="F158" s="50">
        <v>42186</v>
      </c>
      <c r="G158" s="53">
        <v>138.66999999999999</v>
      </c>
      <c r="M158" s="54">
        <v>139.88553861866538</v>
      </c>
      <c r="N158" s="54"/>
      <c r="O158" s="54">
        <v>139.88553861866538</v>
      </c>
      <c r="P158" s="15">
        <v>-1.2155386186653914</v>
      </c>
    </row>
    <row r="159" spans="6:16" x14ac:dyDescent="0.3">
      <c r="F159" s="50">
        <v>42217</v>
      </c>
      <c r="G159" s="53">
        <v>138.93</v>
      </c>
      <c r="M159" s="54">
        <v>139.31420852320562</v>
      </c>
      <c r="N159" s="54"/>
      <c r="O159" s="54">
        <v>139.31420852320562</v>
      </c>
      <c r="P159" s="15">
        <v>-0.38420852320561494</v>
      </c>
    </row>
    <row r="160" spans="6:16" x14ac:dyDescent="0.3">
      <c r="F160" s="50">
        <v>42248</v>
      </c>
      <c r="G160" s="53">
        <v>137.57</v>
      </c>
      <c r="M160" s="54">
        <v>138.75728508781037</v>
      </c>
      <c r="N160" s="54"/>
      <c r="O160" s="54">
        <v>138.75728508781037</v>
      </c>
      <c r="P160" s="15">
        <v>-1.1872850878103804</v>
      </c>
    </row>
    <row r="161" spans="6:16" x14ac:dyDescent="0.3">
      <c r="F161" s="50">
        <v>42278</v>
      </c>
      <c r="G161" s="53">
        <v>138.51</v>
      </c>
      <c r="M161" s="54">
        <v>138.22008228691064</v>
      </c>
      <c r="N161" s="54"/>
      <c r="O161" s="54">
        <v>138.22008228691064</v>
      </c>
      <c r="P161" s="15">
        <v>0.28991771308935199</v>
      </c>
    </row>
    <row r="162" spans="6:16" x14ac:dyDescent="0.3">
      <c r="F162" s="50">
        <v>42309</v>
      </c>
      <c r="G162" s="53">
        <v>136.68</v>
      </c>
      <c r="M162" s="54">
        <v>137.70717204175784</v>
      </c>
      <c r="N162" s="54"/>
      <c r="O162" s="54">
        <v>137.70717204175784</v>
      </c>
      <c r="P162" s="15">
        <v>-1.0271720417578365</v>
      </c>
    </row>
    <row r="163" spans="6:16" x14ac:dyDescent="0.3">
      <c r="F163" s="50">
        <v>42339</v>
      </c>
      <c r="G163" s="53">
        <v>136.31</v>
      </c>
      <c r="M163" s="54">
        <v>137.22330747217381</v>
      </c>
      <c r="N163" s="54"/>
      <c r="O163" s="54">
        <v>137.22330747217381</v>
      </c>
      <c r="P163" s="15">
        <v>-0.91330747217381258</v>
      </c>
    </row>
    <row r="164" spans="6:16" x14ac:dyDescent="0.3">
      <c r="F164" s="50">
        <v>42370</v>
      </c>
      <c r="G164" s="53">
        <v>135.52000000000001</v>
      </c>
      <c r="M164" s="54">
        <v>136.77259971545482</v>
      </c>
      <c r="N164" s="54"/>
      <c r="O164" s="54">
        <v>136.77259971545482</v>
      </c>
      <c r="P164" s="15">
        <v>-1.2525997154548065</v>
      </c>
    </row>
    <row r="165" spans="6:16" x14ac:dyDescent="0.3">
      <c r="F165" s="50">
        <v>42401</v>
      </c>
      <c r="G165" s="53">
        <v>135.51</v>
      </c>
      <c r="M165" s="54">
        <v>136.35858909172651</v>
      </c>
      <c r="N165" s="54"/>
      <c r="O165" s="54">
        <v>136.35858909172651</v>
      </c>
      <c r="P165" s="15">
        <v>-0.84858909172652375</v>
      </c>
    </row>
    <row r="166" spans="6:16" x14ac:dyDescent="0.3">
      <c r="F166" s="50">
        <v>42430</v>
      </c>
      <c r="G166" s="53">
        <v>134.61000000000001</v>
      </c>
      <c r="M166" s="54">
        <v>135.98403304629281</v>
      </c>
      <c r="N166" s="54"/>
      <c r="O166" s="54">
        <v>135.98403304629281</v>
      </c>
      <c r="P166" s="15">
        <v>-1.3740330462927943</v>
      </c>
    </row>
    <row r="167" spans="6:16" x14ac:dyDescent="0.3">
      <c r="F167" s="50">
        <v>42461</v>
      </c>
      <c r="G167" s="53">
        <v>134.72999999999999</v>
      </c>
      <c r="M167" s="54">
        <v>135.65115865627442</v>
      </c>
      <c r="N167" s="54"/>
      <c r="O167" s="54">
        <v>135.65115865627442</v>
      </c>
      <c r="P167" s="15">
        <v>-0.92115865627442872</v>
      </c>
    </row>
    <row r="168" spans="6:16" x14ac:dyDescent="0.3">
      <c r="F168" s="50">
        <v>42491</v>
      </c>
      <c r="G168" s="53">
        <v>134.29</v>
      </c>
      <c r="M168" s="54">
        <v>135.36133422813913</v>
      </c>
      <c r="N168" s="54"/>
      <c r="O168" s="54">
        <v>135.36133422813913</v>
      </c>
      <c r="P168" s="15">
        <v>-1.0713342281391363</v>
      </c>
    </row>
    <row r="169" spans="6:16" x14ac:dyDescent="0.3">
      <c r="F169" s="50">
        <v>42522</v>
      </c>
      <c r="G169" s="53">
        <v>134.84</v>
      </c>
      <c r="M169" s="54">
        <v>135.11535234419418</v>
      </c>
      <c r="N169" s="54"/>
      <c r="O169" s="54">
        <v>135.11535234419418</v>
      </c>
      <c r="P169" s="15">
        <v>-0.2753523441941752</v>
      </c>
    </row>
    <row r="170" spans="6:16" x14ac:dyDescent="0.3">
      <c r="F170" s="50">
        <v>42552</v>
      </c>
      <c r="G170" s="53">
        <v>134.61000000000001</v>
      </c>
      <c r="M170" s="54">
        <v>134.91333600285404</v>
      </c>
      <c r="N170" s="54"/>
      <c r="O170" s="54">
        <v>134.91333600285404</v>
      </c>
      <c r="P170" s="15">
        <v>-0.3033360028540244</v>
      </c>
    </row>
    <row r="171" spans="6:16" x14ac:dyDescent="0.3">
      <c r="F171" s="50">
        <v>42583</v>
      </c>
      <c r="G171" s="53">
        <v>134</v>
      </c>
      <c r="M171" s="54">
        <v>134.75523610731841</v>
      </c>
      <c r="N171" s="54"/>
      <c r="O171" s="54">
        <v>134.75523610731841</v>
      </c>
      <c r="P171" s="15">
        <v>-0.75523610731841018</v>
      </c>
    </row>
    <row r="172" spans="6:16" x14ac:dyDescent="0.3">
      <c r="F172" s="50">
        <v>42614</v>
      </c>
      <c r="G172" s="53">
        <v>133.75</v>
      </c>
      <c r="M172" s="54">
        <v>134.64081397578468</v>
      </c>
      <c r="N172" s="54"/>
      <c r="O172" s="54">
        <v>134.64081397578468</v>
      </c>
      <c r="P172" s="15">
        <v>-0.89081397578468113</v>
      </c>
    </row>
    <row r="173" spans="6:16" x14ac:dyDescent="0.3">
      <c r="F173" s="50">
        <v>42644</v>
      </c>
      <c r="G173" s="53">
        <v>133.30000000000001</v>
      </c>
      <c r="M173" s="54">
        <v>134.56935890388357</v>
      </c>
      <c r="N173" s="54"/>
      <c r="O173" s="54">
        <v>134.56935890388357</v>
      </c>
      <c r="P173" s="15">
        <v>-1.2693589038835569</v>
      </c>
    </row>
    <row r="174" spans="6:16" x14ac:dyDescent="0.3">
      <c r="F174" s="50">
        <v>42675</v>
      </c>
      <c r="G174" s="53">
        <v>133.02000000000001</v>
      </c>
      <c r="M174" s="54">
        <v>134.5396034285109</v>
      </c>
      <c r="N174" s="54"/>
      <c r="O174" s="54">
        <v>134.5396034285109</v>
      </c>
      <c r="P174" s="15">
        <v>-1.5196034285108908</v>
      </c>
    </row>
    <row r="175" spans="6:16" x14ac:dyDescent="0.3">
      <c r="F175" s="50">
        <v>42705</v>
      </c>
      <c r="G175" s="53">
        <v>132.36000000000001</v>
      </c>
      <c r="M175" s="54">
        <v>134.54948673724715</v>
      </c>
      <c r="N175" s="54"/>
      <c r="O175" s="54">
        <v>134.54948673724715</v>
      </c>
      <c r="P175" s="15">
        <v>-2.1894867372471367</v>
      </c>
    </row>
    <row r="176" spans="6:16" x14ac:dyDescent="0.3">
      <c r="F176" s="50">
        <v>42736</v>
      </c>
      <c r="G176" s="53">
        <v>133.37</v>
      </c>
      <c r="M176" s="54">
        <v>134.5959982655306</v>
      </c>
      <c r="N176" s="54"/>
      <c r="O176" s="54">
        <v>134.5959982655306</v>
      </c>
      <c r="P176" s="15">
        <v>-1.2259982655305919</v>
      </c>
    </row>
    <row r="177" spans="6:16" x14ac:dyDescent="0.3">
      <c r="F177" s="50">
        <v>42767</v>
      </c>
      <c r="G177" s="53">
        <v>135.4</v>
      </c>
      <c r="M177" s="54">
        <v>134.67475901958849</v>
      </c>
      <c r="N177" s="54"/>
      <c r="O177" s="54">
        <v>134.67475901958849</v>
      </c>
      <c r="P177" s="15">
        <v>0.72524098041151319</v>
      </c>
    </row>
    <row r="178" spans="6:16" x14ac:dyDescent="0.3">
      <c r="F178" s="50">
        <v>42795</v>
      </c>
      <c r="G178" s="53">
        <v>135.65</v>
      </c>
      <c r="M178" s="54">
        <v>134.78062375673238</v>
      </c>
      <c r="N178" s="54"/>
      <c r="O178" s="54">
        <v>134.78062375673238</v>
      </c>
      <c r="P178" s="15">
        <v>0.86937624326762375</v>
      </c>
    </row>
    <row r="179" spans="6:16" x14ac:dyDescent="0.3">
      <c r="F179" s="50">
        <v>42826</v>
      </c>
      <c r="G179" s="53">
        <v>135.77000000000001</v>
      </c>
      <c r="M179" s="54">
        <v>134.90890050988614</v>
      </c>
      <c r="N179" s="54"/>
      <c r="O179" s="54">
        <v>134.90890050988614</v>
      </c>
      <c r="P179" s="15">
        <v>0.86109949011387243</v>
      </c>
    </row>
    <row r="180" spans="6:16" x14ac:dyDescent="0.3">
      <c r="F180" s="50">
        <v>42856</v>
      </c>
      <c r="G180" s="53">
        <v>135.16999999999999</v>
      </c>
      <c r="M180" s="54">
        <v>135.05544067212591</v>
      </c>
      <c r="N180" s="54"/>
      <c r="O180" s="54">
        <v>135.05544067212591</v>
      </c>
      <c r="P180" s="15">
        <v>0.11455932787407619</v>
      </c>
    </row>
    <row r="181" spans="6:16" x14ac:dyDescent="0.3">
      <c r="F181" s="50">
        <v>42887</v>
      </c>
      <c r="G181" s="53">
        <v>136.04</v>
      </c>
      <c r="M181" s="54">
        <v>135.21663382370937</v>
      </c>
      <c r="N181" s="54"/>
      <c r="O181" s="54">
        <v>135.21663382370937</v>
      </c>
      <c r="P181" s="15">
        <v>0.82336617629061948</v>
      </c>
    </row>
    <row r="182" spans="6:16" x14ac:dyDescent="0.3">
      <c r="F182" s="50">
        <v>42917</v>
      </c>
      <c r="G182" s="53">
        <v>136.49</v>
      </c>
      <c r="M182" s="54">
        <v>135.38894114447399</v>
      </c>
      <c r="N182" s="54"/>
      <c r="O182" s="54">
        <v>135.38894114447399</v>
      </c>
      <c r="P182" s="15">
        <v>1.1010588555260199</v>
      </c>
    </row>
    <row r="183" spans="6:16" x14ac:dyDescent="0.3">
      <c r="F183" s="50">
        <v>42948</v>
      </c>
      <c r="G183" s="53">
        <v>135.81</v>
      </c>
      <c r="M183" s="54">
        <v>135.5693384181171</v>
      </c>
      <c r="N183" s="54"/>
      <c r="O183" s="54">
        <v>135.5693384181171</v>
      </c>
      <c r="P183" s="15">
        <v>0.24066158188290387</v>
      </c>
    </row>
    <row r="184" spans="6:16" x14ac:dyDescent="0.3">
      <c r="F184" s="50">
        <v>42979</v>
      </c>
      <c r="G184" s="53">
        <v>135.49</v>
      </c>
      <c r="M184" s="54">
        <v>135.75548959012107</v>
      </c>
      <c r="N184" s="54"/>
      <c r="O184" s="54">
        <v>135.75548959012107</v>
      </c>
      <c r="P184" s="15">
        <v>-0.26548959012106366</v>
      </c>
    </row>
    <row r="185" spans="6:16" x14ac:dyDescent="0.3">
      <c r="F185" s="50">
        <v>43009</v>
      </c>
      <c r="G185" s="53">
        <v>135.77000000000001</v>
      </c>
      <c r="M185" s="54">
        <v>135.94520901945683</v>
      </c>
      <c r="N185" s="54"/>
      <c r="O185" s="54">
        <v>135.94520901945683</v>
      </c>
      <c r="P185" s="15">
        <v>-0.17520901945681544</v>
      </c>
    </row>
    <row r="186" spans="6:16" x14ac:dyDescent="0.3">
      <c r="F186" s="50">
        <v>43040</v>
      </c>
      <c r="G186" s="53">
        <v>135.57</v>
      </c>
      <c r="M186" s="54">
        <v>136.13614513410121</v>
      </c>
      <c r="N186" s="54"/>
      <c r="O186" s="54">
        <v>136.13614513410121</v>
      </c>
      <c r="P186" s="15">
        <v>-0.56614513410121958</v>
      </c>
    </row>
    <row r="187" spans="6:16" x14ac:dyDescent="0.3">
      <c r="F187" s="50">
        <v>43070</v>
      </c>
      <c r="G187" s="53">
        <v>137.43</v>
      </c>
      <c r="M187" s="54">
        <v>136.32583685639446</v>
      </c>
      <c r="N187" s="54"/>
      <c r="O187" s="54">
        <v>136.32583685639446</v>
      </c>
      <c r="P187" s="15">
        <v>1.1041631436055468</v>
      </c>
    </row>
    <row r="188" spans="6:16" x14ac:dyDescent="0.3">
      <c r="F188" s="50">
        <v>43101</v>
      </c>
      <c r="G188" s="53">
        <v>136.85</v>
      </c>
      <c r="M188" s="54">
        <v>136.5114692679675</v>
      </c>
      <c r="N188" s="54"/>
      <c r="O188" s="54">
        <v>136.5114692679675</v>
      </c>
      <c r="P188" s="15">
        <v>0.33853073203249551</v>
      </c>
    </row>
    <row r="189" spans="6:16" x14ac:dyDescent="0.3">
      <c r="F189" s="50">
        <v>43132</v>
      </c>
      <c r="G189" s="53">
        <v>136.63999999999999</v>
      </c>
      <c r="M189" s="54">
        <v>136.69091755241629</v>
      </c>
      <c r="N189" s="54"/>
      <c r="O189" s="54">
        <v>136.69091755241629</v>
      </c>
      <c r="P189" s="15">
        <v>-5.0917552416308354E-2</v>
      </c>
    </row>
    <row r="190" spans="6:16" x14ac:dyDescent="0.3">
      <c r="F190" s="50">
        <v>43160</v>
      </c>
      <c r="G190" s="53">
        <v>137.26</v>
      </c>
      <c r="M190" s="54">
        <v>136.862268475044</v>
      </c>
      <c r="N190" s="54"/>
      <c r="O190" s="54">
        <v>136.862268475044</v>
      </c>
      <c r="P190" s="15">
        <v>0.39773152495598652</v>
      </c>
    </row>
    <row r="191" spans="6:16" x14ac:dyDescent="0.3">
      <c r="F191" s="50">
        <v>43191</v>
      </c>
      <c r="G191" s="53">
        <v>138.36000000000001</v>
      </c>
      <c r="M191" s="54">
        <v>137.02357697768394</v>
      </c>
      <c r="N191" s="54"/>
      <c r="O191" s="54">
        <v>137.02357697768394</v>
      </c>
      <c r="P191" s="15">
        <v>1.3364230223160689</v>
      </c>
    </row>
    <row r="192" spans="6:16" x14ac:dyDescent="0.3">
      <c r="F192" s="50">
        <v>43221</v>
      </c>
      <c r="G192" s="53">
        <v>133.38999999999999</v>
      </c>
      <c r="M192" s="54">
        <v>137.17314658437212</v>
      </c>
      <c r="N192" s="54"/>
      <c r="O192" s="54">
        <v>137.17314658437212</v>
      </c>
      <c r="P192" s="15">
        <v>-3.7831465843721332</v>
      </c>
    </row>
    <row r="193" spans="6:16" x14ac:dyDescent="0.3">
      <c r="F193" s="50">
        <v>43252</v>
      </c>
      <c r="G193" s="53">
        <v>137.44</v>
      </c>
      <c r="M193" s="54">
        <v>137.31011608353387</v>
      </c>
      <c r="N193" s="54"/>
      <c r="O193" s="54">
        <v>137.31011608353387</v>
      </c>
      <c r="P193" s="15">
        <v>0.1298839164661274</v>
      </c>
    </row>
    <row r="194" spans="6:16" x14ac:dyDescent="0.3">
      <c r="F194" s="50">
        <v>43282</v>
      </c>
      <c r="G194" s="53">
        <v>138.04</v>
      </c>
      <c r="M194" s="54">
        <v>137.43125979697902</v>
      </c>
      <c r="N194" s="54"/>
      <c r="O194" s="54">
        <v>137.43125979697902</v>
      </c>
      <c r="P194" s="15">
        <v>0.60874020302097165</v>
      </c>
    </row>
    <row r="195" spans="6:16" x14ac:dyDescent="0.3">
      <c r="F195" s="50">
        <v>43313</v>
      </c>
      <c r="G195" s="53">
        <v>139.32</v>
      </c>
      <c r="M195" s="54">
        <v>137.53343322396535</v>
      </c>
      <c r="N195" s="54"/>
      <c r="O195" s="54">
        <v>137.53343322396535</v>
      </c>
      <c r="P195" s="15">
        <v>1.7865667760346469</v>
      </c>
    </row>
    <row r="196" spans="6:16" x14ac:dyDescent="0.3">
      <c r="F196" s="50">
        <v>43344</v>
      </c>
      <c r="G196" s="53">
        <v>137.99</v>
      </c>
      <c r="M196" s="54">
        <v>137.61387232637784</v>
      </c>
      <c r="N196" s="54"/>
      <c r="O196" s="54">
        <v>137.61387232637784</v>
      </c>
      <c r="P196" s="15">
        <v>0.37612767362216459</v>
      </c>
    </row>
    <row r="197" spans="6:16" x14ac:dyDescent="0.3">
      <c r="F197" s="50">
        <v>43374</v>
      </c>
      <c r="G197" s="53">
        <v>138.06</v>
      </c>
      <c r="M197" s="54">
        <v>137.67092967033608</v>
      </c>
      <c r="N197" s="54"/>
      <c r="O197" s="54">
        <v>137.67092967033608</v>
      </c>
      <c r="P197" s="15">
        <v>0.38907032966392308</v>
      </c>
    </row>
    <row r="198" spans="6:16" x14ac:dyDescent="0.3">
      <c r="F198" s="50">
        <v>43405</v>
      </c>
      <c r="G198" s="53">
        <v>137.86000000000001</v>
      </c>
      <c r="M198" s="54">
        <v>137.70319290175598</v>
      </c>
      <c r="N198" s="54"/>
      <c r="O198" s="54">
        <v>137.70319290175598</v>
      </c>
      <c r="P198" s="15">
        <v>0.15680709824403039</v>
      </c>
    </row>
    <row r="199" spans="6:16" x14ac:dyDescent="0.3">
      <c r="F199" s="50">
        <v>43435</v>
      </c>
      <c r="G199" s="53">
        <v>138.53</v>
      </c>
      <c r="M199" s="54">
        <v>137.70949283550925</v>
      </c>
      <c r="N199" s="54"/>
      <c r="O199" s="54">
        <v>137.70949283550925</v>
      </c>
      <c r="P199" s="15">
        <v>0.82050716449074912</v>
      </c>
    </row>
    <row r="200" spans="6:16" x14ac:dyDescent="0.3">
      <c r="F200" s="50">
        <v>43466</v>
      </c>
      <c r="G200" s="53">
        <v>138.47999999999999</v>
      </c>
      <c r="M200" s="54">
        <v>137.68875829090416</v>
      </c>
      <c r="N200" s="54"/>
      <c r="O200" s="54">
        <v>137.68875829090416</v>
      </c>
      <c r="P200" s="15">
        <v>0.79124170909582858</v>
      </c>
    </row>
    <row r="201" spans="6:16" x14ac:dyDescent="0.3">
      <c r="F201" s="50">
        <v>43497</v>
      </c>
      <c r="G201" s="53">
        <v>137.38</v>
      </c>
      <c r="M201" s="54">
        <v>137.64043090422678</v>
      </c>
      <c r="N201" s="54"/>
      <c r="O201" s="54">
        <v>137.64043090422678</v>
      </c>
      <c r="P201" s="15">
        <v>-0.26043090422678006</v>
      </c>
    </row>
    <row r="202" spans="6:16" x14ac:dyDescent="0.3">
      <c r="F202" s="50">
        <v>43525</v>
      </c>
      <c r="G202" s="53">
        <v>138.41999999999999</v>
      </c>
      <c r="M202" s="54">
        <v>137.56444683783155</v>
      </c>
      <c r="N202" s="54"/>
      <c r="O202" s="54">
        <v>137.56444683783155</v>
      </c>
      <c r="P202" s="15">
        <v>0.8555531621684338</v>
      </c>
    </row>
    <row r="203" spans="6:16" x14ac:dyDescent="0.3">
      <c r="F203" s="50">
        <v>43556</v>
      </c>
      <c r="G203" s="53">
        <v>138.09</v>
      </c>
      <c r="M203" s="54">
        <v>137.46057948475763</v>
      </c>
      <c r="N203" s="54"/>
      <c r="O203" s="54">
        <v>137.46057948475763</v>
      </c>
      <c r="P203" s="15">
        <v>0.62942051524237286</v>
      </c>
    </row>
    <row r="204" spans="6:16" x14ac:dyDescent="0.3">
      <c r="F204" s="50">
        <v>43586</v>
      </c>
      <c r="G204" s="53">
        <v>138.96</v>
      </c>
      <c r="M204" s="54">
        <v>137.32913695877053</v>
      </c>
      <c r="N204" s="54"/>
      <c r="O204" s="54">
        <v>137.32913695877053</v>
      </c>
      <c r="P204" s="15">
        <v>1.6308630412294747</v>
      </c>
    </row>
    <row r="205" spans="6:16" x14ac:dyDescent="0.3">
      <c r="F205" s="50">
        <v>43617</v>
      </c>
      <c r="G205" s="53">
        <v>138.99</v>
      </c>
      <c r="M205" s="54">
        <v>137.17082076145817</v>
      </c>
      <c r="N205" s="54"/>
      <c r="O205" s="54">
        <v>137.17082076145817</v>
      </c>
      <c r="P205" s="15">
        <v>1.8191792385418353</v>
      </c>
    </row>
    <row r="206" spans="6:16" x14ac:dyDescent="0.3">
      <c r="F206" s="50">
        <v>43647</v>
      </c>
      <c r="G206" s="53">
        <v>138.56</v>
      </c>
      <c r="M206" s="54">
        <v>136.98735168380844</v>
      </c>
      <c r="N206" s="54"/>
      <c r="O206" s="54">
        <v>136.98735168380844</v>
      </c>
      <c r="P206" s="15">
        <v>1.572648316191561</v>
      </c>
    </row>
    <row r="207" spans="6:16" x14ac:dyDescent="0.3">
      <c r="F207" s="50">
        <v>43678</v>
      </c>
      <c r="G207" s="53">
        <v>138.59</v>
      </c>
      <c r="M207" s="54">
        <v>136.78158750383395</v>
      </c>
      <c r="N207" s="54"/>
      <c r="O207" s="54">
        <v>136.78158750383395</v>
      </c>
      <c r="P207" s="15">
        <v>1.8084124961660564</v>
      </c>
    </row>
    <row r="208" spans="6:16" x14ac:dyDescent="0.3">
      <c r="F208" s="50">
        <v>43709</v>
      </c>
      <c r="G208" s="53">
        <v>139.09</v>
      </c>
      <c r="M208" s="54">
        <v>136.55736890474466</v>
      </c>
      <c r="N208" s="54"/>
      <c r="O208" s="54">
        <v>136.55736890474466</v>
      </c>
      <c r="P208" s="15">
        <v>2.5326310952553399</v>
      </c>
    </row>
    <row r="209" spans="6:16" x14ac:dyDescent="0.3">
      <c r="F209" s="50">
        <v>43739</v>
      </c>
      <c r="G209" s="53">
        <v>139.96</v>
      </c>
      <c r="M209" s="54">
        <v>136.31966682756067</v>
      </c>
      <c r="N209" s="54"/>
      <c r="O209" s="54">
        <v>136.31966682756067</v>
      </c>
      <c r="P209" s="15">
        <v>3.6403331724393411</v>
      </c>
    </row>
    <row r="210" spans="6:16" x14ac:dyDescent="0.3">
      <c r="F210" s="50">
        <v>43770</v>
      </c>
      <c r="G210" s="53">
        <v>138.79</v>
      </c>
      <c r="M210" s="54">
        <v>136.07503510773651</v>
      </c>
      <c r="N210" s="54"/>
      <c r="O210" s="54">
        <v>136.07503510773651</v>
      </c>
      <c r="P210" s="15">
        <v>2.714964892263481</v>
      </c>
    </row>
    <row r="211" spans="6:16" x14ac:dyDescent="0.3">
      <c r="F211" s="50">
        <v>43800</v>
      </c>
      <c r="G211" s="53">
        <v>138.09</v>
      </c>
      <c r="M211" s="54">
        <v>135.83230278895965</v>
      </c>
      <c r="N211" s="54"/>
      <c r="O211" s="54">
        <v>135.83230278895965</v>
      </c>
      <c r="P211" s="15">
        <v>2.2576972110403517</v>
      </c>
    </row>
    <row r="212" spans="6:16" x14ac:dyDescent="0.3">
      <c r="F212" s="50">
        <v>43831</v>
      </c>
      <c r="G212" s="53">
        <v>138.83000000000001</v>
      </c>
      <c r="M212" s="54">
        <v>135.6019957679749</v>
      </c>
      <c r="N212" s="54"/>
      <c r="O212" s="54">
        <v>135.6019957679749</v>
      </c>
      <c r="P212" s="15">
        <v>3.2280042320251141</v>
      </c>
    </row>
    <row r="213" spans="6:16" x14ac:dyDescent="0.3">
      <c r="F213" s="50">
        <v>43862</v>
      </c>
      <c r="G213" s="53">
        <v>139.36000000000001</v>
      </c>
      <c r="M213" s="54">
        <v>135.39605100228448</v>
      </c>
      <c r="N213" s="54"/>
      <c r="O213" s="54">
        <v>135.39605100228448</v>
      </c>
      <c r="P213" s="15">
        <v>3.9639489977155336</v>
      </c>
    </row>
    <row r="214" spans="6:16" x14ac:dyDescent="0.3">
      <c r="F214" s="50">
        <v>43891</v>
      </c>
      <c r="G214" s="53">
        <v>132.13</v>
      </c>
      <c r="M214" s="54">
        <v>135.22842295203517</v>
      </c>
      <c r="N214" s="54"/>
      <c r="O214" s="54">
        <v>135.22842295203517</v>
      </c>
      <c r="P214" s="15">
        <v>-3.0984229520351789</v>
      </c>
    </row>
    <row r="215" spans="6:16" x14ac:dyDescent="0.3">
      <c r="F215" s="50">
        <v>43922</v>
      </c>
      <c r="G215" s="53">
        <v>118.98</v>
      </c>
      <c r="M215" s="54">
        <v>135.11554354549739</v>
      </c>
      <c r="N215" s="54"/>
      <c r="O215" s="54">
        <v>135.11554354549739</v>
      </c>
      <c r="P215" s="15">
        <v>-16.135543545497384</v>
      </c>
    </row>
    <row r="216" spans="6:16" x14ac:dyDescent="0.3">
      <c r="F216" s="50">
        <v>43952</v>
      </c>
      <c r="G216" s="53">
        <v>121.47</v>
      </c>
      <c r="M216" s="54">
        <v>135.07190819659655</v>
      </c>
      <c r="N216" s="54"/>
      <c r="O216" s="54">
        <v>135.07190819659655</v>
      </c>
      <c r="P216" s="15">
        <v>-13.601908196596554</v>
      </c>
    </row>
    <row r="217" spans="6:16" x14ac:dyDescent="0.3">
      <c r="F217" s="50">
        <v>43983</v>
      </c>
      <c r="G217" s="53">
        <v>127.62</v>
      </c>
      <c r="M217" s="54">
        <v>135.10192760454217</v>
      </c>
      <c r="N217" s="54"/>
      <c r="O217" s="54">
        <v>135.10192760454217</v>
      </c>
      <c r="P217" s="15">
        <v>-7.4819276045421645</v>
      </c>
    </row>
    <row r="218" spans="6:16" x14ac:dyDescent="0.3">
      <c r="F218" s="50">
        <v>44013</v>
      </c>
      <c r="G218" s="53">
        <v>131.76</v>
      </c>
      <c r="M218" s="54">
        <v>135.20151127592072</v>
      </c>
      <c r="N218" s="54"/>
      <c r="O218" s="54">
        <v>135.20151127592072</v>
      </c>
      <c r="P218" s="15">
        <v>-3.4415112759207318</v>
      </c>
    </row>
    <row r="219" spans="6:16" x14ac:dyDescent="0.3">
      <c r="F219" s="50">
        <v>44044</v>
      </c>
      <c r="G219" s="53">
        <v>134.5</v>
      </c>
      <c r="M219" s="54">
        <v>135.36189251256616</v>
      </c>
      <c r="N219" s="54"/>
      <c r="O219" s="54">
        <v>135.36189251256616</v>
      </c>
      <c r="P219" s="15">
        <v>-0.86189251256615762</v>
      </c>
    </row>
    <row r="220" spans="6:16" x14ac:dyDescent="0.3">
      <c r="F220" s="50">
        <v>44075</v>
      </c>
      <c r="G220" s="53">
        <v>136.44</v>
      </c>
      <c r="M220" s="54">
        <v>135.57215367176465</v>
      </c>
      <c r="N220" s="54"/>
      <c r="O220" s="54">
        <v>135.57215367176465</v>
      </c>
      <c r="P220" s="15">
        <v>0.8678463282353448</v>
      </c>
    </row>
    <row r="221" spans="6:16" x14ac:dyDescent="0.3">
      <c r="F221" s="50">
        <v>44105</v>
      </c>
      <c r="G221" s="53">
        <v>138.36000000000001</v>
      </c>
      <c r="M221" s="54">
        <v>135.82083842798218</v>
      </c>
      <c r="N221" s="54"/>
      <c r="O221" s="54">
        <v>135.82083842798218</v>
      </c>
      <c r="P221" s="15">
        <v>2.5391615720178322</v>
      </c>
    </row>
    <row r="222" spans="6:16" x14ac:dyDescent="0.3">
      <c r="F222" s="50">
        <v>44136</v>
      </c>
      <c r="G222" s="53">
        <v>137.9</v>
      </c>
      <c r="M222" s="54">
        <v>136.09703285963965</v>
      </c>
      <c r="N222" s="54"/>
      <c r="O222" s="54">
        <v>136.09703285963965</v>
      </c>
      <c r="P222" s="15">
        <v>1.8029671403603516</v>
      </c>
    </row>
    <row r="223" spans="6:16" x14ac:dyDescent="0.3">
      <c r="F223" s="50">
        <v>44166</v>
      </c>
      <c r="G223" s="53">
        <v>138.19</v>
      </c>
      <c r="M223" s="54">
        <v>136.39141002114076</v>
      </c>
      <c r="N223" s="54"/>
      <c r="O223" s="54">
        <v>136.39141002114076</v>
      </c>
      <c r="P223" s="15">
        <v>1.7985899788592405</v>
      </c>
    </row>
    <row r="224" spans="6:16" x14ac:dyDescent="0.3">
      <c r="F224" s="50">
        <v>44197</v>
      </c>
      <c r="G224" s="53">
        <v>139.01</v>
      </c>
      <c r="M224" s="54">
        <v>136.69576982135166</v>
      </c>
      <c r="N224" s="54"/>
      <c r="O224" s="54">
        <v>136.69576982135166</v>
      </c>
      <c r="P224" s="15">
        <v>2.3142301786483301</v>
      </c>
    </row>
    <row r="225" spans="6:16" x14ac:dyDescent="0.3">
      <c r="F225" s="50">
        <v>44228</v>
      </c>
      <c r="G225" s="53">
        <v>141.1</v>
      </c>
      <c r="M225" s="54">
        <v>137.00303628787537</v>
      </c>
      <c r="N225" s="54"/>
      <c r="O225" s="54">
        <v>137.00303628787537</v>
      </c>
      <c r="P225" s="15">
        <v>4.0969637121246194</v>
      </c>
    </row>
    <row r="226" spans="6:16" x14ac:dyDescent="0.3">
      <c r="F226" s="50">
        <v>44256</v>
      </c>
      <c r="G226" s="53">
        <v>138.85</v>
      </c>
      <c r="M226" s="54">
        <v>137.30757984217672</v>
      </c>
      <c r="N226" s="54"/>
      <c r="O226" s="54">
        <v>137.30757984217672</v>
      </c>
      <c r="P226" s="15">
        <v>1.5424201578232726</v>
      </c>
    </row>
    <row r="227" spans="6:16" x14ac:dyDescent="0.3">
      <c r="F227" s="50">
        <v>44287</v>
      </c>
      <c r="G227" s="53">
        <v>139.22999999999999</v>
      </c>
      <c r="M227" s="54">
        <v>137.60633150804051</v>
      </c>
      <c r="N227" s="54"/>
      <c r="O227" s="54">
        <v>137.60633150804051</v>
      </c>
      <c r="P227" s="15">
        <v>1.6236684919594779</v>
      </c>
    </row>
    <row r="228" spans="6:16" x14ac:dyDescent="0.3">
      <c r="F228" s="50">
        <v>44317</v>
      </c>
      <c r="G228" s="53">
        <v>139.28</v>
      </c>
      <c r="M228" s="54">
        <v>137.8971863218504</v>
      </c>
      <c r="N228" s="54"/>
      <c r="O228" s="54">
        <v>137.8971863218504</v>
      </c>
      <c r="P228" s="15">
        <v>1.3828136781496028</v>
      </c>
    </row>
    <row r="229" spans="6:16" x14ac:dyDescent="0.3">
      <c r="F229" s="50">
        <v>44348</v>
      </c>
      <c r="G229" s="53">
        <v>139.53</v>
      </c>
      <c r="M229" s="54">
        <v>138.17905411279739</v>
      </c>
      <c r="N229" s="54"/>
      <c r="O229" s="54">
        <v>138.17905411279739</v>
      </c>
      <c r="P229" s="15">
        <v>1.350945887202613</v>
      </c>
    </row>
    <row r="230" spans="6:16" x14ac:dyDescent="0.3">
      <c r="F230" s="50">
        <v>44378</v>
      </c>
      <c r="G230" s="53">
        <v>139.36000000000001</v>
      </c>
      <c r="M230" s="54">
        <v>138.45170896862135</v>
      </c>
      <c r="N230" s="54"/>
      <c r="O230" s="54">
        <v>138.45170896862135</v>
      </c>
      <c r="P230" s="15">
        <v>0.90829103137866696</v>
      </c>
    </row>
    <row r="231" spans="6:16" x14ac:dyDescent="0.3">
      <c r="F231" s="50">
        <v>44409</v>
      </c>
      <c r="G231" s="53">
        <v>139.5</v>
      </c>
      <c r="M231" s="54">
        <v>138.71576931824166</v>
      </c>
      <c r="N231" s="54"/>
      <c r="O231" s="54">
        <v>138.71576931824166</v>
      </c>
      <c r="P231" s="15">
        <v>0.78423068175834487</v>
      </c>
    </row>
    <row r="232" spans="6:16" x14ac:dyDescent="0.3">
      <c r="F232" s="50">
        <v>44440</v>
      </c>
      <c r="G232" s="53">
        <v>138.69999999999999</v>
      </c>
      <c r="M232" s="54">
        <v>138.97242127247236</v>
      </c>
      <c r="N232" s="54"/>
      <c r="O232" s="54">
        <v>138.97242127247236</v>
      </c>
      <c r="P232" s="15">
        <v>-0.27242127247237136</v>
      </c>
    </row>
    <row r="233" spans="6:16" x14ac:dyDescent="0.3">
      <c r="F233" s="50">
        <v>44470</v>
      </c>
      <c r="G233" s="53">
        <v>138.77000000000001</v>
      </c>
      <c r="M233" s="54">
        <v>139.22334108630366</v>
      </c>
      <c r="N233" s="54"/>
      <c r="O233" s="54">
        <v>139.22334108630366</v>
      </c>
      <c r="P233" s="15">
        <v>-0.45334108630365222</v>
      </c>
    </row>
    <row r="234" spans="6:16" x14ac:dyDescent="0.3">
      <c r="F234" s="50">
        <v>44501</v>
      </c>
      <c r="G234" s="53">
        <v>139.4</v>
      </c>
      <c r="M234" s="54">
        <v>139.47003475143046</v>
      </c>
      <c r="N234" s="54"/>
      <c r="O234" s="54">
        <v>139.47003475143046</v>
      </c>
      <c r="P234" s="15">
        <v>-7.0034751430455344E-2</v>
      </c>
    </row>
    <row r="235" spans="6:16" x14ac:dyDescent="0.3">
      <c r="F235" s="50">
        <v>44531</v>
      </c>
      <c r="G235" s="53">
        <v>139.85</v>
      </c>
      <c r="M235" s="54">
        <v>139.71372492136877</v>
      </c>
      <c r="N235" s="54"/>
      <c r="O235" s="54">
        <v>139.71372492136877</v>
      </c>
      <c r="P235" s="15">
        <v>0.13627507863122901</v>
      </c>
    </row>
    <row r="236" spans="6:16" x14ac:dyDescent="0.3">
      <c r="F236" s="50">
        <v>44562</v>
      </c>
      <c r="G236" s="53">
        <v>138.83000000000001</v>
      </c>
      <c r="M236" s="54">
        <v>139.95559047791477</v>
      </c>
      <c r="N236" s="54"/>
      <c r="O236" s="54">
        <v>139.95559047791477</v>
      </c>
      <c r="P236" s="15">
        <v>-1.1255904779147556</v>
      </c>
    </row>
    <row r="237" spans="6:16" x14ac:dyDescent="0.3">
      <c r="F237" s="50">
        <v>44593</v>
      </c>
      <c r="G237" s="53">
        <v>139.30000000000001</v>
      </c>
      <c r="M237" s="54">
        <v>140.19689547478907</v>
      </c>
      <c r="N237" s="54"/>
      <c r="O237" s="54">
        <v>140.19689547478907</v>
      </c>
      <c r="P237" s="15">
        <v>-0.89689547478906206</v>
      </c>
    </row>
    <row r="238" spans="6:16" x14ac:dyDescent="0.3">
      <c r="M238" s="54"/>
      <c r="N238" s="54"/>
      <c r="O238" s="54"/>
    </row>
    <row r="239" spans="6:16" x14ac:dyDescent="0.3">
      <c r="M239" s="54"/>
      <c r="N239" s="54"/>
      <c r="O239" s="54"/>
    </row>
    <row r="240" spans="6:16" x14ac:dyDescent="0.3">
      <c r="M240" s="54"/>
      <c r="N240" s="54"/>
      <c r="O240" s="54"/>
    </row>
    <row r="241" spans="13:15" x14ac:dyDescent="0.3">
      <c r="M241" s="54"/>
      <c r="N241" s="54"/>
      <c r="O241" s="54"/>
    </row>
    <row r="242" spans="13:15" x14ac:dyDescent="0.3">
      <c r="M242" s="54"/>
      <c r="N242" s="54"/>
      <c r="O242" s="54"/>
    </row>
    <row r="243" spans="13:15" x14ac:dyDescent="0.3">
      <c r="M243" s="54"/>
      <c r="N243" s="54"/>
      <c r="O243" s="54"/>
    </row>
    <row r="244" spans="13:15" x14ac:dyDescent="0.3">
      <c r="M244" s="54"/>
      <c r="N244" s="54"/>
      <c r="O244" s="54"/>
    </row>
    <row r="245" spans="13:15" x14ac:dyDescent="0.3">
      <c r="M245" s="54"/>
      <c r="N245" s="54"/>
      <c r="O245" s="54"/>
    </row>
    <row r="246" spans="13:15" x14ac:dyDescent="0.3">
      <c r="M246" s="54"/>
      <c r="N246" s="54"/>
      <c r="O246" s="54"/>
    </row>
    <row r="247" spans="13:15" x14ac:dyDescent="0.3">
      <c r="M247" s="54"/>
      <c r="N247" s="54"/>
      <c r="O247" s="54"/>
    </row>
    <row r="248" spans="13:15" x14ac:dyDescent="0.3">
      <c r="M248" s="27"/>
      <c r="N248" s="27"/>
      <c r="O248" s="27"/>
    </row>
    <row r="249" spans="13:15" x14ac:dyDescent="0.3">
      <c r="M249" s="27"/>
      <c r="N249" s="27"/>
      <c r="O249" s="27"/>
    </row>
    <row r="250" spans="13:15" x14ac:dyDescent="0.3">
      <c r="M250" s="27"/>
      <c r="N250" s="27"/>
      <c r="O250" s="27"/>
    </row>
    <row r="251" spans="13:15" x14ac:dyDescent="0.3">
      <c r="M251" s="27"/>
      <c r="N251" s="27"/>
      <c r="O251" s="27"/>
    </row>
    <row r="252" spans="13:15" x14ac:dyDescent="0.3">
      <c r="M252" s="27"/>
      <c r="N252" s="27"/>
      <c r="O252" s="27"/>
    </row>
    <row r="253" spans="13:15" x14ac:dyDescent="0.3">
      <c r="M253" s="27"/>
      <c r="N253" s="27"/>
      <c r="O253" s="27"/>
    </row>
    <row r="254" spans="13:15" x14ac:dyDescent="0.3">
      <c r="M254" s="27"/>
      <c r="N254" s="27"/>
      <c r="O254" s="27"/>
    </row>
    <row r="255" spans="13:15" x14ac:dyDescent="0.3">
      <c r="M255" s="27"/>
      <c r="N255" s="27"/>
      <c r="O255" s="27"/>
    </row>
    <row r="256" spans="13:15" x14ac:dyDescent="0.3">
      <c r="M256" s="27"/>
      <c r="N256" s="27"/>
      <c r="O256" s="27"/>
    </row>
    <row r="257" spans="13:15" x14ac:dyDescent="0.3">
      <c r="M257" s="27"/>
      <c r="N257" s="27"/>
      <c r="O257" s="27"/>
    </row>
    <row r="258" spans="13:15" x14ac:dyDescent="0.3">
      <c r="M258" s="27"/>
      <c r="N258" s="27"/>
      <c r="O258" s="27"/>
    </row>
    <row r="259" spans="13:15" x14ac:dyDescent="0.3">
      <c r="M259" s="27"/>
      <c r="N259" s="27"/>
      <c r="O259" s="27"/>
    </row>
    <row r="260" spans="13:15" x14ac:dyDescent="0.3">
      <c r="M260" s="27"/>
      <c r="N260" s="27"/>
      <c r="O260" s="27"/>
    </row>
    <row r="261" spans="13:15" x14ac:dyDescent="0.3">
      <c r="M261" s="27"/>
      <c r="N261" s="27"/>
      <c r="O261" s="27"/>
    </row>
    <row r="262" spans="13:15" x14ac:dyDescent="0.3">
      <c r="M262" s="27"/>
      <c r="N262" s="27"/>
      <c r="O262" s="27"/>
    </row>
    <row r="263" spans="13:15" x14ac:dyDescent="0.3">
      <c r="M263" s="27"/>
      <c r="N263" s="27"/>
      <c r="O263" s="27"/>
    </row>
    <row r="264" spans="13:15" x14ac:dyDescent="0.3">
      <c r="M264" s="27"/>
      <c r="N264" s="27"/>
      <c r="O264" s="27"/>
    </row>
    <row r="265" spans="13:15" x14ac:dyDescent="0.3">
      <c r="M265" s="27"/>
      <c r="N265" s="27"/>
      <c r="O265" s="27"/>
    </row>
    <row r="266" spans="13:15" x14ac:dyDescent="0.3">
      <c r="M266" s="27"/>
      <c r="N266" s="27"/>
      <c r="O266" s="27"/>
    </row>
    <row r="267" spans="13:15" x14ac:dyDescent="0.3">
      <c r="M267" s="27"/>
      <c r="N267" s="27"/>
      <c r="O267" s="27"/>
    </row>
    <row r="268" spans="13:15" x14ac:dyDescent="0.3">
      <c r="M268" s="27"/>
      <c r="N268" s="27"/>
      <c r="O268" s="27"/>
    </row>
    <row r="269" spans="13:15" x14ac:dyDescent="0.3">
      <c r="M269" s="27"/>
      <c r="N269" s="27"/>
      <c r="O269" s="27"/>
    </row>
    <row r="270" spans="13:15" x14ac:dyDescent="0.3">
      <c r="M270" s="27"/>
      <c r="N270" s="27"/>
      <c r="O270" s="27"/>
    </row>
    <row r="271" spans="13:15" x14ac:dyDescent="0.3">
      <c r="M271" s="27"/>
      <c r="N271" s="27"/>
      <c r="O271" s="27"/>
    </row>
    <row r="272" spans="13:15" x14ac:dyDescent="0.3">
      <c r="M272" s="27"/>
      <c r="N272" s="27"/>
      <c r="O272" s="27"/>
    </row>
    <row r="273" spans="13:15" x14ac:dyDescent="0.3">
      <c r="M273" s="27"/>
      <c r="N273" s="27"/>
      <c r="O273" s="27"/>
    </row>
    <row r="274" spans="13:15" x14ac:dyDescent="0.3">
      <c r="M274" s="27"/>
      <c r="N274" s="27"/>
      <c r="O274" s="27"/>
    </row>
    <row r="275" spans="13:15" x14ac:dyDescent="0.3">
      <c r="M275" s="27"/>
      <c r="N275" s="27"/>
      <c r="O275" s="27"/>
    </row>
    <row r="276" spans="13:15" x14ac:dyDescent="0.3">
      <c r="M276" s="27"/>
      <c r="N276" s="27"/>
      <c r="O276" s="27"/>
    </row>
    <row r="277" spans="13:15" x14ac:dyDescent="0.3">
      <c r="M277" s="27"/>
      <c r="N277" s="27"/>
      <c r="O277" s="27"/>
    </row>
    <row r="278" spans="13:15" x14ac:dyDescent="0.3">
      <c r="M278" s="27"/>
      <c r="N278" s="27"/>
      <c r="O278" s="27"/>
    </row>
    <row r="279" spans="13:15" x14ac:dyDescent="0.3">
      <c r="M279" s="27"/>
      <c r="N279" s="27"/>
      <c r="O279" s="27"/>
    </row>
    <row r="280" spans="13:15" x14ac:dyDescent="0.3">
      <c r="M280" s="27"/>
      <c r="N280" s="27"/>
      <c r="O280" s="27"/>
    </row>
    <row r="281" spans="13:15" x14ac:dyDescent="0.3">
      <c r="M281" s="27"/>
      <c r="N281" s="27"/>
      <c r="O281" s="27"/>
    </row>
    <row r="282" spans="13:15" x14ac:dyDescent="0.3">
      <c r="M282" s="27"/>
      <c r="N282" s="27"/>
      <c r="O282" s="27"/>
    </row>
    <row r="283" spans="13:15" x14ac:dyDescent="0.3">
      <c r="M283" s="27"/>
      <c r="N283" s="27"/>
      <c r="O283" s="27"/>
    </row>
    <row r="284" spans="13:15" x14ac:dyDescent="0.3">
      <c r="M284" s="27"/>
      <c r="N284" s="27"/>
      <c r="O284" s="27"/>
    </row>
    <row r="285" spans="13:15" x14ac:dyDescent="0.3">
      <c r="M285" s="27"/>
      <c r="N285" s="27"/>
      <c r="O285" s="27"/>
    </row>
    <row r="286" spans="13:15" x14ac:dyDescent="0.3">
      <c r="M286" s="27"/>
      <c r="N286" s="27"/>
      <c r="O286" s="27"/>
    </row>
    <row r="287" spans="13:15" x14ac:dyDescent="0.3">
      <c r="M287" s="27"/>
      <c r="N287" s="27"/>
      <c r="O287" s="27"/>
    </row>
    <row r="288" spans="13:15" x14ac:dyDescent="0.3">
      <c r="M288" s="27"/>
      <c r="N288" s="27"/>
      <c r="O288" s="27"/>
    </row>
    <row r="289" spans="13:15" x14ac:dyDescent="0.3">
      <c r="M289" s="27"/>
      <c r="N289" s="27"/>
      <c r="O289" s="27"/>
    </row>
    <row r="290" spans="13:15" x14ac:dyDescent="0.3">
      <c r="M290" s="27"/>
      <c r="N290" s="27"/>
      <c r="O290" s="27"/>
    </row>
    <row r="291" spans="13:15" x14ac:dyDescent="0.3">
      <c r="M291" s="27"/>
      <c r="N291" s="27"/>
      <c r="O291" s="27"/>
    </row>
    <row r="292" spans="13:15" x14ac:dyDescent="0.3">
      <c r="M292" s="27"/>
      <c r="N292" s="27"/>
      <c r="O292" s="27"/>
    </row>
    <row r="293" spans="13:15" x14ac:dyDescent="0.3">
      <c r="M293" s="27"/>
      <c r="N293" s="27"/>
      <c r="O293" s="27"/>
    </row>
    <row r="294" spans="13:15" x14ac:dyDescent="0.3">
      <c r="M294" s="27"/>
      <c r="N294" s="27"/>
      <c r="O294" s="27"/>
    </row>
    <row r="295" spans="13:15" x14ac:dyDescent="0.3">
      <c r="M295" s="27"/>
      <c r="N295" s="27"/>
      <c r="O295" s="27"/>
    </row>
    <row r="296" spans="13:15" x14ac:dyDescent="0.3">
      <c r="M296" s="27"/>
      <c r="N296" s="27"/>
      <c r="O296" s="27"/>
    </row>
    <row r="297" spans="13:15" x14ac:dyDescent="0.3">
      <c r="M297" s="27"/>
      <c r="N297" s="27"/>
      <c r="O297" s="27"/>
    </row>
  </sheetData>
  <mergeCells count="1">
    <mergeCell ref="D11:D12"/>
  </mergeCells>
  <pageMargins left="0.511811024" right="0.511811024" top="0.78740157499999996" bottom="0.78740157499999996" header="0.31496062000000002" footer="0.31496062000000002"/>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E4166A-1E8F-480A-803D-0D44472BAB59}">
  <sheetPr>
    <tabColor theme="9" tint="0.59999389629810485"/>
  </sheetPr>
  <dimension ref="A1:V298"/>
  <sheetViews>
    <sheetView showGridLines="0" workbookViewId="0">
      <selection activeCell="H7" sqref="H7"/>
    </sheetView>
  </sheetViews>
  <sheetFormatPr defaultColWidth="8.85546875" defaultRowHeight="18.75" x14ac:dyDescent="0.3"/>
  <cols>
    <col min="1" max="1" width="12.7109375" style="17" customWidth="1"/>
    <col min="2" max="2" width="29" customWidth="1"/>
    <col min="4" max="4" width="44.28515625" bestFit="1" customWidth="1"/>
    <col min="5" max="5" width="4.5703125" customWidth="1"/>
    <col min="6" max="7" width="7.140625" bestFit="1" customWidth="1"/>
    <col min="8" max="9" width="9.28515625" bestFit="1" customWidth="1"/>
    <col min="11" max="13" width="14.85546875" style="15" customWidth="1"/>
    <col min="14" max="22" width="8.85546875" style="15"/>
  </cols>
  <sheetData>
    <row r="1" spans="1:22" x14ac:dyDescent="0.3">
      <c r="A1" s="16" t="s">
        <v>362</v>
      </c>
      <c r="K1" s="14"/>
      <c r="L1" s="14"/>
      <c r="M1" s="14"/>
      <c r="N1" s="14"/>
      <c r="O1" s="14"/>
      <c r="P1" s="14"/>
      <c r="Q1" s="14"/>
      <c r="R1" s="14"/>
      <c r="S1" s="14"/>
      <c r="T1" s="14"/>
      <c r="U1" s="14"/>
      <c r="V1" s="14"/>
    </row>
    <row r="2" spans="1:22" x14ac:dyDescent="0.3">
      <c r="A2" s="17" t="s">
        <v>363</v>
      </c>
      <c r="K2" s="14"/>
      <c r="L2" s="14"/>
      <c r="M2" s="14"/>
      <c r="N2" s="14"/>
      <c r="O2" s="14"/>
      <c r="P2" s="14"/>
      <c r="Q2" s="14"/>
      <c r="R2" s="14"/>
      <c r="S2" s="14"/>
      <c r="T2" s="14"/>
      <c r="U2" s="14"/>
      <c r="V2" s="14"/>
    </row>
    <row r="4" spans="1:22" ht="15.75" x14ac:dyDescent="0.25">
      <c r="A4" s="2" t="s">
        <v>15</v>
      </c>
      <c r="B4" s="2" t="s">
        <v>16</v>
      </c>
    </row>
    <row r="5" spans="1:22" ht="15.75" x14ac:dyDescent="0.25">
      <c r="A5" s="23" t="s">
        <v>169</v>
      </c>
      <c r="B5" s="24" t="s">
        <v>171</v>
      </c>
    </row>
    <row r="6" spans="1:22" ht="47.25" x14ac:dyDescent="0.25">
      <c r="A6" s="23" t="s">
        <v>56</v>
      </c>
      <c r="B6" s="24" t="s">
        <v>364</v>
      </c>
    </row>
    <row r="7" spans="1:22" ht="47.25" x14ac:dyDescent="0.25">
      <c r="A7" s="23" t="s">
        <v>88</v>
      </c>
      <c r="B7" s="24" t="s">
        <v>365</v>
      </c>
    </row>
    <row r="8" spans="1:22" x14ac:dyDescent="0.3">
      <c r="D8" s="1" t="s">
        <v>17</v>
      </c>
      <c r="G8" s="13" t="s">
        <v>169</v>
      </c>
      <c r="H8" s="13" t="s">
        <v>36</v>
      </c>
      <c r="I8" s="13" t="s">
        <v>140</v>
      </c>
    </row>
    <row r="9" spans="1:22" x14ac:dyDescent="0.3">
      <c r="D9" t="s">
        <v>182</v>
      </c>
      <c r="F9" s="50">
        <v>37257</v>
      </c>
      <c r="G9" s="53">
        <v>72.400000000000006</v>
      </c>
      <c r="H9" s="55">
        <v>1</v>
      </c>
      <c r="I9" s="55">
        <v>1</v>
      </c>
      <c r="K9" s="54" cm="1">
        <f t="array" ref="K9:K247">_xlfn.LAMBDA(_xlpm.values,_xlop.n,_xlop.dim,
_xlfn.LET(
_xlpm.n, IF( OR( _xlfn.ISOMITTED(_xlpm.n), ISBLANK(_xlpm.n) ), 1, _xlpm.n),
_xlpm.dim, IF( OR( _xlfn.ISOMITTED(_xlpm.dim), ISBLANK(_xlpm.dim) ), 1, _xlpm.dim),
IF(_xlpm.dim=1,
IF(_xlpm.n=0, _xlpm.values, DIFF( SLICE(_xlpm.values,2,-1) - SLICE(_xlpm.values,1,-2), _xlpm.n-1, _xlpm.dim)),
IF(_xlpm.dim=2,
IF(_xlpm.n=0, _xlpm.values, DIFF( SLICE(_xlpm.values,0,0,2,-1) - SLICE(_xlpm.values,0,0,1,-2), _xlpm.n-1, _xlpm.dim)),
"# dim must be either 1 or 2"
))
) )($G$9:$G$248,$H$9,$I$9)</f>
        <v>-2.7000000000000028</v>
      </c>
      <c r="L9" s="54"/>
      <c r="M9" s="54" cm="1">
        <f t="array" ref="M9:M247">DIFF($G$9:$G$248,$H$9,$I$9)</f>
        <v>-2.7000000000000028</v>
      </c>
    </row>
    <row r="10" spans="1:22" x14ac:dyDescent="0.3">
      <c r="D10" t="s">
        <v>183</v>
      </c>
      <c r="F10" s="50">
        <v>37288</v>
      </c>
      <c r="G10" s="53">
        <v>69.7</v>
      </c>
      <c r="J10" s="38"/>
      <c r="K10" s="54">
        <v>7.7000000000000028</v>
      </c>
      <c r="L10" s="54"/>
      <c r="M10" s="54">
        <v>7.7000000000000028</v>
      </c>
    </row>
    <row r="11" spans="1:22" x14ac:dyDescent="0.3">
      <c r="F11" s="50">
        <v>37316</v>
      </c>
      <c r="G11" s="53">
        <v>77.400000000000006</v>
      </c>
      <c r="J11" s="38"/>
      <c r="K11" s="54">
        <v>2.1999999999999886</v>
      </c>
      <c r="L11" s="54"/>
      <c r="M11" s="54">
        <v>2.1999999999999886</v>
      </c>
    </row>
    <row r="12" spans="1:22" ht="18.75" customHeight="1" x14ac:dyDescent="0.3">
      <c r="D12" s="111"/>
      <c r="F12" s="50">
        <v>37347</v>
      </c>
      <c r="G12" s="53">
        <v>79.599999999999994</v>
      </c>
      <c r="J12" s="38"/>
      <c r="K12" s="54">
        <v>0.80000000000001137</v>
      </c>
      <c r="L12" s="54"/>
      <c r="M12" s="54">
        <v>0.80000000000001137</v>
      </c>
    </row>
    <row r="13" spans="1:22" x14ac:dyDescent="0.3">
      <c r="D13" s="111"/>
      <c r="F13" s="50">
        <v>37377</v>
      </c>
      <c r="G13" s="53">
        <v>80.400000000000006</v>
      </c>
      <c r="J13" s="38"/>
      <c r="K13" s="54">
        <v>-2.9000000000000057</v>
      </c>
      <c r="L13" s="54"/>
      <c r="M13" s="54">
        <v>-2.9000000000000057</v>
      </c>
    </row>
    <row r="14" spans="1:22" x14ac:dyDescent="0.3">
      <c r="D14" s="47"/>
      <c r="F14" s="50">
        <v>37408</v>
      </c>
      <c r="G14" s="53">
        <v>77.5</v>
      </c>
      <c r="J14" s="38"/>
      <c r="K14" s="54">
        <v>5.7999999999999972</v>
      </c>
      <c r="L14" s="54"/>
      <c r="M14" s="54">
        <v>5.7999999999999972</v>
      </c>
    </row>
    <row r="15" spans="1:22" x14ac:dyDescent="0.3">
      <c r="F15" s="50">
        <v>37438</v>
      </c>
      <c r="G15" s="53">
        <v>83.3</v>
      </c>
      <c r="J15" s="38"/>
      <c r="K15" s="54">
        <v>0.29999999999999716</v>
      </c>
      <c r="L15" s="54"/>
      <c r="M15" s="54">
        <v>0.29999999999999716</v>
      </c>
    </row>
    <row r="16" spans="1:22" x14ac:dyDescent="0.3">
      <c r="F16" s="50">
        <v>37469</v>
      </c>
      <c r="G16" s="53">
        <v>83.6</v>
      </c>
      <c r="J16" s="38"/>
      <c r="K16" s="54">
        <v>-1.5</v>
      </c>
      <c r="L16" s="54"/>
      <c r="M16" s="54">
        <v>-1.5</v>
      </c>
    </row>
    <row r="17" spans="1:13" x14ac:dyDescent="0.3">
      <c r="F17" s="50">
        <v>37500</v>
      </c>
      <c r="G17" s="53">
        <v>82.1</v>
      </c>
      <c r="J17" s="38"/>
      <c r="K17" s="54">
        <v>7.1000000000000085</v>
      </c>
      <c r="L17" s="54"/>
      <c r="M17" s="54">
        <v>7.1000000000000085</v>
      </c>
    </row>
    <row r="18" spans="1:13" s="15" customFormat="1" x14ac:dyDescent="0.3">
      <c r="A18" s="17"/>
      <c r="B18"/>
      <c r="C18"/>
      <c r="D18"/>
      <c r="E18"/>
      <c r="F18" s="50">
        <v>37530</v>
      </c>
      <c r="G18" s="53">
        <v>89.2</v>
      </c>
      <c r="H18"/>
      <c r="I18"/>
      <c r="J18" s="38"/>
      <c r="K18" s="54">
        <v>-5.2999999999999972</v>
      </c>
      <c r="L18" s="54"/>
      <c r="M18" s="54">
        <v>-5.2999999999999972</v>
      </c>
    </row>
    <row r="19" spans="1:13" s="15" customFormat="1" x14ac:dyDescent="0.3">
      <c r="A19" s="17"/>
      <c r="B19"/>
      <c r="C19"/>
      <c r="D19"/>
      <c r="E19"/>
      <c r="F19" s="50">
        <v>37561</v>
      </c>
      <c r="G19" s="53">
        <v>83.9</v>
      </c>
      <c r="H19"/>
      <c r="I19"/>
      <c r="J19" s="38"/>
      <c r="K19" s="54">
        <v>-9.3000000000000114</v>
      </c>
      <c r="L19" s="54"/>
      <c r="M19" s="54">
        <v>-9.3000000000000114</v>
      </c>
    </row>
    <row r="20" spans="1:13" s="15" customFormat="1" x14ac:dyDescent="0.3">
      <c r="A20" s="17"/>
      <c r="B20"/>
      <c r="C20"/>
      <c r="D20"/>
      <c r="E20"/>
      <c r="F20" s="50">
        <v>37591</v>
      </c>
      <c r="G20" s="53">
        <v>74.599999999999994</v>
      </c>
      <c r="H20"/>
      <c r="I20"/>
      <c r="J20" s="38"/>
      <c r="K20" s="54">
        <v>-0.59999999999999432</v>
      </c>
      <c r="L20" s="54"/>
      <c r="M20" s="54">
        <v>-0.59999999999999432</v>
      </c>
    </row>
    <row r="21" spans="1:13" s="15" customFormat="1" x14ac:dyDescent="0.3">
      <c r="A21" s="17"/>
      <c r="B21"/>
      <c r="C21"/>
      <c r="D21"/>
      <c r="E21"/>
      <c r="F21" s="50">
        <v>37622</v>
      </c>
      <c r="G21" s="53">
        <v>74</v>
      </c>
      <c r="H21"/>
      <c r="I21"/>
      <c r="J21" s="38"/>
      <c r="K21" s="54">
        <v>-2.2000000000000028</v>
      </c>
      <c r="L21" s="54"/>
      <c r="M21" s="54">
        <v>-2.2000000000000028</v>
      </c>
    </row>
    <row r="22" spans="1:13" s="15" customFormat="1" x14ac:dyDescent="0.3">
      <c r="A22" s="17"/>
      <c r="B22"/>
      <c r="C22"/>
      <c r="D22"/>
      <c r="E22"/>
      <c r="F22" s="50">
        <v>37653</v>
      </c>
      <c r="G22" s="53">
        <v>71.8</v>
      </c>
      <c r="H22"/>
      <c r="I22"/>
      <c r="J22" s="38"/>
      <c r="K22" s="54">
        <v>5.6000000000000085</v>
      </c>
      <c r="L22" s="54"/>
      <c r="M22" s="54">
        <v>5.6000000000000085</v>
      </c>
    </row>
    <row r="23" spans="1:13" s="15" customFormat="1" x14ac:dyDescent="0.3">
      <c r="A23" s="17"/>
      <c r="B23"/>
      <c r="C23"/>
      <c r="D23"/>
      <c r="E23"/>
      <c r="F23" s="50">
        <v>37681</v>
      </c>
      <c r="G23" s="53">
        <v>77.400000000000006</v>
      </c>
      <c r="H23"/>
      <c r="I23"/>
      <c r="J23" s="38"/>
      <c r="K23" s="54">
        <v>-0.90000000000000568</v>
      </c>
      <c r="L23" s="54"/>
      <c r="M23" s="54">
        <v>-0.90000000000000568</v>
      </c>
    </row>
    <row r="24" spans="1:13" s="15" customFormat="1" x14ac:dyDescent="0.3">
      <c r="A24" s="17"/>
      <c r="B24"/>
      <c r="C24"/>
      <c r="D24"/>
      <c r="E24"/>
      <c r="F24" s="50">
        <v>37712</v>
      </c>
      <c r="G24" s="53">
        <v>76.5</v>
      </c>
      <c r="H24"/>
      <c r="I24"/>
      <c r="J24" s="38"/>
      <c r="K24" s="54">
        <v>3.2000000000000028</v>
      </c>
      <c r="L24" s="54"/>
      <c r="M24" s="54">
        <v>3.2000000000000028</v>
      </c>
    </row>
    <row r="25" spans="1:13" s="15" customFormat="1" x14ac:dyDescent="0.3">
      <c r="A25" s="17"/>
      <c r="B25"/>
      <c r="C25"/>
      <c r="D25"/>
      <c r="E25"/>
      <c r="F25" s="50">
        <v>37742</v>
      </c>
      <c r="G25" s="53">
        <v>79.7</v>
      </c>
      <c r="H25"/>
      <c r="I25"/>
      <c r="J25" s="38"/>
      <c r="K25" s="54">
        <v>-3.4000000000000057</v>
      </c>
      <c r="L25" s="54"/>
      <c r="M25" s="54">
        <v>-3.4000000000000057</v>
      </c>
    </row>
    <row r="26" spans="1:13" s="15" customFormat="1" x14ac:dyDescent="0.3">
      <c r="A26" s="17"/>
      <c r="B26"/>
      <c r="C26"/>
      <c r="D26"/>
      <c r="E26"/>
      <c r="F26" s="50">
        <v>37773</v>
      </c>
      <c r="G26" s="53">
        <v>76.3</v>
      </c>
      <c r="H26"/>
      <c r="I26"/>
      <c r="J26" s="38"/>
      <c r="K26" s="54">
        <v>5</v>
      </c>
      <c r="L26" s="54"/>
      <c r="M26" s="54">
        <v>5</v>
      </c>
    </row>
    <row r="27" spans="1:13" s="15" customFormat="1" x14ac:dyDescent="0.3">
      <c r="A27" s="17"/>
      <c r="B27"/>
      <c r="C27"/>
      <c r="D27"/>
      <c r="E27"/>
      <c r="F27" s="50">
        <v>37803</v>
      </c>
      <c r="G27" s="53">
        <v>81.3</v>
      </c>
      <c r="H27"/>
      <c r="I27"/>
      <c r="J27" s="38"/>
      <c r="K27" s="54">
        <v>0.29999999999999716</v>
      </c>
      <c r="L27" s="54"/>
      <c r="M27" s="54">
        <v>0.29999999999999716</v>
      </c>
    </row>
    <row r="28" spans="1:13" s="15" customFormat="1" x14ac:dyDescent="0.3">
      <c r="A28" s="17"/>
      <c r="B28"/>
      <c r="C28"/>
      <c r="D28"/>
      <c r="E28"/>
      <c r="F28" s="50">
        <v>37834</v>
      </c>
      <c r="G28" s="53">
        <v>81.599999999999994</v>
      </c>
      <c r="H28"/>
      <c r="I28"/>
      <c r="J28" s="38"/>
      <c r="K28" s="54">
        <v>4.1000000000000085</v>
      </c>
      <c r="L28" s="54"/>
      <c r="M28" s="54">
        <v>4.1000000000000085</v>
      </c>
    </row>
    <row r="29" spans="1:13" s="15" customFormat="1" x14ac:dyDescent="0.3">
      <c r="A29" s="17"/>
      <c r="B29"/>
      <c r="C29"/>
      <c r="D29"/>
      <c r="E29"/>
      <c r="F29" s="50">
        <v>37865</v>
      </c>
      <c r="G29" s="53">
        <v>85.7</v>
      </c>
      <c r="H29"/>
      <c r="I29"/>
      <c r="J29" s="38"/>
      <c r="K29" s="54">
        <v>4.2999999999999972</v>
      </c>
      <c r="L29" s="54"/>
      <c r="M29" s="54">
        <v>4.2999999999999972</v>
      </c>
    </row>
    <row r="30" spans="1:13" s="15" customFormat="1" x14ac:dyDescent="0.3">
      <c r="A30" s="17"/>
      <c r="B30"/>
      <c r="C30"/>
      <c r="D30"/>
      <c r="E30"/>
      <c r="F30" s="50">
        <v>37895</v>
      </c>
      <c r="G30" s="53">
        <v>90</v>
      </c>
      <c r="H30"/>
      <c r="I30"/>
      <c r="J30" s="38"/>
      <c r="K30" s="54">
        <v>-5.4000000000000057</v>
      </c>
      <c r="L30" s="54"/>
      <c r="M30" s="54">
        <v>-5.4000000000000057</v>
      </c>
    </row>
    <row r="31" spans="1:13" s="15" customFormat="1" x14ac:dyDescent="0.3">
      <c r="A31" s="17"/>
      <c r="B31"/>
      <c r="C31"/>
      <c r="D31"/>
      <c r="E31"/>
      <c r="F31" s="50">
        <v>37926</v>
      </c>
      <c r="G31" s="53">
        <v>84.6</v>
      </c>
      <c r="H31"/>
      <c r="I31"/>
      <c r="J31" s="38"/>
      <c r="K31" s="54">
        <v>-6.6999999999999886</v>
      </c>
      <c r="L31" s="54"/>
      <c r="M31" s="54">
        <v>-6.6999999999999886</v>
      </c>
    </row>
    <row r="32" spans="1:13" s="15" customFormat="1" x14ac:dyDescent="0.3">
      <c r="A32" s="17"/>
      <c r="B32"/>
      <c r="C32"/>
      <c r="D32"/>
      <c r="E32"/>
      <c r="F32" s="50">
        <v>37956</v>
      </c>
      <c r="G32" s="53">
        <v>77.900000000000006</v>
      </c>
      <c r="H32"/>
      <c r="I32"/>
      <c r="J32" s="38"/>
      <c r="K32" s="54">
        <v>-1.1000000000000085</v>
      </c>
      <c r="L32" s="54"/>
      <c r="M32" s="54">
        <v>-1.1000000000000085</v>
      </c>
    </row>
    <row r="33" spans="1:13" s="15" customFormat="1" x14ac:dyDescent="0.3">
      <c r="A33" s="17"/>
      <c r="B33"/>
      <c r="C33"/>
      <c r="D33"/>
      <c r="E33"/>
      <c r="F33" s="50">
        <v>37987</v>
      </c>
      <c r="G33" s="53">
        <v>76.8</v>
      </c>
      <c r="H33"/>
      <c r="I33"/>
      <c r="J33" s="38"/>
      <c r="K33" s="54">
        <v>-2.7999999999999972</v>
      </c>
      <c r="L33" s="54"/>
      <c r="M33" s="54">
        <v>-2.7999999999999972</v>
      </c>
    </row>
    <row r="34" spans="1:13" s="15" customFormat="1" x14ac:dyDescent="0.3">
      <c r="A34" s="17"/>
      <c r="B34"/>
      <c r="C34"/>
      <c r="D34"/>
      <c r="E34"/>
      <c r="F34" s="50">
        <v>38018</v>
      </c>
      <c r="G34" s="53">
        <v>74</v>
      </c>
      <c r="H34"/>
      <c r="I34"/>
      <c r="J34" s="38"/>
      <c r="K34" s="54">
        <v>12.900000000000006</v>
      </c>
      <c r="L34" s="54"/>
      <c r="M34" s="54">
        <v>12.900000000000006</v>
      </c>
    </row>
    <row r="35" spans="1:13" s="15" customFormat="1" x14ac:dyDescent="0.3">
      <c r="A35" s="17"/>
      <c r="B35"/>
      <c r="C35"/>
      <c r="D35"/>
      <c r="E35"/>
      <c r="F35" s="50">
        <v>38047</v>
      </c>
      <c r="G35" s="53">
        <v>86.9</v>
      </c>
      <c r="H35"/>
      <c r="I35"/>
      <c r="J35" s="38"/>
      <c r="K35" s="54">
        <v>-4.7000000000000028</v>
      </c>
      <c r="L35" s="54"/>
      <c r="M35" s="54">
        <v>-4.7000000000000028</v>
      </c>
    </row>
    <row r="36" spans="1:13" s="15" customFormat="1" x14ac:dyDescent="0.3">
      <c r="A36" s="17"/>
      <c r="B36"/>
      <c r="C36"/>
      <c r="D36"/>
      <c r="E36"/>
      <c r="F36" s="50">
        <v>38078</v>
      </c>
      <c r="G36" s="53">
        <v>82.2</v>
      </c>
      <c r="H36"/>
      <c r="I36"/>
      <c r="J36" s="38"/>
      <c r="K36" s="54">
        <v>4.0999999999999943</v>
      </c>
      <c r="L36" s="54"/>
      <c r="M36" s="54">
        <v>4.0999999999999943</v>
      </c>
    </row>
    <row r="37" spans="1:13" s="15" customFormat="1" x14ac:dyDescent="0.3">
      <c r="A37" s="17"/>
      <c r="B37"/>
      <c r="C37"/>
      <c r="D37"/>
      <c r="E37"/>
      <c r="F37" s="50">
        <v>38108</v>
      </c>
      <c r="G37" s="53">
        <v>86.3</v>
      </c>
      <c r="H37"/>
      <c r="I37"/>
      <c r="J37" s="38"/>
      <c r="K37" s="54">
        <v>-0.20000000000000284</v>
      </c>
      <c r="L37" s="54"/>
      <c r="M37" s="54">
        <v>-0.20000000000000284</v>
      </c>
    </row>
    <row r="38" spans="1:13" s="15" customFormat="1" x14ac:dyDescent="0.3">
      <c r="A38" s="17"/>
      <c r="B38"/>
      <c r="C38"/>
      <c r="D38"/>
      <c r="E38"/>
      <c r="F38" s="50">
        <v>38139</v>
      </c>
      <c r="G38" s="53">
        <v>86.1</v>
      </c>
      <c r="H38"/>
      <c r="I38"/>
      <c r="J38" s="38"/>
      <c r="K38" s="54">
        <v>4</v>
      </c>
      <c r="L38" s="54"/>
      <c r="M38" s="54">
        <v>4</v>
      </c>
    </row>
    <row r="39" spans="1:13" s="15" customFormat="1" x14ac:dyDescent="0.3">
      <c r="A39" s="17"/>
      <c r="B39"/>
      <c r="C39"/>
      <c r="D39"/>
      <c r="E39"/>
      <c r="F39" s="50">
        <v>38169</v>
      </c>
      <c r="G39" s="53">
        <v>90.1</v>
      </c>
      <c r="H39"/>
      <c r="I39"/>
      <c r="J39" s="38"/>
      <c r="K39" s="54">
        <v>2</v>
      </c>
      <c r="L39" s="54"/>
      <c r="M39" s="54">
        <v>2</v>
      </c>
    </row>
    <row r="40" spans="1:13" s="15" customFormat="1" x14ac:dyDescent="0.3">
      <c r="A40" s="17"/>
      <c r="B40"/>
      <c r="C40"/>
      <c r="D40"/>
      <c r="E40"/>
      <c r="F40" s="50">
        <v>38200</v>
      </c>
      <c r="G40" s="53">
        <v>92.1</v>
      </c>
      <c r="H40"/>
      <c r="I40"/>
      <c r="J40" s="38"/>
      <c r="K40" s="54">
        <v>0</v>
      </c>
      <c r="L40" s="54"/>
      <c r="M40" s="54">
        <v>0</v>
      </c>
    </row>
    <row r="41" spans="1:13" s="15" customFormat="1" x14ac:dyDescent="0.3">
      <c r="A41" s="17"/>
      <c r="B41"/>
      <c r="C41"/>
      <c r="D41"/>
      <c r="E41"/>
      <c r="F41" s="50">
        <v>38231</v>
      </c>
      <c r="G41" s="53">
        <v>92.1</v>
      </c>
      <c r="H41"/>
      <c r="I41"/>
      <c r="J41" s="38"/>
      <c r="K41" s="54">
        <v>1.4000000000000057</v>
      </c>
      <c r="L41" s="54"/>
      <c r="M41" s="54">
        <v>1.4000000000000057</v>
      </c>
    </row>
    <row r="42" spans="1:13" s="15" customFormat="1" x14ac:dyDescent="0.3">
      <c r="A42" s="17"/>
      <c r="B42"/>
      <c r="C42"/>
      <c r="D42"/>
      <c r="E42"/>
      <c r="F42" s="50">
        <v>38261</v>
      </c>
      <c r="G42" s="53">
        <v>93.5</v>
      </c>
      <c r="H42"/>
      <c r="I42"/>
      <c r="J42" s="38"/>
      <c r="K42" s="54">
        <v>-1.7000000000000028</v>
      </c>
      <c r="L42" s="54"/>
      <c r="M42" s="54">
        <v>-1.7000000000000028</v>
      </c>
    </row>
    <row r="43" spans="1:13" s="15" customFormat="1" x14ac:dyDescent="0.3">
      <c r="A43" s="17"/>
      <c r="B43"/>
      <c r="C43"/>
      <c r="D43"/>
      <c r="E43"/>
      <c r="F43" s="50">
        <v>38292</v>
      </c>
      <c r="G43" s="53">
        <v>91.8</v>
      </c>
      <c r="H43"/>
      <c r="I43"/>
      <c r="J43" s="38"/>
      <c r="K43" s="54">
        <v>-7.0999999999999943</v>
      </c>
      <c r="L43" s="54"/>
      <c r="M43" s="54">
        <v>-7.0999999999999943</v>
      </c>
    </row>
    <row r="44" spans="1:13" s="15" customFormat="1" x14ac:dyDescent="0.3">
      <c r="A44" s="17"/>
      <c r="B44"/>
      <c r="C44"/>
      <c r="D44"/>
      <c r="E44"/>
      <c r="F44" s="50">
        <v>38322</v>
      </c>
      <c r="G44" s="53">
        <v>84.7</v>
      </c>
      <c r="H44"/>
      <c r="I44"/>
      <c r="J44" s="38"/>
      <c r="K44" s="54">
        <v>-3.7000000000000028</v>
      </c>
      <c r="L44" s="54"/>
      <c r="M44" s="54">
        <v>-3.7000000000000028</v>
      </c>
    </row>
    <row r="45" spans="1:13" s="15" customFormat="1" x14ac:dyDescent="0.3">
      <c r="A45" s="17"/>
      <c r="B45"/>
      <c r="C45"/>
      <c r="D45"/>
      <c r="E45"/>
      <c r="F45" s="50">
        <v>38353</v>
      </c>
      <c r="G45" s="53">
        <v>81</v>
      </c>
      <c r="H45"/>
      <c r="I45"/>
      <c r="J45" s="38"/>
      <c r="K45" s="54">
        <v>-4.5999999999999943</v>
      </c>
      <c r="L45" s="54"/>
      <c r="M45" s="54">
        <v>-4.5999999999999943</v>
      </c>
    </row>
    <row r="46" spans="1:13" s="15" customFormat="1" x14ac:dyDescent="0.3">
      <c r="A46" s="17"/>
      <c r="B46"/>
      <c r="C46"/>
      <c r="D46"/>
      <c r="E46"/>
      <c r="F46" s="50">
        <v>38384</v>
      </c>
      <c r="G46" s="53">
        <v>76.400000000000006</v>
      </c>
      <c r="H46"/>
      <c r="I46"/>
      <c r="J46" s="38"/>
      <c r="K46" s="54">
        <v>11.599999999999994</v>
      </c>
      <c r="L46" s="54"/>
      <c r="M46" s="54">
        <v>11.599999999999994</v>
      </c>
    </row>
    <row r="47" spans="1:13" s="15" customFormat="1" x14ac:dyDescent="0.3">
      <c r="A47" s="17"/>
      <c r="B47"/>
      <c r="C47"/>
      <c r="D47"/>
      <c r="E47"/>
      <c r="F47" s="50">
        <v>38412</v>
      </c>
      <c r="G47" s="53">
        <v>88</v>
      </c>
      <c r="H47"/>
      <c r="I47"/>
      <c r="J47" s="38"/>
      <c r="K47" s="54">
        <v>-1</v>
      </c>
      <c r="L47" s="54"/>
      <c r="M47" s="54">
        <v>-1</v>
      </c>
    </row>
    <row r="48" spans="1:13" s="15" customFormat="1" x14ac:dyDescent="0.3">
      <c r="A48" s="17"/>
      <c r="B48"/>
      <c r="C48"/>
      <c r="D48"/>
      <c r="E48"/>
      <c r="F48" s="50">
        <v>38443</v>
      </c>
      <c r="G48" s="53">
        <v>87</v>
      </c>
      <c r="H48"/>
      <c r="I48"/>
      <c r="J48" s="38"/>
      <c r="K48" s="54">
        <v>4.0999999999999943</v>
      </c>
      <c r="L48" s="54"/>
      <c r="M48" s="54">
        <v>4.0999999999999943</v>
      </c>
    </row>
    <row r="49" spans="1:13" s="15" customFormat="1" x14ac:dyDescent="0.3">
      <c r="A49" s="17"/>
      <c r="B49"/>
      <c r="C49"/>
      <c r="D49"/>
      <c r="E49"/>
      <c r="F49" s="50">
        <v>38473</v>
      </c>
      <c r="G49" s="53">
        <v>91.1</v>
      </c>
      <c r="H49"/>
      <c r="I49"/>
      <c r="J49" s="38"/>
      <c r="K49" s="54">
        <v>0.30000000000001137</v>
      </c>
      <c r="L49" s="54"/>
      <c r="M49" s="54">
        <v>0.30000000000001137</v>
      </c>
    </row>
    <row r="50" spans="1:13" s="15" customFormat="1" x14ac:dyDescent="0.3">
      <c r="A50" s="17"/>
      <c r="B50"/>
      <c r="C50"/>
      <c r="D50"/>
      <c r="E50"/>
      <c r="F50" s="50">
        <v>38504</v>
      </c>
      <c r="G50" s="53">
        <v>91.4</v>
      </c>
      <c r="H50"/>
      <c r="I50"/>
      <c r="J50" s="38"/>
      <c r="K50" s="54">
        <v>-0.90000000000000568</v>
      </c>
      <c r="L50" s="54"/>
      <c r="M50" s="54">
        <v>-0.90000000000000568</v>
      </c>
    </row>
    <row r="51" spans="1:13" s="15" customFormat="1" x14ac:dyDescent="0.3">
      <c r="A51" s="17"/>
      <c r="B51"/>
      <c r="C51"/>
      <c r="D51"/>
      <c r="E51"/>
      <c r="F51" s="50">
        <v>38534</v>
      </c>
      <c r="G51" s="53">
        <v>90.5</v>
      </c>
      <c r="H51"/>
      <c r="I51"/>
      <c r="J51" s="38"/>
      <c r="K51" s="54">
        <v>5.0999999999999943</v>
      </c>
      <c r="L51" s="54"/>
      <c r="M51" s="54">
        <v>5.0999999999999943</v>
      </c>
    </row>
    <row r="52" spans="1:13" s="15" customFormat="1" x14ac:dyDescent="0.3">
      <c r="A52" s="17"/>
      <c r="B52"/>
      <c r="C52"/>
      <c r="D52"/>
      <c r="E52"/>
      <c r="F52" s="50">
        <v>38565</v>
      </c>
      <c r="G52" s="53">
        <v>95.6</v>
      </c>
      <c r="H52"/>
      <c r="I52"/>
      <c r="J52" s="38"/>
      <c r="K52" s="54">
        <v>-3.5999999999999943</v>
      </c>
      <c r="L52" s="54"/>
      <c r="M52" s="54">
        <v>-3.5999999999999943</v>
      </c>
    </row>
    <row r="53" spans="1:13" s="15" customFormat="1" x14ac:dyDescent="0.3">
      <c r="A53" s="17"/>
      <c r="B53"/>
      <c r="C53"/>
      <c r="D53"/>
      <c r="E53"/>
      <c r="F53" s="50">
        <v>38596</v>
      </c>
      <c r="G53" s="53">
        <v>92</v>
      </c>
      <c r="H53"/>
      <c r="I53"/>
      <c r="J53" s="38"/>
      <c r="K53" s="54">
        <v>1.7000000000000028</v>
      </c>
      <c r="L53" s="54"/>
      <c r="M53" s="54">
        <v>1.7000000000000028</v>
      </c>
    </row>
    <row r="54" spans="1:13" s="15" customFormat="1" x14ac:dyDescent="0.3">
      <c r="A54" s="17"/>
      <c r="B54"/>
      <c r="C54"/>
      <c r="D54"/>
      <c r="E54"/>
      <c r="F54" s="50">
        <v>38626</v>
      </c>
      <c r="G54" s="53">
        <v>93.7</v>
      </c>
      <c r="H54"/>
      <c r="I54"/>
      <c r="J54" s="38"/>
      <c r="K54" s="54">
        <v>-1.2999999999999972</v>
      </c>
      <c r="L54" s="54"/>
      <c r="M54" s="54">
        <v>-1.2999999999999972</v>
      </c>
    </row>
    <row r="55" spans="1:13" s="15" customFormat="1" x14ac:dyDescent="0.3">
      <c r="A55" s="17"/>
      <c r="B55"/>
      <c r="C55"/>
      <c r="D55"/>
      <c r="E55"/>
      <c r="F55" s="50">
        <v>38657</v>
      </c>
      <c r="G55" s="53">
        <v>92.4</v>
      </c>
      <c r="H55"/>
      <c r="I55"/>
      <c r="J55" s="38"/>
      <c r="K55" s="54">
        <v>-5.8000000000000114</v>
      </c>
      <c r="L55" s="54"/>
      <c r="M55" s="54">
        <v>-5.8000000000000114</v>
      </c>
    </row>
    <row r="56" spans="1:13" s="15" customFormat="1" x14ac:dyDescent="0.3">
      <c r="A56" s="17"/>
      <c r="B56"/>
      <c r="C56"/>
      <c r="D56"/>
      <c r="E56"/>
      <c r="F56" s="50">
        <v>38687</v>
      </c>
      <c r="G56" s="53">
        <v>86.6</v>
      </c>
      <c r="H56"/>
      <c r="I56"/>
      <c r="J56" s="38"/>
      <c r="K56" s="54">
        <v>-2.8999999999999915</v>
      </c>
      <c r="L56" s="54"/>
      <c r="M56" s="54">
        <v>-2.8999999999999915</v>
      </c>
    </row>
    <row r="57" spans="1:13" s="15" customFormat="1" x14ac:dyDescent="0.3">
      <c r="A57" s="17"/>
      <c r="B57"/>
      <c r="C57"/>
      <c r="D57"/>
      <c r="E57"/>
      <c r="F57" s="50">
        <v>38718</v>
      </c>
      <c r="G57" s="53">
        <v>83.7</v>
      </c>
      <c r="H57"/>
      <c r="I57"/>
      <c r="J57" s="38"/>
      <c r="K57" s="54">
        <v>-3.5</v>
      </c>
      <c r="L57" s="54"/>
      <c r="M57" s="54">
        <v>-3.5</v>
      </c>
    </row>
    <row r="58" spans="1:13" s="15" customFormat="1" x14ac:dyDescent="0.3">
      <c r="A58" s="17"/>
      <c r="B58"/>
      <c r="C58"/>
      <c r="D58"/>
      <c r="E58"/>
      <c r="F58" s="50">
        <v>38749</v>
      </c>
      <c r="G58" s="53">
        <v>80.2</v>
      </c>
      <c r="H58"/>
      <c r="I58"/>
      <c r="J58" s="38"/>
      <c r="K58" s="54">
        <v>12.200000000000003</v>
      </c>
      <c r="L58" s="54"/>
      <c r="M58" s="54">
        <v>12.200000000000003</v>
      </c>
    </row>
    <row r="59" spans="1:13" s="15" customFormat="1" x14ac:dyDescent="0.3">
      <c r="A59" s="17"/>
      <c r="B59"/>
      <c r="C59"/>
      <c r="D59"/>
      <c r="E59"/>
      <c r="F59" s="50">
        <v>38777</v>
      </c>
      <c r="G59" s="53">
        <v>92.4</v>
      </c>
      <c r="H59"/>
      <c r="I59"/>
      <c r="J59" s="38"/>
      <c r="K59" s="54">
        <v>-6.7000000000000028</v>
      </c>
      <c r="L59" s="54"/>
      <c r="M59" s="54">
        <v>-6.7000000000000028</v>
      </c>
    </row>
    <row r="60" spans="1:13" s="15" customFormat="1" x14ac:dyDescent="0.3">
      <c r="A60" s="17"/>
      <c r="B60"/>
      <c r="C60"/>
      <c r="D60"/>
      <c r="E60"/>
      <c r="F60" s="50">
        <v>38808</v>
      </c>
      <c r="G60" s="53">
        <v>85.7</v>
      </c>
      <c r="H60"/>
      <c r="I60"/>
      <c r="J60" s="38"/>
      <c r="K60" s="54">
        <v>9.7000000000000028</v>
      </c>
      <c r="L60" s="54"/>
      <c r="M60" s="54">
        <v>9.7000000000000028</v>
      </c>
    </row>
    <row r="61" spans="1:13" s="15" customFormat="1" x14ac:dyDescent="0.3">
      <c r="A61" s="17"/>
      <c r="B61"/>
      <c r="C61"/>
      <c r="D61"/>
      <c r="E61"/>
      <c r="F61" s="50">
        <v>38838</v>
      </c>
      <c r="G61" s="53">
        <v>95.4</v>
      </c>
      <c r="H61"/>
      <c r="I61"/>
      <c r="J61" s="38"/>
      <c r="K61" s="54">
        <v>-4.3000000000000114</v>
      </c>
      <c r="L61" s="54"/>
      <c r="M61" s="54">
        <v>-4.3000000000000114</v>
      </c>
    </row>
    <row r="62" spans="1:13" s="15" customFormat="1" x14ac:dyDescent="0.3">
      <c r="A62" s="17"/>
      <c r="B62"/>
      <c r="C62"/>
      <c r="D62"/>
      <c r="E62"/>
      <c r="F62" s="50">
        <v>38869</v>
      </c>
      <c r="G62" s="53">
        <v>91.1</v>
      </c>
      <c r="H62"/>
      <c r="I62"/>
      <c r="J62" s="38"/>
      <c r="K62" s="54">
        <v>2.7000000000000028</v>
      </c>
      <c r="L62" s="54"/>
      <c r="M62" s="54">
        <v>2.7000000000000028</v>
      </c>
    </row>
    <row r="63" spans="1:13" s="15" customFormat="1" x14ac:dyDescent="0.3">
      <c r="A63" s="17"/>
      <c r="B63"/>
      <c r="C63"/>
      <c r="D63"/>
      <c r="E63"/>
      <c r="F63" s="50">
        <v>38899</v>
      </c>
      <c r="G63" s="53">
        <v>93.8</v>
      </c>
      <c r="H63"/>
      <c r="I63"/>
      <c r="J63" s="38"/>
      <c r="K63" s="54">
        <v>4.7999999999999972</v>
      </c>
      <c r="L63" s="54"/>
      <c r="M63" s="54">
        <v>4.7999999999999972</v>
      </c>
    </row>
    <row r="64" spans="1:13" s="15" customFormat="1" x14ac:dyDescent="0.3">
      <c r="A64" s="17"/>
      <c r="B64"/>
      <c r="C64"/>
      <c r="D64"/>
      <c r="E64"/>
      <c r="F64" s="50">
        <v>38930</v>
      </c>
      <c r="G64" s="53">
        <v>98.6</v>
      </c>
      <c r="H64"/>
      <c r="I64"/>
      <c r="J64" s="38"/>
      <c r="K64" s="54">
        <v>-5.3999999999999915</v>
      </c>
      <c r="L64" s="54"/>
      <c r="M64" s="54">
        <v>-5.3999999999999915</v>
      </c>
    </row>
    <row r="65" spans="1:13" s="15" customFormat="1" x14ac:dyDescent="0.3">
      <c r="A65" s="17"/>
      <c r="B65"/>
      <c r="C65"/>
      <c r="D65"/>
      <c r="E65"/>
      <c r="F65" s="50">
        <v>38961</v>
      </c>
      <c r="G65" s="53">
        <v>93.2</v>
      </c>
      <c r="H65"/>
      <c r="I65"/>
      <c r="J65" s="38"/>
      <c r="K65" s="54">
        <v>4.2999999999999972</v>
      </c>
      <c r="L65" s="54"/>
      <c r="M65" s="54">
        <v>4.2999999999999972</v>
      </c>
    </row>
    <row r="66" spans="1:13" s="15" customFormat="1" x14ac:dyDescent="0.3">
      <c r="A66" s="17"/>
      <c r="B66"/>
      <c r="C66"/>
      <c r="D66"/>
      <c r="E66"/>
      <c r="F66" s="50">
        <v>38991</v>
      </c>
      <c r="G66" s="53">
        <v>97.5</v>
      </c>
      <c r="H66"/>
      <c r="I66"/>
      <c r="J66" s="38"/>
      <c r="K66" s="54">
        <v>-1.5999999999999943</v>
      </c>
      <c r="L66" s="54"/>
      <c r="M66" s="54">
        <v>-1.5999999999999943</v>
      </c>
    </row>
    <row r="67" spans="1:13" s="15" customFormat="1" x14ac:dyDescent="0.3">
      <c r="A67" s="17"/>
      <c r="B67"/>
      <c r="C67"/>
      <c r="D67"/>
      <c r="E67"/>
      <c r="F67" s="50">
        <v>39022</v>
      </c>
      <c r="G67" s="53">
        <v>95.9</v>
      </c>
      <c r="H67"/>
      <c r="I67"/>
      <c r="J67" s="38"/>
      <c r="K67" s="54">
        <v>-8.9000000000000057</v>
      </c>
      <c r="L67" s="54"/>
      <c r="M67" s="54">
        <v>-8.9000000000000057</v>
      </c>
    </row>
    <row r="68" spans="1:13" s="15" customFormat="1" x14ac:dyDescent="0.3">
      <c r="A68" s="17"/>
      <c r="B68"/>
      <c r="C68"/>
      <c r="D68"/>
      <c r="E68"/>
      <c r="F68" s="50">
        <v>39052</v>
      </c>
      <c r="G68" s="53">
        <v>87</v>
      </c>
      <c r="H68"/>
      <c r="I68"/>
      <c r="J68" s="38"/>
      <c r="K68" s="54">
        <v>0</v>
      </c>
      <c r="L68" s="54"/>
      <c r="M68" s="54">
        <v>0</v>
      </c>
    </row>
    <row r="69" spans="1:13" s="15" customFormat="1" x14ac:dyDescent="0.3">
      <c r="A69" s="17"/>
      <c r="B69"/>
      <c r="C69"/>
      <c r="D69"/>
      <c r="E69"/>
      <c r="F69" s="50">
        <v>39083</v>
      </c>
      <c r="G69" s="53">
        <v>87</v>
      </c>
      <c r="H69"/>
      <c r="I69"/>
      <c r="J69" s="38"/>
      <c r="K69" s="54">
        <v>-4.4000000000000057</v>
      </c>
      <c r="L69" s="54"/>
      <c r="M69" s="54">
        <v>-4.4000000000000057</v>
      </c>
    </row>
    <row r="70" spans="1:13" s="15" customFormat="1" x14ac:dyDescent="0.3">
      <c r="A70" s="17"/>
      <c r="B70"/>
      <c r="C70"/>
      <c r="D70"/>
      <c r="E70"/>
      <c r="F70" s="50">
        <v>39114</v>
      </c>
      <c r="G70" s="53">
        <v>82.6</v>
      </c>
      <c r="H70"/>
      <c r="I70"/>
      <c r="J70" s="38"/>
      <c r="K70" s="54">
        <v>13.800000000000011</v>
      </c>
      <c r="L70" s="54"/>
      <c r="M70" s="54">
        <v>13.800000000000011</v>
      </c>
    </row>
    <row r="71" spans="1:13" s="15" customFormat="1" x14ac:dyDescent="0.3">
      <c r="A71" s="17"/>
      <c r="B71"/>
      <c r="C71"/>
      <c r="D71"/>
      <c r="E71"/>
      <c r="F71" s="50">
        <v>39142</v>
      </c>
      <c r="G71" s="53">
        <v>96.4</v>
      </c>
      <c r="H71"/>
      <c r="I71"/>
      <c r="J71" s="38"/>
      <c r="K71" s="54">
        <v>-5.8000000000000114</v>
      </c>
      <c r="L71" s="54"/>
      <c r="M71" s="54">
        <v>-5.8000000000000114</v>
      </c>
    </row>
    <row r="72" spans="1:13" s="15" customFormat="1" x14ac:dyDescent="0.3">
      <c r="A72" s="17"/>
      <c r="B72"/>
      <c r="C72"/>
      <c r="D72"/>
      <c r="E72"/>
      <c r="F72" s="50">
        <v>39173</v>
      </c>
      <c r="G72" s="53">
        <v>90.6</v>
      </c>
      <c r="H72"/>
      <c r="I72"/>
      <c r="J72" s="38"/>
      <c r="K72" s="54">
        <v>9.3000000000000114</v>
      </c>
      <c r="L72" s="54"/>
      <c r="M72" s="54">
        <v>9.3000000000000114</v>
      </c>
    </row>
    <row r="73" spans="1:13" s="15" customFormat="1" x14ac:dyDescent="0.3">
      <c r="A73" s="17"/>
      <c r="B73"/>
      <c r="C73"/>
      <c r="D73"/>
      <c r="E73"/>
      <c r="F73" s="50">
        <v>39203</v>
      </c>
      <c r="G73" s="53">
        <v>99.9</v>
      </c>
      <c r="H73"/>
      <c r="I73"/>
      <c r="J73" s="38"/>
      <c r="K73" s="54">
        <v>-3</v>
      </c>
      <c r="L73" s="54"/>
      <c r="M73" s="54">
        <v>-3</v>
      </c>
    </row>
    <row r="74" spans="1:13" s="15" customFormat="1" x14ac:dyDescent="0.3">
      <c r="A74" s="17"/>
      <c r="B74"/>
      <c r="C74"/>
      <c r="D74"/>
      <c r="E74"/>
      <c r="F74" s="50">
        <v>39234</v>
      </c>
      <c r="G74" s="53">
        <v>96.9</v>
      </c>
      <c r="H74"/>
      <c r="I74"/>
      <c r="J74" s="38"/>
      <c r="K74" s="54">
        <v>2.8999999999999915</v>
      </c>
      <c r="L74" s="54"/>
      <c r="M74" s="54">
        <v>2.8999999999999915</v>
      </c>
    </row>
    <row r="75" spans="1:13" s="15" customFormat="1" x14ac:dyDescent="0.3">
      <c r="A75" s="17"/>
      <c r="B75"/>
      <c r="C75"/>
      <c r="D75"/>
      <c r="E75"/>
      <c r="F75" s="50">
        <v>39264</v>
      </c>
      <c r="G75" s="53">
        <v>99.8</v>
      </c>
      <c r="H75"/>
      <c r="I75"/>
      <c r="J75" s="38"/>
      <c r="K75" s="54">
        <v>5.1000000000000085</v>
      </c>
      <c r="L75" s="54"/>
      <c r="M75" s="54">
        <v>5.1000000000000085</v>
      </c>
    </row>
    <row r="76" spans="1:13" s="15" customFormat="1" x14ac:dyDescent="0.3">
      <c r="A76" s="17"/>
      <c r="B76"/>
      <c r="C76"/>
      <c r="D76"/>
      <c r="E76"/>
      <c r="F76" s="50">
        <v>39295</v>
      </c>
      <c r="G76" s="53">
        <v>104.9</v>
      </c>
      <c r="H76"/>
      <c r="I76"/>
      <c r="J76" s="38"/>
      <c r="K76" s="54">
        <v>-6.5</v>
      </c>
      <c r="L76" s="54"/>
      <c r="M76" s="54">
        <v>-6.5</v>
      </c>
    </row>
    <row r="77" spans="1:13" s="15" customFormat="1" x14ac:dyDescent="0.3">
      <c r="A77" s="17"/>
      <c r="B77"/>
      <c r="C77"/>
      <c r="D77"/>
      <c r="E77"/>
      <c r="F77" s="50">
        <v>39326</v>
      </c>
      <c r="G77" s="53">
        <v>98.4</v>
      </c>
      <c r="H77"/>
      <c r="I77"/>
      <c r="J77" s="38"/>
      <c r="K77" s="54">
        <v>9.3999999999999915</v>
      </c>
      <c r="L77" s="54"/>
      <c r="M77" s="54">
        <v>9.3999999999999915</v>
      </c>
    </row>
    <row r="78" spans="1:13" s="15" customFormat="1" x14ac:dyDescent="0.3">
      <c r="A78" s="17"/>
      <c r="B78"/>
      <c r="C78"/>
      <c r="D78"/>
      <c r="E78"/>
      <c r="F78" s="50">
        <v>39356</v>
      </c>
      <c r="G78" s="53">
        <v>107.8</v>
      </c>
      <c r="H78"/>
      <c r="I78"/>
      <c r="J78" s="38"/>
      <c r="K78" s="54">
        <v>-5.3999999999999915</v>
      </c>
      <c r="L78" s="54"/>
      <c r="M78" s="54">
        <v>-5.3999999999999915</v>
      </c>
    </row>
    <row r="79" spans="1:13" s="15" customFormat="1" x14ac:dyDescent="0.3">
      <c r="A79" s="17"/>
      <c r="B79"/>
      <c r="C79"/>
      <c r="D79"/>
      <c r="E79"/>
      <c r="F79" s="50">
        <v>39387</v>
      </c>
      <c r="G79" s="53">
        <v>102.4</v>
      </c>
      <c r="H79"/>
      <c r="I79"/>
      <c r="J79" s="38"/>
      <c r="K79" s="54">
        <v>-9.8000000000000114</v>
      </c>
      <c r="L79" s="54"/>
      <c r="M79" s="54">
        <v>-9.8000000000000114</v>
      </c>
    </row>
    <row r="80" spans="1:13" s="15" customFormat="1" x14ac:dyDescent="0.3">
      <c r="A80" s="17"/>
      <c r="B80"/>
      <c r="C80"/>
      <c r="D80"/>
      <c r="E80"/>
      <c r="F80" s="50">
        <v>39417</v>
      </c>
      <c r="G80" s="53">
        <v>92.6</v>
      </c>
      <c r="H80"/>
      <c r="I80"/>
      <c r="J80" s="38"/>
      <c r="K80" s="54">
        <v>2.2000000000000028</v>
      </c>
      <c r="L80" s="54"/>
      <c r="M80" s="54">
        <v>2.2000000000000028</v>
      </c>
    </row>
    <row r="81" spans="1:13" s="15" customFormat="1" x14ac:dyDescent="0.3">
      <c r="A81" s="17"/>
      <c r="B81"/>
      <c r="C81"/>
      <c r="D81"/>
      <c r="E81"/>
      <c r="F81" s="50">
        <v>39448</v>
      </c>
      <c r="G81" s="53">
        <v>94.8</v>
      </c>
      <c r="H81"/>
      <c r="I81"/>
      <c r="J81" s="38"/>
      <c r="K81" s="54">
        <v>-3.7000000000000028</v>
      </c>
      <c r="L81" s="54"/>
      <c r="M81" s="54">
        <v>-3.7000000000000028</v>
      </c>
    </row>
    <row r="82" spans="1:13" s="15" customFormat="1" x14ac:dyDescent="0.3">
      <c r="A82" s="17"/>
      <c r="B82"/>
      <c r="C82"/>
      <c r="D82"/>
      <c r="E82"/>
      <c r="F82" s="50">
        <v>39479</v>
      </c>
      <c r="G82" s="53">
        <v>91.1</v>
      </c>
      <c r="H82"/>
      <c r="I82"/>
      <c r="J82" s="38"/>
      <c r="K82" s="54">
        <v>6.6000000000000085</v>
      </c>
      <c r="L82" s="54"/>
      <c r="M82" s="54">
        <v>6.6000000000000085</v>
      </c>
    </row>
    <row r="83" spans="1:13" s="15" customFormat="1" x14ac:dyDescent="0.3">
      <c r="A83" s="17"/>
      <c r="B83"/>
      <c r="C83"/>
      <c r="D83"/>
      <c r="E83"/>
      <c r="F83" s="50">
        <v>39508</v>
      </c>
      <c r="G83" s="53">
        <v>97.7</v>
      </c>
      <c r="H83"/>
      <c r="I83"/>
      <c r="J83" s="38"/>
      <c r="K83" s="54">
        <v>1.5</v>
      </c>
      <c r="L83" s="54"/>
      <c r="M83" s="54">
        <v>1.5</v>
      </c>
    </row>
    <row r="84" spans="1:13" s="15" customFormat="1" x14ac:dyDescent="0.3">
      <c r="A84" s="17"/>
      <c r="B84"/>
      <c r="C84"/>
      <c r="D84"/>
      <c r="E84"/>
      <c r="F84" s="50">
        <v>39539</v>
      </c>
      <c r="G84" s="53">
        <v>99.2</v>
      </c>
      <c r="H84"/>
      <c r="I84"/>
      <c r="J84" s="38"/>
      <c r="K84" s="54">
        <v>3.2999999999999972</v>
      </c>
      <c r="L84" s="54"/>
      <c r="M84" s="54">
        <v>3.2999999999999972</v>
      </c>
    </row>
    <row r="85" spans="1:13" s="15" customFormat="1" x14ac:dyDescent="0.3">
      <c r="A85" s="17"/>
      <c r="B85"/>
      <c r="C85"/>
      <c r="D85"/>
      <c r="E85"/>
      <c r="F85" s="50">
        <v>39569</v>
      </c>
      <c r="G85" s="53">
        <v>102.5</v>
      </c>
      <c r="H85"/>
      <c r="I85"/>
      <c r="J85" s="38"/>
      <c r="K85" s="54">
        <v>0.79999999999999716</v>
      </c>
      <c r="L85" s="54"/>
      <c r="M85" s="54">
        <v>0.79999999999999716</v>
      </c>
    </row>
    <row r="86" spans="1:13" s="15" customFormat="1" x14ac:dyDescent="0.3">
      <c r="A86" s="17"/>
      <c r="B86"/>
      <c r="C86"/>
      <c r="D86"/>
      <c r="E86"/>
      <c r="F86" s="50">
        <v>39600</v>
      </c>
      <c r="G86" s="53">
        <v>103.3</v>
      </c>
      <c r="H86"/>
      <c r="I86"/>
      <c r="J86" s="38"/>
      <c r="K86" s="54">
        <v>5.2000000000000028</v>
      </c>
      <c r="L86" s="54"/>
      <c r="M86" s="54">
        <v>5.2000000000000028</v>
      </c>
    </row>
    <row r="87" spans="1:13" s="15" customFormat="1" x14ac:dyDescent="0.3">
      <c r="A87" s="17"/>
      <c r="B87"/>
      <c r="C87"/>
      <c r="D87"/>
      <c r="E87"/>
      <c r="F87" s="50">
        <v>39630</v>
      </c>
      <c r="G87" s="53">
        <v>108.5</v>
      </c>
      <c r="H87"/>
      <c r="I87"/>
      <c r="J87" s="38"/>
      <c r="K87" s="54">
        <v>-1.5999999999999943</v>
      </c>
      <c r="L87" s="54"/>
      <c r="M87" s="54">
        <v>-1.5999999999999943</v>
      </c>
    </row>
    <row r="88" spans="1:13" s="15" customFormat="1" x14ac:dyDescent="0.3">
      <c r="A88" s="17"/>
      <c r="B88"/>
      <c r="C88"/>
      <c r="D88"/>
      <c r="E88"/>
      <c r="F88" s="50">
        <v>39661</v>
      </c>
      <c r="G88" s="53">
        <v>106.9</v>
      </c>
      <c r="H88"/>
      <c r="I88"/>
      <c r="J88" s="38"/>
      <c r="K88" s="54">
        <v>0.39999999999999147</v>
      </c>
      <c r="L88" s="54"/>
      <c r="M88" s="54">
        <v>0.39999999999999147</v>
      </c>
    </row>
    <row r="89" spans="1:13" s="15" customFormat="1" x14ac:dyDescent="0.3">
      <c r="A89" s="17"/>
      <c r="B89"/>
      <c r="C89"/>
      <c r="D89"/>
      <c r="E89"/>
      <c r="F89" s="50">
        <v>39692</v>
      </c>
      <c r="G89" s="53">
        <v>107.3</v>
      </c>
      <c r="H89"/>
      <c r="I89"/>
      <c r="J89" s="38"/>
      <c r="K89" s="54">
        <v>1.1000000000000085</v>
      </c>
      <c r="L89" s="54"/>
      <c r="M89" s="54">
        <v>1.1000000000000085</v>
      </c>
    </row>
    <row r="90" spans="1:13" s="15" customFormat="1" x14ac:dyDescent="0.3">
      <c r="A90" s="17"/>
      <c r="B90"/>
      <c r="C90"/>
      <c r="D90"/>
      <c r="E90"/>
      <c r="F90" s="50">
        <v>39722</v>
      </c>
      <c r="G90" s="53">
        <v>108.4</v>
      </c>
      <c r="H90"/>
      <c r="I90"/>
      <c r="J90" s="38"/>
      <c r="K90" s="54">
        <v>-12.200000000000003</v>
      </c>
      <c r="L90" s="54"/>
      <c r="M90" s="54">
        <v>-12.200000000000003</v>
      </c>
    </row>
    <row r="91" spans="1:13" s="15" customFormat="1" x14ac:dyDescent="0.3">
      <c r="A91" s="17"/>
      <c r="B91"/>
      <c r="C91"/>
      <c r="D91"/>
      <c r="E91"/>
      <c r="F91" s="50">
        <v>39753</v>
      </c>
      <c r="G91" s="53">
        <v>96.2</v>
      </c>
      <c r="H91"/>
      <c r="I91"/>
      <c r="J91" s="38"/>
      <c r="K91" s="54">
        <v>-17.100000000000009</v>
      </c>
      <c r="L91" s="54"/>
      <c r="M91" s="54">
        <v>-17.100000000000009</v>
      </c>
    </row>
    <row r="92" spans="1:13" s="15" customFormat="1" x14ac:dyDescent="0.3">
      <c r="A92" s="17"/>
      <c r="B92"/>
      <c r="C92"/>
      <c r="D92"/>
      <c r="E92"/>
      <c r="F92" s="50">
        <v>39783</v>
      </c>
      <c r="G92" s="53">
        <v>79.099999999999994</v>
      </c>
      <c r="H92"/>
      <c r="I92"/>
      <c r="J92" s="38"/>
      <c r="K92" s="54">
        <v>-0.39999999999999147</v>
      </c>
      <c r="L92" s="54"/>
      <c r="M92" s="54">
        <v>-0.39999999999999147</v>
      </c>
    </row>
    <row r="93" spans="1:13" s="15" customFormat="1" x14ac:dyDescent="0.3">
      <c r="A93" s="17"/>
      <c r="B93"/>
      <c r="C93"/>
      <c r="D93"/>
      <c r="E93"/>
      <c r="F93" s="50">
        <v>39814</v>
      </c>
      <c r="G93" s="53">
        <v>78.7</v>
      </c>
      <c r="H93"/>
      <c r="I93"/>
      <c r="J93" s="38"/>
      <c r="K93" s="54">
        <v>-2.6000000000000085</v>
      </c>
      <c r="L93" s="54"/>
      <c r="M93" s="54">
        <v>-2.6000000000000085</v>
      </c>
    </row>
    <row r="94" spans="1:13" s="15" customFormat="1" x14ac:dyDescent="0.3">
      <c r="A94" s="17"/>
      <c r="B94"/>
      <c r="C94"/>
      <c r="D94"/>
      <c r="E94"/>
      <c r="F94" s="50">
        <v>39845</v>
      </c>
      <c r="G94" s="53">
        <v>76.099999999999994</v>
      </c>
      <c r="H94"/>
      <c r="I94"/>
      <c r="J94" s="38"/>
      <c r="K94" s="54">
        <v>12.5</v>
      </c>
      <c r="L94" s="54"/>
      <c r="M94" s="54">
        <v>12.5</v>
      </c>
    </row>
    <row r="95" spans="1:13" s="15" customFormat="1" x14ac:dyDescent="0.3">
      <c r="A95" s="17"/>
      <c r="B95"/>
      <c r="C95"/>
      <c r="D95"/>
      <c r="E95"/>
      <c r="F95" s="50">
        <v>39873</v>
      </c>
      <c r="G95" s="53">
        <v>88.6</v>
      </c>
      <c r="H95"/>
      <c r="I95"/>
      <c r="J95" s="38"/>
      <c r="K95" s="54">
        <v>-3.3999999999999915</v>
      </c>
      <c r="L95" s="54"/>
      <c r="M95" s="54">
        <v>-3.3999999999999915</v>
      </c>
    </row>
    <row r="96" spans="1:13" s="15" customFormat="1" x14ac:dyDescent="0.3">
      <c r="A96" s="17"/>
      <c r="B96"/>
      <c r="C96"/>
      <c r="D96"/>
      <c r="E96"/>
      <c r="F96" s="50">
        <v>39904</v>
      </c>
      <c r="G96" s="53">
        <v>85.2</v>
      </c>
      <c r="H96"/>
      <c r="I96"/>
      <c r="J96" s="38"/>
      <c r="K96" s="54">
        <v>6.0999999999999943</v>
      </c>
      <c r="L96" s="54"/>
      <c r="M96" s="54">
        <v>6.0999999999999943</v>
      </c>
    </row>
    <row r="97" spans="1:13" s="15" customFormat="1" x14ac:dyDescent="0.3">
      <c r="A97" s="17"/>
      <c r="B97"/>
      <c r="C97"/>
      <c r="D97"/>
      <c r="E97"/>
      <c r="F97" s="50">
        <v>39934</v>
      </c>
      <c r="G97" s="53">
        <v>91.3</v>
      </c>
      <c r="H97"/>
      <c r="I97"/>
      <c r="J97" s="38"/>
      <c r="K97" s="54">
        <v>0.90000000000000568</v>
      </c>
      <c r="L97" s="54"/>
      <c r="M97" s="54">
        <v>0.90000000000000568</v>
      </c>
    </row>
    <row r="98" spans="1:13" s="15" customFormat="1" x14ac:dyDescent="0.3">
      <c r="A98" s="17"/>
      <c r="B98"/>
      <c r="C98"/>
      <c r="D98"/>
      <c r="E98"/>
      <c r="F98" s="50">
        <v>39965</v>
      </c>
      <c r="G98" s="53">
        <v>92.2</v>
      </c>
      <c r="H98"/>
      <c r="I98"/>
      <c r="J98" s="38"/>
      <c r="K98" s="54">
        <v>5.5</v>
      </c>
      <c r="L98" s="54"/>
      <c r="M98" s="54">
        <v>5.5</v>
      </c>
    </row>
    <row r="99" spans="1:13" s="15" customFormat="1" x14ac:dyDescent="0.3">
      <c r="A99" s="17"/>
      <c r="B99"/>
      <c r="C99"/>
      <c r="D99"/>
      <c r="E99"/>
      <c r="F99" s="50">
        <v>39995</v>
      </c>
      <c r="G99" s="53">
        <v>97.7</v>
      </c>
      <c r="H99"/>
      <c r="I99"/>
      <c r="J99" s="38"/>
      <c r="K99" s="54">
        <v>1.8999999999999915</v>
      </c>
      <c r="L99" s="54"/>
      <c r="M99" s="54">
        <v>1.8999999999999915</v>
      </c>
    </row>
    <row r="100" spans="1:13" s="15" customFormat="1" x14ac:dyDescent="0.3">
      <c r="A100" s="17"/>
      <c r="B100"/>
      <c r="C100"/>
      <c r="D100"/>
      <c r="E100"/>
      <c r="F100" s="50">
        <v>40026</v>
      </c>
      <c r="G100" s="53">
        <v>99.6</v>
      </c>
      <c r="H100"/>
      <c r="I100"/>
      <c r="J100" s="38"/>
      <c r="K100" s="54">
        <v>-0.19999999999998863</v>
      </c>
      <c r="L100" s="54"/>
      <c r="M100" s="54">
        <v>-0.19999999999998863</v>
      </c>
    </row>
    <row r="101" spans="1:13" s="15" customFormat="1" x14ac:dyDescent="0.3">
      <c r="A101" s="17"/>
      <c r="B101"/>
      <c r="C101"/>
      <c r="D101"/>
      <c r="E101"/>
      <c r="F101" s="50">
        <v>40057</v>
      </c>
      <c r="G101" s="53">
        <v>99.4</v>
      </c>
      <c r="H101"/>
      <c r="I101"/>
      <c r="J101" s="38"/>
      <c r="K101" s="54">
        <v>6.1999999999999886</v>
      </c>
      <c r="L101" s="54"/>
      <c r="M101" s="54">
        <v>6.1999999999999886</v>
      </c>
    </row>
    <row r="102" spans="1:13" s="15" customFormat="1" x14ac:dyDescent="0.3">
      <c r="A102" s="17"/>
      <c r="B102"/>
      <c r="C102"/>
      <c r="D102"/>
      <c r="E102"/>
      <c r="F102" s="50">
        <v>40087</v>
      </c>
      <c r="G102" s="53">
        <v>105.6</v>
      </c>
      <c r="H102"/>
      <c r="I102"/>
      <c r="J102" s="38"/>
      <c r="K102" s="54">
        <v>-4.1999999999999886</v>
      </c>
      <c r="L102" s="54"/>
      <c r="M102" s="54">
        <v>-4.1999999999999886</v>
      </c>
    </row>
    <row r="103" spans="1:13" s="15" customFormat="1" x14ac:dyDescent="0.3">
      <c r="A103" s="17"/>
      <c r="B103"/>
      <c r="C103"/>
      <c r="D103"/>
      <c r="E103"/>
      <c r="F103" s="50">
        <v>40118</v>
      </c>
      <c r="G103" s="53">
        <v>101.4</v>
      </c>
      <c r="H103"/>
      <c r="I103"/>
      <c r="J103" s="38"/>
      <c r="K103" s="54">
        <v>-7.3000000000000114</v>
      </c>
      <c r="L103" s="54"/>
      <c r="M103" s="54">
        <v>-7.3000000000000114</v>
      </c>
    </row>
    <row r="104" spans="1:13" s="15" customFormat="1" x14ac:dyDescent="0.3">
      <c r="A104" s="17"/>
      <c r="B104"/>
      <c r="C104"/>
      <c r="D104"/>
      <c r="E104"/>
      <c r="F104" s="50">
        <v>40148</v>
      </c>
      <c r="G104" s="53">
        <v>94.1</v>
      </c>
      <c r="H104"/>
      <c r="I104"/>
      <c r="J104" s="38"/>
      <c r="K104" s="54">
        <v>-2.8999999999999915</v>
      </c>
      <c r="L104" s="54"/>
      <c r="M104" s="54">
        <v>-2.8999999999999915</v>
      </c>
    </row>
    <row r="105" spans="1:13" s="15" customFormat="1" x14ac:dyDescent="0.3">
      <c r="A105" s="17"/>
      <c r="B105"/>
      <c r="C105"/>
      <c r="D105"/>
      <c r="E105"/>
      <c r="F105" s="50">
        <v>40179</v>
      </c>
      <c r="G105" s="53">
        <v>91.2</v>
      </c>
      <c r="H105"/>
      <c r="I105"/>
      <c r="J105" s="38"/>
      <c r="K105" s="54">
        <v>-2.2000000000000028</v>
      </c>
      <c r="L105" s="54"/>
      <c r="M105" s="54">
        <v>-2.2000000000000028</v>
      </c>
    </row>
    <row r="106" spans="1:13" s="15" customFormat="1" x14ac:dyDescent="0.3">
      <c r="A106" s="17"/>
      <c r="B106"/>
      <c r="C106"/>
      <c r="D106"/>
      <c r="E106"/>
      <c r="F106" s="50">
        <v>40210</v>
      </c>
      <c r="G106" s="53">
        <v>89</v>
      </c>
      <c r="H106"/>
      <c r="I106"/>
      <c r="J106" s="38"/>
      <c r="K106" s="54">
        <v>16.099999999999994</v>
      </c>
      <c r="L106" s="54"/>
      <c r="M106" s="54">
        <v>16.099999999999994</v>
      </c>
    </row>
    <row r="107" spans="1:13" s="15" customFormat="1" x14ac:dyDescent="0.3">
      <c r="A107" s="17"/>
      <c r="B107"/>
      <c r="C107"/>
      <c r="D107"/>
      <c r="E107"/>
      <c r="F107" s="50">
        <v>40238</v>
      </c>
      <c r="G107" s="53">
        <v>105.1</v>
      </c>
      <c r="H107"/>
      <c r="I107"/>
      <c r="J107" s="38"/>
      <c r="K107" s="54">
        <v>-5.7999999999999972</v>
      </c>
      <c r="L107" s="54"/>
      <c r="M107" s="54">
        <v>-5.7999999999999972</v>
      </c>
    </row>
    <row r="108" spans="1:13" s="15" customFormat="1" x14ac:dyDescent="0.3">
      <c r="A108" s="17"/>
      <c r="B108"/>
      <c r="C108"/>
      <c r="D108"/>
      <c r="E108"/>
      <c r="F108" s="50">
        <v>40269</v>
      </c>
      <c r="G108" s="53">
        <v>99.3</v>
      </c>
      <c r="H108"/>
      <c r="I108"/>
      <c r="J108" s="38"/>
      <c r="K108" s="54">
        <v>5</v>
      </c>
      <c r="L108" s="54"/>
      <c r="M108" s="54">
        <v>5</v>
      </c>
    </row>
    <row r="109" spans="1:13" s="15" customFormat="1" x14ac:dyDescent="0.3">
      <c r="A109" s="17"/>
      <c r="B109"/>
      <c r="C109"/>
      <c r="D109"/>
      <c r="E109"/>
      <c r="F109" s="50">
        <v>40299</v>
      </c>
      <c r="G109" s="53">
        <v>104.3</v>
      </c>
      <c r="H109"/>
      <c r="I109"/>
      <c r="J109" s="38"/>
      <c r="K109" s="54">
        <v>-1.7999999999999972</v>
      </c>
      <c r="L109" s="54"/>
      <c r="M109" s="54">
        <v>-1.7999999999999972</v>
      </c>
    </row>
    <row r="110" spans="1:13" s="15" customFormat="1" x14ac:dyDescent="0.3">
      <c r="A110" s="17"/>
      <c r="B110"/>
      <c r="C110"/>
      <c r="D110"/>
      <c r="E110"/>
      <c r="F110" s="50">
        <v>40330</v>
      </c>
      <c r="G110" s="53">
        <v>102.5</v>
      </c>
      <c r="H110"/>
      <c r="I110"/>
      <c r="J110" s="38"/>
      <c r="K110" s="54">
        <v>4.4000000000000057</v>
      </c>
      <c r="L110" s="54"/>
      <c r="M110" s="54">
        <v>4.4000000000000057</v>
      </c>
    </row>
    <row r="111" spans="1:13" s="15" customFormat="1" x14ac:dyDescent="0.3">
      <c r="A111" s="17"/>
      <c r="B111"/>
      <c r="C111"/>
      <c r="D111"/>
      <c r="E111"/>
      <c r="F111" s="50">
        <v>40360</v>
      </c>
      <c r="G111" s="53">
        <v>106.9</v>
      </c>
      <c r="H111"/>
      <c r="I111"/>
      <c r="J111" s="38"/>
      <c r="K111" s="54">
        <v>1.1999999999999886</v>
      </c>
      <c r="L111" s="54"/>
      <c r="M111" s="54">
        <v>1.1999999999999886</v>
      </c>
    </row>
    <row r="112" spans="1:13" s="15" customFormat="1" x14ac:dyDescent="0.3">
      <c r="A112" s="17"/>
      <c r="B112"/>
      <c r="C112"/>
      <c r="D112"/>
      <c r="E112"/>
      <c r="F112" s="50">
        <v>40391</v>
      </c>
      <c r="G112" s="53">
        <v>108.1</v>
      </c>
      <c r="H112"/>
      <c r="I112"/>
      <c r="J112" s="38"/>
      <c r="K112" s="54">
        <v>-2.2999999999999972</v>
      </c>
      <c r="L112" s="54"/>
      <c r="M112" s="54">
        <v>-2.2999999999999972</v>
      </c>
    </row>
    <row r="113" spans="1:13" s="15" customFormat="1" x14ac:dyDescent="0.3">
      <c r="A113" s="17"/>
      <c r="B113"/>
      <c r="C113"/>
      <c r="D113"/>
      <c r="E113"/>
      <c r="F113" s="50">
        <v>40422</v>
      </c>
      <c r="G113" s="53">
        <v>105.8</v>
      </c>
      <c r="H113"/>
      <c r="I113"/>
      <c r="J113" s="38"/>
      <c r="K113" s="54">
        <v>1.9000000000000057</v>
      </c>
      <c r="L113" s="54"/>
      <c r="M113" s="54">
        <v>1.9000000000000057</v>
      </c>
    </row>
    <row r="114" spans="1:13" s="15" customFormat="1" x14ac:dyDescent="0.3">
      <c r="A114" s="17"/>
      <c r="B114"/>
      <c r="C114"/>
      <c r="D114"/>
      <c r="E114"/>
      <c r="F114" s="50">
        <v>40452</v>
      </c>
      <c r="G114" s="53">
        <v>107.7</v>
      </c>
      <c r="H114"/>
      <c r="I114"/>
      <c r="J114" s="38"/>
      <c r="K114" s="54">
        <v>-0.90000000000000568</v>
      </c>
      <c r="L114" s="54"/>
      <c r="M114" s="54">
        <v>-0.90000000000000568</v>
      </c>
    </row>
    <row r="115" spans="1:13" s="15" customFormat="1" x14ac:dyDescent="0.3">
      <c r="A115" s="17"/>
      <c r="B115"/>
      <c r="C115"/>
      <c r="D115"/>
      <c r="E115"/>
      <c r="F115" s="50">
        <v>40483</v>
      </c>
      <c r="G115" s="53">
        <v>106.8</v>
      </c>
      <c r="H115"/>
      <c r="I115"/>
      <c r="J115" s="38"/>
      <c r="K115" s="54">
        <v>-10.200000000000003</v>
      </c>
      <c r="L115" s="54"/>
      <c r="M115" s="54">
        <v>-10.200000000000003</v>
      </c>
    </row>
    <row r="116" spans="1:13" s="15" customFormat="1" x14ac:dyDescent="0.3">
      <c r="A116" s="17"/>
      <c r="B116"/>
      <c r="C116"/>
      <c r="D116"/>
      <c r="E116"/>
      <c r="F116" s="50">
        <v>40513</v>
      </c>
      <c r="G116" s="53">
        <v>96.6</v>
      </c>
      <c r="H116"/>
      <c r="I116"/>
      <c r="J116" s="38"/>
      <c r="K116" s="54">
        <v>-3.3999999999999915</v>
      </c>
      <c r="L116" s="54"/>
      <c r="M116" s="54">
        <v>-3.3999999999999915</v>
      </c>
    </row>
    <row r="117" spans="1:13" s="15" customFormat="1" x14ac:dyDescent="0.3">
      <c r="A117" s="17"/>
      <c r="B117"/>
      <c r="C117"/>
      <c r="D117"/>
      <c r="E117"/>
      <c r="F117" s="50">
        <v>40544</v>
      </c>
      <c r="G117" s="53">
        <v>93.2</v>
      </c>
      <c r="H117"/>
      <c r="I117"/>
      <c r="J117" s="38"/>
      <c r="K117" s="54">
        <v>2.2000000000000028</v>
      </c>
      <c r="L117" s="54"/>
      <c r="M117" s="54">
        <v>2.2000000000000028</v>
      </c>
    </row>
    <row r="118" spans="1:13" s="15" customFormat="1" x14ac:dyDescent="0.3">
      <c r="A118" s="17"/>
      <c r="B118"/>
      <c r="C118"/>
      <c r="D118"/>
      <c r="E118"/>
      <c r="F118" s="50">
        <v>40575</v>
      </c>
      <c r="G118" s="53">
        <v>95.4</v>
      </c>
      <c r="H118"/>
      <c r="I118"/>
      <c r="J118" s="38"/>
      <c r="K118" s="54">
        <v>9</v>
      </c>
      <c r="L118" s="54"/>
      <c r="M118" s="54">
        <v>9</v>
      </c>
    </row>
    <row r="119" spans="1:13" s="15" customFormat="1" x14ac:dyDescent="0.3">
      <c r="A119" s="17"/>
      <c r="B119"/>
      <c r="C119"/>
      <c r="D119"/>
      <c r="E119"/>
      <c r="F119" s="50">
        <v>40603</v>
      </c>
      <c r="G119" s="53">
        <v>104.4</v>
      </c>
      <c r="H119"/>
      <c r="I119"/>
      <c r="J119" s="38"/>
      <c r="K119" s="54">
        <v>-6.9000000000000057</v>
      </c>
      <c r="L119" s="54"/>
      <c r="M119" s="54">
        <v>-6.9000000000000057</v>
      </c>
    </row>
    <row r="120" spans="1:13" s="15" customFormat="1" x14ac:dyDescent="0.3">
      <c r="A120" s="17"/>
      <c r="B120"/>
      <c r="C120"/>
      <c r="D120"/>
      <c r="E120"/>
      <c r="F120" s="50">
        <v>40634</v>
      </c>
      <c r="G120" s="53">
        <v>97.5</v>
      </c>
      <c r="H120"/>
      <c r="I120"/>
      <c r="J120" s="38"/>
      <c r="K120" s="54">
        <v>9.5999999999999943</v>
      </c>
      <c r="L120" s="54"/>
      <c r="M120" s="54">
        <v>9.5999999999999943</v>
      </c>
    </row>
    <row r="121" spans="1:13" s="15" customFormat="1" x14ac:dyDescent="0.3">
      <c r="A121" s="17"/>
      <c r="B121"/>
      <c r="C121"/>
      <c r="D121"/>
      <c r="E121"/>
      <c r="F121" s="50">
        <v>40664</v>
      </c>
      <c r="G121" s="53">
        <v>107.1</v>
      </c>
      <c r="H121"/>
      <c r="I121"/>
      <c r="J121" s="38"/>
      <c r="K121" s="54">
        <v>-4.2999999999999972</v>
      </c>
      <c r="L121" s="54"/>
      <c r="M121" s="54">
        <v>-4.2999999999999972</v>
      </c>
    </row>
    <row r="122" spans="1:13" s="15" customFormat="1" x14ac:dyDescent="0.3">
      <c r="A122" s="17"/>
      <c r="B122"/>
      <c r="C122"/>
      <c r="D122"/>
      <c r="E122"/>
      <c r="F122" s="50">
        <v>40695</v>
      </c>
      <c r="G122" s="53">
        <v>102.8</v>
      </c>
      <c r="H122"/>
      <c r="I122"/>
      <c r="J122" s="38"/>
      <c r="K122" s="54">
        <v>3.2999999999999972</v>
      </c>
      <c r="L122" s="54"/>
      <c r="M122" s="54">
        <v>3.2999999999999972</v>
      </c>
    </row>
    <row r="123" spans="1:13" s="15" customFormat="1" x14ac:dyDescent="0.3">
      <c r="A123" s="17"/>
      <c r="B123"/>
      <c r="C123"/>
      <c r="D123"/>
      <c r="E123"/>
      <c r="F123" s="50">
        <v>40725</v>
      </c>
      <c r="G123" s="53">
        <v>106.1</v>
      </c>
      <c r="H123"/>
      <c r="I123"/>
      <c r="J123" s="38"/>
      <c r="K123" s="54">
        <v>4.7000000000000028</v>
      </c>
      <c r="L123" s="54"/>
      <c r="M123" s="54">
        <v>4.7000000000000028</v>
      </c>
    </row>
    <row r="124" spans="1:13" s="15" customFormat="1" x14ac:dyDescent="0.3">
      <c r="A124" s="17"/>
      <c r="B124"/>
      <c r="C124"/>
      <c r="D124"/>
      <c r="E124"/>
      <c r="F124" s="50">
        <v>40756</v>
      </c>
      <c r="G124" s="53">
        <v>110.8</v>
      </c>
      <c r="H124"/>
      <c r="I124"/>
      <c r="J124" s="38"/>
      <c r="K124" s="54">
        <v>-6</v>
      </c>
      <c r="L124" s="54"/>
      <c r="M124" s="54">
        <v>-6</v>
      </c>
    </row>
    <row r="125" spans="1:13" s="15" customFormat="1" x14ac:dyDescent="0.3">
      <c r="A125" s="17"/>
      <c r="B125"/>
      <c r="C125"/>
      <c r="D125"/>
      <c r="E125"/>
      <c r="F125" s="50">
        <v>40787</v>
      </c>
      <c r="G125" s="53">
        <v>104.8</v>
      </c>
      <c r="H125"/>
      <c r="I125"/>
      <c r="J125" s="38"/>
      <c r="K125" s="54">
        <v>1.5</v>
      </c>
      <c r="L125" s="54"/>
      <c r="M125" s="54">
        <v>1.5</v>
      </c>
    </row>
    <row r="126" spans="1:13" s="15" customFormat="1" x14ac:dyDescent="0.3">
      <c r="A126" s="17"/>
      <c r="B126"/>
      <c r="C126"/>
      <c r="D126"/>
      <c r="E126"/>
      <c r="F126" s="50">
        <v>40817</v>
      </c>
      <c r="G126" s="53">
        <v>106.3</v>
      </c>
      <c r="H126"/>
      <c r="I126"/>
      <c r="J126" s="38"/>
      <c r="K126" s="54">
        <v>-2.0999999999999943</v>
      </c>
      <c r="L126" s="54"/>
      <c r="M126" s="54">
        <v>-2.0999999999999943</v>
      </c>
    </row>
    <row r="127" spans="1:13" s="15" customFormat="1" x14ac:dyDescent="0.3">
      <c r="A127" s="17"/>
      <c r="B127"/>
      <c r="C127"/>
      <c r="D127"/>
      <c r="E127"/>
      <c r="F127" s="50">
        <v>40848</v>
      </c>
      <c r="G127" s="53">
        <v>104.2</v>
      </c>
      <c r="H127"/>
      <c r="I127"/>
      <c r="J127" s="38"/>
      <c r="K127" s="54">
        <v>-8.5</v>
      </c>
      <c r="L127" s="54"/>
      <c r="M127" s="54">
        <v>-8.5</v>
      </c>
    </row>
    <row r="128" spans="1:13" s="15" customFormat="1" x14ac:dyDescent="0.3">
      <c r="A128" s="17"/>
      <c r="B128"/>
      <c r="C128"/>
      <c r="D128"/>
      <c r="E128"/>
      <c r="F128" s="50">
        <v>40878</v>
      </c>
      <c r="G128" s="53">
        <v>95.7</v>
      </c>
      <c r="H128"/>
      <c r="I128"/>
      <c r="J128" s="38"/>
      <c r="K128" s="54">
        <v>-7</v>
      </c>
      <c r="L128" s="54"/>
      <c r="M128" s="54">
        <v>-7</v>
      </c>
    </row>
    <row r="129" spans="1:13" s="15" customFormat="1" x14ac:dyDescent="0.3">
      <c r="A129" s="17"/>
      <c r="B129"/>
      <c r="C129"/>
      <c r="D129"/>
      <c r="E129"/>
      <c r="F129" s="50">
        <v>40909</v>
      </c>
      <c r="G129" s="53">
        <v>88.7</v>
      </c>
      <c r="H129"/>
      <c r="I129"/>
      <c r="J129" s="38"/>
      <c r="K129" s="54">
        <v>1.0999999999999943</v>
      </c>
      <c r="L129" s="54"/>
      <c r="M129" s="54">
        <v>1.0999999999999943</v>
      </c>
    </row>
    <row r="130" spans="1:13" s="15" customFormat="1" x14ac:dyDescent="0.3">
      <c r="A130" s="17"/>
      <c r="B130"/>
      <c r="C130"/>
      <c r="D130"/>
      <c r="E130"/>
      <c r="F130" s="50">
        <v>40940</v>
      </c>
      <c r="G130" s="53">
        <v>89.8</v>
      </c>
      <c r="H130"/>
      <c r="I130"/>
      <c r="J130" s="38"/>
      <c r="K130" s="54">
        <v>9.9000000000000057</v>
      </c>
      <c r="L130" s="54"/>
      <c r="M130" s="54">
        <v>9.9000000000000057</v>
      </c>
    </row>
    <row r="131" spans="1:13" s="15" customFormat="1" x14ac:dyDescent="0.3">
      <c r="A131" s="17"/>
      <c r="B131"/>
      <c r="C131"/>
      <c r="D131"/>
      <c r="E131"/>
      <c r="F131" s="50">
        <v>40969</v>
      </c>
      <c r="G131" s="53">
        <v>99.7</v>
      </c>
      <c r="H131"/>
      <c r="I131"/>
      <c r="J131" s="38"/>
      <c r="K131" s="54">
        <v>-6.9000000000000057</v>
      </c>
      <c r="L131" s="54"/>
      <c r="M131" s="54">
        <v>-6.9000000000000057</v>
      </c>
    </row>
    <row r="132" spans="1:13" s="15" customFormat="1" x14ac:dyDescent="0.3">
      <c r="A132" s="17"/>
      <c r="B132"/>
      <c r="C132"/>
      <c r="D132"/>
      <c r="E132"/>
      <c r="F132" s="50">
        <v>41000</v>
      </c>
      <c r="G132" s="53">
        <v>92.8</v>
      </c>
      <c r="H132"/>
      <c r="I132"/>
      <c r="J132" s="38"/>
      <c r="K132" s="54">
        <v>9.7000000000000028</v>
      </c>
      <c r="L132" s="54"/>
      <c r="M132" s="54">
        <v>9.7000000000000028</v>
      </c>
    </row>
    <row r="133" spans="1:13" s="15" customFormat="1" x14ac:dyDescent="0.3">
      <c r="A133" s="17"/>
      <c r="B133"/>
      <c r="C133"/>
      <c r="D133"/>
      <c r="E133"/>
      <c r="F133" s="50">
        <v>41030</v>
      </c>
      <c r="G133" s="53">
        <v>102.5</v>
      </c>
      <c r="H133"/>
      <c r="I133"/>
      <c r="J133" s="38"/>
      <c r="K133" s="54">
        <v>-4.2000000000000028</v>
      </c>
      <c r="L133" s="54"/>
      <c r="M133" s="54">
        <v>-4.2000000000000028</v>
      </c>
    </row>
    <row r="134" spans="1:13" s="15" customFormat="1" x14ac:dyDescent="0.3">
      <c r="A134" s="17"/>
      <c r="B134"/>
      <c r="C134"/>
      <c r="D134"/>
      <c r="E134"/>
      <c r="F134" s="50">
        <v>41061</v>
      </c>
      <c r="G134" s="53">
        <v>98.3</v>
      </c>
      <c r="H134"/>
      <c r="I134"/>
      <c r="J134" s="38"/>
      <c r="K134" s="54">
        <v>6.2000000000000028</v>
      </c>
      <c r="L134" s="54"/>
      <c r="M134" s="54">
        <v>6.2000000000000028</v>
      </c>
    </row>
    <row r="135" spans="1:13" s="15" customFormat="1" x14ac:dyDescent="0.3">
      <c r="A135" s="17"/>
      <c r="B135"/>
      <c r="C135"/>
      <c r="D135"/>
      <c r="E135"/>
      <c r="F135" s="50">
        <v>41091</v>
      </c>
      <c r="G135" s="53">
        <v>104.5</v>
      </c>
      <c r="H135"/>
      <c r="I135"/>
      <c r="J135" s="38"/>
      <c r="K135" s="54">
        <v>7</v>
      </c>
      <c r="L135" s="54"/>
      <c r="M135" s="54">
        <v>7</v>
      </c>
    </row>
    <row r="136" spans="1:13" s="15" customFormat="1" x14ac:dyDescent="0.3">
      <c r="A136" s="17"/>
      <c r="B136"/>
      <c r="C136"/>
      <c r="D136"/>
      <c r="E136"/>
      <c r="F136" s="50">
        <v>41122</v>
      </c>
      <c r="G136" s="53">
        <v>111.5</v>
      </c>
      <c r="H136"/>
      <c r="I136"/>
      <c r="J136" s="38"/>
      <c r="K136" s="54">
        <v>-8.0999999999999943</v>
      </c>
      <c r="L136" s="54"/>
      <c r="M136" s="54">
        <v>-8.0999999999999943</v>
      </c>
    </row>
    <row r="137" spans="1:13" s="15" customFormat="1" x14ac:dyDescent="0.3">
      <c r="A137" s="17"/>
      <c r="B137"/>
      <c r="C137"/>
      <c r="D137"/>
      <c r="E137"/>
      <c r="F137" s="50">
        <v>41153</v>
      </c>
      <c r="G137" s="53">
        <v>103.4</v>
      </c>
      <c r="H137"/>
      <c r="I137"/>
      <c r="J137" s="38"/>
      <c r="K137" s="54">
        <v>8.3999999999999915</v>
      </c>
      <c r="L137" s="54"/>
      <c r="M137" s="54">
        <v>8.3999999999999915</v>
      </c>
    </row>
    <row r="138" spans="1:13" s="15" customFormat="1" x14ac:dyDescent="0.3">
      <c r="A138" s="17"/>
      <c r="B138"/>
      <c r="C138"/>
      <c r="D138"/>
      <c r="E138"/>
      <c r="F138" s="50">
        <v>41183</v>
      </c>
      <c r="G138" s="53">
        <v>111.8</v>
      </c>
      <c r="H138"/>
      <c r="I138"/>
      <c r="J138" s="38"/>
      <c r="K138" s="54">
        <v>-7</v>
      </c>
      <c r="L138" s="54"/>
      <c r="M138" s="54">
        <v>-7</v>
      </c>
    </row>
    <row r="139" spans="1:13" s="15" customFormat="1" x14ac:dyDescent="0.3">
      <c r="A139" s="17"/>
      <c r="B139"/>
      <c r="C139"/>
      <c r="D139"/>
      <c r="E139"/>
      <c r="F139" s="50">
        <v>41214</v>
      </c>
      <c r="G139" s="53">
        <v>104.8</v>
      </c>
      <c r="H139"/>
      <c r="I139"/>
      <c r="J139" s="38"/>
      <c r="K139" s="54">
        <v>-12.599999999999994</v>
      </c>
      <c r="L139" s="54"/>
      <c r="M139" s="54">
        <v>-12.599999999999994</v>
      </c>
    </row>
    <row r="140" spans="1:13" s="15" customFormat="1" x14ac:dyDescent="0.3">
      <c r="A140" s="17"/>
      <c r="B140"/>
      <c r="C140"/>
      <c r="D140"/>
      <c r="E140"/>
      <c r="F140" s="50">
        <v>41244</v>
      </c>
      <c r="G140" s="53">
        <v>92.2</v>
      </c>
      <c r="H140"/>
      <c r="I140"/>
      <c r="J140" s="38"/>
      <c r="K140" s="54">
        <v>2.2999999999999972</v>
      </c>
      <c r="L140" s="54"/>
      <c r="M140" s="54">
        <v>2.2999999999999972</v>
      </c>
    </row>
    <row r="141" spans="1:13" s="15" customFormat="1" x14ac:dyDescent="0.3">
      <c r="A141" s="17"/>
      <c r="B141"/>
      <c r="C141"/>
      <c r="D141"/>
      <c r="E141"/>
      <c r="F141" s="50">
        <v>41275</v>
      </c>
      <c r="G141" s="53">
        <v>94.5</v>
      </c>
      <c r="H141"/>
      <c r="I141"/>
      <c r="J141" s="38"/>
      <c r="K141" s="54">
        <v>-6.4000000000000057</v>
      </c>
      <c r="L141" s="54"/>
      <c r="M141" s="54">
        <v>-6.4000000000000057</v>
      </c>
    </row>
    <row r="142" spans="1:13" s="15" customFormat="1" x14ac:dyDescent="0.3">
      <c r="A142" s="17"/>
      <c r="B142"/>
      <c r="C142"/>
      <c r="D142"/>
      <c r="E142"/>
      <c r="F142" s="50">
        <v>41306</v>
      </c>
      <c r="G142" s="53">
        <v>88.1</v>
      </c>
      <c r="H142"/>
      <c r="I142"/>
      <c r="J142" s="38"/>
      <c r="K142" s="54">
        <v>9.6000000000000085</v>
      </c>
      <c r="L142" s="54"/>
      <c r="M142" s="54">
        <v>9.6000000000000085</v>
      </c>
    </row>
    <row r="143" spans="1:13" s="15" customFormat="1" x14ac:dyDescent="0.3">
      <c r="A143" s="17"/>
      <c r="B143"/>
      <c r="C143"/>
      <c r="D143"/>
      <c r="E143"/>
      <c r="F143" s="50">
        <v>41334</v>
      </c>
      <c r="G143" s="53">
        <v>97.7</v>
      </c>
      <c r="H143"/>
      <c r="I143"/>
      <c r="J143" s="38"/>
      <c r="K143" s="54">
        <v>4.0999999999999943</v>
      </c>
      <c r="L143" s="54"/>
      <c r="M143" s="54">
        <v>4.0999999999999943</v>
      </c>
    </row>
    <row r="144" spans="1:13" s="15" customFormat="1" x14ac:dyDescent="0.3">
      <c r="A144" s="17"/>
      <c r="B144"/>
      <c r="C144"/>
      <c r="D144"/>
      <c r="E144"/>
      <c r="F144" s="50">
        <v>41365</v>
      </c>
      <c r="G144" s="53">
        <v>101.8</v>
      </c>
      <c r="H144"/>
      <c r="I144"/>
      <c r="J144" s="38"/>
      <c r="K144" s="54">
        <v>3.2000000000000028</v>
      </c>
      <c r="L144" s="54"/>
      <c r="M144" s="54">
        <v>3.2000000000000028</v>
      </c>
    </row>
    <row r="145" spans="1:13" s="15" customFormat="1" x14ac:dyDescent="0.3">
      <c r="A145" s="17"/>
      <c r="B145"/>
      <c r="C145"/>
      <c r="D145"/>
      <c r="E145"/>
      <c r="F145" s="50">
        <v>41395</v>
      </c>
      <c r="G145" s="53">
        <v>105</v>
      </c>
      <c r="H145"/>
      <c r="I145"/>
      <c r="J145" s="38"/>
      <c r="K145" s="54">
        <v>-3.2999999999999972</v>
      </c>
      <c r="L145" s="54"/>
      <c r="M145" s="54">
        <v>-3.2999999999999972</v>
      </c>
    </row>
    <row r="146" spans="1:13" s="15" customFormat="1" x14ac:dyDescent="0.3">
      <c r="A146" s="17"/>
      <c r="B146"/>
      <c r="C146"/>
      <c r="D146"/>
      <c r="E146"/>
      <c r="F146" s="50">
        <v>41426</v>
      </c>
      <c r="G146" s="53">
        <v>101.7</v>
      </c>
      <c r="H146"/>
      <c r="I146"/>
      <c r="J146" s="38"/>
      <c r="K146" s="54">
        <v>6.2999999999999972</v>
      </c>
      <c r="L146" s="54"/>
      <c r="M146" s="54">
        <v>6.2999999999999972</v>
      </c>
    </row>
    <row r="147" spans="1:13" s="15" customFormat="1" x14ac:dyDescent="0.3">
      <c r="A147" s="17"/>
      <c r="B147"/>
      <c r="C147"/>
      <c r="D147"/>
      <c r="E147"/>
      <c r="F147" s="50">
        <v>41456</v>
      </c>
      <c r="G147" s="53">
        <v>108</v>
      </c>
      <c r="H147"/>
      <c r="I147"/>
      <c r="J147" s="38"/>
      <c r="K147" s="54">
        <v>4</v>
      </c>
      <c r="L147" s="54"/>
      <c r="M147" s="54">
        <v>4</v>
      </c>
    </row>
    <row r="148" spans="1:13" s="15" customFormat="1" x14ac:dyDescent="0.3">
      <c r="A148" s="17"/>
      <c r="B148"/>
      <c r="C148"/>
      <c r="D148"/>
      <c r="E148"/>
      <c r="F148" s="50">
        <v>41487</v>
      </c>
      <c r="G148" s="53">
        <v>112</v>
      </c>
      <c r="H148"/>
      <c r="I148"/>
      <c r="J148" s="38"/>
      <c r="K148" s="54">
        <v>-4.7000000000000028</v>
      </c>
      <c r="L148" s="54"/>
      <c r="M148" s="54">
        <v>-4.7000000000000028</v>
      </c>
    </row>
    <row r="149" spans="1:13" s="15" customFormat="1" x14ac:dyDescent="0.3">
      <c r="A149" s="17"/>
      <c r="B149"/>
      <c r="C149"/>
      <c r="D149"/>
      <c r="E149"/>
      <c r="F149" s="50">
        <v>41518</v>
      </c>
      <c r="G149" s="53">
        <v>107.3</v>
      </c>
      <c r="H149"/>
      <c r="I149"/>
      <c r="J149" s="38"/>
      <c r="K149" s="54">
        <v>5.2999999999999972</v>
      </c>
      <c r="L149" s="54"/>
      <c r="M149" s="54">
        <v>5.2999999999999972</v>
      </c>
    </row>
    <row r="150" spans="1:13" s="15" customFormat="1" x14ac:dyDescent="0.3">
      <c r="A150" s="17"/>
      <c r="B150"/>
      <c r="C150"/>
      <c r="D150"/>
      <c r="E150"/>
      <c r="F150" s="50">
        <v>41548</v>
      </c>
      <c r="G150" s="53">
        <v>112.6</v>
      </c>
      <c r="H150"/>
      <c r="I150"/>
      <c r="J150" s="38"/>
      <c r="K150" s="54">
        <v>-6.5</v>
      </c>
      <c r="L150" s="54"/>
      <c r="M150" s="54">
        <v>-6.5</v>
      </c>
    </row>
    <row r="151" spans="1:13" s="15" customFormat="1" x14ac:dyDescent="0.3">
      <c r="A151" s="17"/>
      <c r="B151"/>
      <c r="C151"/>
      <c r="D151"/>
      <c r="E151"/>
      <c r="F151" s="50">
        <v>41579</v>
      </c>
      <c r="G151" s="53">
        <v>106.1</v>
      </c>
      <c r="H151"/>
      <c r="I151"/>
      <c r="J151" s="38"/>
      <c r="K151" s="54">
        <v>-16</v>
      </c>
      <c r="L151" s="54"/>
      <c r="M151" s="54">
        <v>-16</v>
      </c>
    </row>
    <row r="152" spans="1:13" s="15" customFormat="1" x14ac:dyDescent="0.3">
      <c r="A152" s="17"/>
      <c r="B152"/>
      <c r="C152"/>
      <c r="D152"/>
      <c r="E152"/>
      <c r="F152" s="50">
        <v>41609</v>
      </c>
      <c r="G152" s="53">
        <v>90.1</v>
      </c>
      <c r="H152"/>
      <c r="I152"/>
      <c r="J152" s="38"/>
      <c r="K152" s="54">
        <v>2.5</v>
      </c>
      <c r="L152" s="54"/>
      <c r="M152" s="54">
        <v>2.5</v>
      </c>
    </row>
    <row r="153" spans="1:13" s="15" customFormat="1" x14ac:dyDescent="0.3">
      <c r="A153" s="17"/>
      <c r="B153"/>
      <c r="C153"/>
      <c r="D153"/>
      <c r="E153"/>
      <c r="F153" s="50">
        <v>41640</v>
      </c>
      <c r="G153" s="53">
        <v>92.6</v>
      </c>
      <c r="H153"/>
      <c r="I153"/>
      <c r="J153" s="38"/>
      <c r="K153" s="54">
        <v>-0.29999999999999716</v>
      </c>
      <c r="L153" s="54"/>
      <c r="M153" s="54">
        <v>-0.29999999999999716</v>
      </c>
    </row>
    <row r="154" spans="1:13" s="15" customFormat="1" x14ac:dyDescent="0.3">
      <c r="A154" s="17"/>
      <c r="B154"/>
      <c r="C154"/>
      <c r="D154"/>
      <c r="E154"/>
      <c r="F154" s="50">
        <v>41671</v>
      </c>
      <c r="G154" s="53">
        <v>92.3</v>
      </c>
      <c r="H154"/>
      <c r="I154"/>
      <c r="J154" s="38"/>
      <c r="K154" s="54">
        <v>5</v>
      </c>
      <c r="L154" s="54"/>
      <c r="M154" s="54">
        <v>5</v>
      </c>
    </row>
    <row r="155" spans="1:13" s="15" customFormat="1" x14ac:dyDescent="0.3">
      <c r="A155" s="17"/>
      <c r="B155"/>
      <c r="C155"/>
      <c r="D155"/>
      <c r="E155"/>
      <c r="F155" s="50">
        <v>41699</v>
      </c>
      <c r="G155" s="53">
        <v>97.3</v>
      </c>
      <c r="H155"/>
      <c r="I155"/>
      <c r="J155" s="38"/>
      <c r="K155" s="54">
        <v>-1.2999999999999972</v>
      </c>
      <c r="L155" s="54"/>
      <c r="M155" s="54">
        <v>-1.2999999999999972</v>
      </c>
    </row>
    <row r="156" spans="1:13" s="15" customFormat="1" x14ac:dyDescent="0.3">
      <c r="A156" s="17"/>
      <c r="B156"/>
      <c r="C156"/>
      <c r="D156"/>
      <c r="E156"/>
      <c r="F156" s="50">
        <v>41730</v>
      </c>
      <c r="G156" s="53">
        <v>96</v>
      </c>
      <c r="H156"/>
      <c r="I156"/>
      <c r="J156" s="38"/>
      <c r="K156" s="54">
        <v>5.7000000000000028</v>
      </c>
      <c r="L156" s="54"/>
      <c r="M156" s="54">
        <v>5.7000000000000028</v>
      </c>
    </row>
    <row r="157" spans="1:13" s="15" customFormat="1" x14ac:dyDescent="0.3">
      <c r="A157" s="17"/>
      <c r="B157"/>
      <c r="C157"/>
      <c r="D157"/>
      <c r="E157"/>
      <c r="F157" s="50">
        <v>41760</v>
      </c>
      <c r="G157" s="53">
        <v>101.7</v>
      </c>
      <c r="H157"/>
      <c r="I157"/>
      <c r="J157" s="38"/>
      <c r="K157" s="54">
        <v>-6.7999999999999972</v>
      </c>
      <c r="L157" s="54"/>
      <c r="M157" s="54">
        <v>-6.7999999999999972</v>
      </c>
    </row>
    <row r="158" spans="1:13" s="15" customFormat="1" x14ac:dyDescent="0.3">
      <c r="A158" s="17"/>
      <c r="B158"/>
      <c r="C158"/>
      <c r="D158"/>
      <c r="E158"/>
      <c r="F158" s="50">
        <v>41791</v>
      </c>
      <c r="G158" s="53">
        <v>94.9</v>
      </c>
      <c r="H158"/>
      <c r="I158"/>
      <c r="J158" s="38"/>
      <c r="K158" s="54">
        <v>9.5</v>
      </c>
      <c r="L158" s="54"/>
      <c r="M158" s="54">
        <v>9.5</v>
      </c>
    </row>
    <row r="159" spans="1:13" s="15" customFormat="1" x14ac:dyDescent="0.3">
      <c r="A159" s="17"/>
      <c r="B159"/>
      <c r="C159"/>
      <c r="D159"/>
      <c r="E159"/>
      <c r="F159" s="50">
        <v>41821</v>
      </c>
      <c r="G159" s="53">
        <v>104.4</v>
      </c>
      <c r="H159"/>
      <c r="I159"/>
      <c r="J159" s="38"/>
      <c r="K159" s="54">
        <v>1.8999999999999915</v>
      </c>
      <c r="L159" s="54"/>
      <c r="M159" s="54">
        <v>1.8999999999999915</v>
      </c>
    </row>
    <row r="160" spans="1:13" s="15" customFormat="1" x14ac:dyDescent="0.3">
      <c r="A160" s="17"/>
      <c r="B160"/>
      <c r="C160"/>
      <c r="D160"/>
      <c r="E160"/>
      <c r="F160" s="50">
        <v>41852</v>
      </c>
      <c r="G160" s="53">
        <v>106.3</v>
      </c>
      <c r="H160"/>
      <c r="I160"/>
      <c r="J160" s="38"/>
      <c r="K160" s="54">
        <v>-0.70000000000000284</v>
      </c>
      <c r="L160" s="54"/>
      <c r="M160" s="54">
        <v>-0.70000000000000284</v>
      </c>
    </row>
    <row r="161" spans="1:13" s="15" customFormat="1" x14ac:dyDescent="0.3">
      <c r="A161" s="17"/>
      <c r="B161"/>
      <c r="C161"/>
      <c r="D161"/>
      <c r="E161"/>
      <c r="F161" s="50">
        <v>41883</v>
      </c>
      <c r="G161" s="53">
        <v>105.6</v>
      </c>
      <c r="H161"/>
      <c r="I161"/>
      <c r="J161" s="38"/>
      <c r="K161" s="54">
        <v>3.7000000000000028</v>
      </c>
      <c r="L161" s="54"/>
      <c r="M161" s="54">
        <v>3.7000000000000028</v>
      </c>
    </row>
    <row r="162" spans="1:13" s="15" customFormat="1" x14ac:dyDescent="0.3">
      <c r="A162" s="17"/>
      <c r="B162"/>
      <c r="C162"/>
      <c r="D162"/>
      <c r="E162"/>
      <c r="F162" s="50">
        <v>41913</v>
      </c>
      <c r="G162" s="53">
        <v>109.3</v>
      </c>
      <c r="H162"/>
      <c r="I162"/>
      <c r="J162" s="38"/>
      <c r="K162" s="54">
        <v>-9.5</v>
      </c>
      <c r="L162" s="54"/>
      <c r="M162" s="54">
        <v>-9.5</v>
      </c>
    </row>
    <row r="163" spans="1:13" s="15" customFormat="1" x14ac:dyDescent="0.3">
      <c r="A163" s="17"/>
      <c r="B163"/>
      <c r="C163"/>
      <c r="D163"/>
      <c r="E163"/>
      <c r="F163" s="50">
        <v>41944</v>
      </c>
      <c r="G163" s="53">
        <v>99.8</v>
      </c>
      <c r="H163"/>
      <c r="I163"/>
      <c r="J163" s="38"/>
      <c r="K163" s="54">
        <v>-12.099999999999994</v>
      </c>
      <c r="L163" s="54"/>
      <c r="M163" s="54">
        <v>-12.099999999999994</v>
      </c>
    </row>
    <row r="164" spans="1:13" s="15" customFormat="1" x14ac:dyDescent="0.3">
      <c r="A164" s="17"/>
      <c r="B164"/>
      <c r="C164"/>
      <c r="D164"/>
      <c r="E164"/>
      <c r="F164" s="50">
        <v>41974</v>
      </c>
      <c r="G164" s="53">
        <v>87.7</v>
      </c>
      <c r="H164"/>
      <c r="I164"/>
      <c r="J164" s="38"/>
      <c r="K164" s="54">
        <v>0.39999999999999147</v>
      </c>
      <c r="L164" s="54"/>
      <c r="M164" s="54">
        <v>0.39999999999999147</v>
      </c>
    </row>
    <row r="165" spans="1:13" s="15" customFormat="1" x14ac:dyDescent="0.3">
      <c r="A165" s="17"/>
      <c r="B165"/>
      <c r="C165"/>
      <c r="D165"/>
      <c r="E165"/>
      <c r="F165" s="50">
        <v>42005</v>
      </c>
      <c r="G165" s="53">
        <v>88.1</v>
      </c>
      <c r="H165"/>
      <c r="I165"/>
      <c r="J165" s="38"/>
      <c r="K165" s="54">
        <v>-4.3999999999999915</v>
      </c>
      <c r="L165" s="54"/>
      <c r="M165" s="54">
        <v>-4.3999999999999915</v>
      </c>
    </row>
    <row r="166" spans="1:13" s="15" customFormat="1" x14ac:dyDescent="0.3">
      <c r="A166" s="17"/>
      <c r="B166"/>
      <c r="C166"/>
      <c r="D166"/>
      <c r="E166"/>
      <c r="F166" s="50">
        <v>42036</v>
      </c>
      <c r="G166" s="53">
        <v>83.7</v>
      </c>
      <c r="H166"/>
      <c r="I166"/>
      <c r="J166" s="38"/>
      <c r="K166" s="54">
        <v>10.599999999999994</v>
      </c>
      <c r="L166" s="54"/>
      <c r="M166" s="54">
        <v>10.599999999999994</v>
      </c>
    </row>
    <row r="167" spans="1:13" s="15" customFormat="1" x14ac:dyDescent="0.3">
      <c r="A167" s="17"/>
      <c r="B167"/>
      <c r="C167"/>
      <c r="D167"/>
      <c r="E167"/>
      <c r="F167" s="50">
        <v>42064</v>
      </c>
      <c r="G167" s="53">
        <v>94.3</v>
      </c>
      <c r="H167"/>
      <c r="I167"/>
      <c r="J167" s="38"/>
      <c r="K167" s="54">
        <v>-5.5</v>
      </c>
      <c r="L167" s="54"/>
      <c r="M167" s="54">
        <v>-5.5</v>
      </c>
    </row>
    <row r="168" spans="1:13" s="15" customFormat="1" x14ac:dyDescent="0.3">
      <c r="A168" s="17"/>
      <c r="B168"/>
      <c r="C168"/>
      <c r="D168"/>
      <c r="E168"/>
      <c r="F168" s="50">
        <v>42095</v>
      </c>
      <c r="G168" s="53">
        <v>88.8</v>
      </c>
      <c r="H168"/>
      <c r="I168"/>
      <c r="J168" s="38"/>
      <c r="K168" s="54">
        <v>4.2999999999999972</v>
      </c>
      <c r="L168" s="54"/>
      <c r="M168" s="54">
        <v>4.2999999999999972</v>
      </c>
    </row>
    <row r="169" spans="1:13" s="15" customFormat="1" x14ac:dyDescent="0.3">
      <c r="A169" s="17"/>
      <c r="B169"/>
      <c r="C169"/>
      <c r="D169"/>
      <c r="E169"/>
      <c r="F169" s="50">
        <v>42125</v>
      </c>
      <c r="G169" s="53">
        <v>93.1</v>
      </c>
      <c r="H169"/>
      <c r="I169"/>
      <c r="J169" s="38"/>
      <c r="K169" s="54">
        <v>-0.59999999999999432</v>
      </c>
      <c r="L169" s="54"/>
      <c r="M169" s="54">
        <v>-0.59999999999999432</v>
      </c>
    </row>
    <row r="170" spans="1:13" s="15" customFormat="1" x14ac:dyDescent="0.3">
      <c r="A170" s="17"/>
      <c r="B170"/>
      <c r="C170"/>
      <c r="D170"/>
      <c r="E170"/>
      <c r="F170" s="50">
        <v>42156</v>
      </c>
      <c r="G170" s="53">
        <v>92.5</v>
      </c>
      <c r="H170"/>
      <c r="I170"/>
      <c r="J170" s="38"/>
      <c r="K170" s="54">
        <v>3</v>
      </c>
      <c r="L170" s="54"/>
      <c r="M170" s="54">
        <v>3</v>
      </c>
    </row>
    <row r="171" spans="1:13" s="15" customFormat="1" x14ac:dyDescent="0.3">
      <c r="A171" s="17"/>
      <c r="B171"/>
      <c r="C171"/>
      <c r="D171"/>
      <c r="E171"/>
      <c r="F171" s="50">
        <v>42186</v>
      </c>
      <c r="G171" s="53">
        <v>95.5</v>
      </c>
      <c r="H171"/>
      <c r="I171"/>
      <c r="J171" s="38"/>
      <c r="K171" s="54">
        <v>2.0999999999999943</v>
      </c>
      <c r="L171" s="54"/>
      <c r="M171" s="54">
        <v>2.0999999999999943</v>
      </c>
    </row>
    <row r="172" spans="1:13" s="15" customFormat="1" x14ac:dyDescent="0.3">
      <c r="A172" s="17"/>
      <c r="B172"/>
      <c r="C172"/>
      <c r="D172"/>
      <c r="E172"/>
      <c r="F172" s="50">
        <v>42217</v>
      </c>
      <c r="G172" s="53">
        <v>97.6</v>
      </c>
      <c r="H172"/>
      <c r="I172"/>
      <c r="J172" s="38"/>
      <c r="K172" s="54">
        <v>-3.2999999999999972</v>
      </c>
      <c r="L172" s="54"/>
      <c r="M172" s="54">
        <v>-3.2999999999999972</v>
      </c>
    </row>
    <row r="173" spans="1:13" s="15" customFormat="1" x14ac:dyDescent="0.3">
      <c r="A173" s="17"/>
      <c r="B173"/>
      <c r="C173"/>
      <c r="D173"/>
      <c r="E173"/>
      <c r="F173" s="50">
        <v>42248</v>
      </c>
      <c r="G173" s="53">
        <v>94.3</v>
      </c>
      <c r="H173"/>
      <c r="I173"/>
      <c r="J173" s="38"/>
      <c r="K173" s="54">
        <v>2.9000000000000057</v>
      </c>
      <c r="L173" s="54"/>
      <c r="M173" s="54">
        <v>2.9000000000000057</v>
      </c>
    </row>
    <row r="174" spans="1:13" s="15" customFormat="1" x14ac:dyDescent="0.3">
      <c r="A174" s="17"/>
      <c r="B174"/>
      <c r="C174"/>
      <c r="D174"/>
      <c r="E174"/>
      <c r="F174" s="50">
        <v>42278</v>
      </c>
      <c r="G174" s="53">
        <v>97.2</v>
      </c>
      <c r="H174"/>
      <c r="I174"/>
      <c r="J174" s="38"/>
      <c r="K174" s="54">
        <v>-9.6000000000000085</v>
      </c>
      <c r="L174" s="54"/>
      <c r="M174" s="54">
        <v>-9.6000000000000085</v>
      </c>
    </row>
    <row r="175" spans="1:13" s="15" customFormat="1" x14ac:dyDescent="0.3">
      <c r="A175" s="17"/>
      <c r="B175"/>
      <c r="C175"/>
      <c r="D175"/>
      <c r="E175"/>
      <c r="F175" s="50">
        <v>42309</v>
      </c>
      <c r="G175" s="53">
        <v>87.6</v>
      </c>
      <c r="H175"/>
      <c r="I175"/>
      <c r="J175" s="38"/>
      <c r="K175" s="54">
        <v>-10.399999999999991</v>
      </c>
      <c r="L175" s="54"/>
      <c r="M175" s="54">
        <v>-10.399999999999991</v>
      </c>
    </row>
    <row r="176" spans="1:13" s="15" customFormat="1" x14ac:dyDescent="0.3">
      <c r="A176" s="17"/>
      <c r="B176"/>
      <c r="C176"/>
      <c r="D176"/>
      <c r="E176"/>
      <c r="F176" s="50">
        <v>42339</v>
      </c>
      <c r="G176" s="53">
        <v>77.2</v>
      </c>
      <c r="H176"/>
      <c r="I176"/>
      <c r="J176" s="38"/>
      <c r="K176" s="54">
        <v>-0.90000000000000568</v>
      </c>
      <c r="L176" s="54"/>
      <c r="M176" s="54">
        <v>-0.90000000000000568</v>
      </c>
    </row>
    <row r="177" spans="1:13" s="15" customFormat="1" x14ac:dyDescent="0.3">
      <c r="A177" s="17"/>
      <c r="B177"/>
      <c r="C177"/>
      <c r="D177"/>
      <c r="E177"/>
      <c r="F177" s="50">
        <v>42370</v>
      </c>
      <c r="G177" s="53">
        <v>76.3</v>
      </c>
      <c r="H177"/>
      <c r="I177"/>
      <c r="J177" s="38"/>
      <c r="K177" s="54">
        <v>-0.5</v>
      </c>
      <c r="L177" s="54"/>
      <c r="M177" s="54">
        <v>-0.5</v>
      </c>
    </row>
    <row r="178" spans="1:13" s="15" customFormat="1" x14ac:dyDescent="0.3">
      <c r="A178" s="17"/>
      <c r="B178"/>
      <c r="C178"/>
      <c r="D178"/>
      <c r="E178"/>
      <c r="F178" s="50">
        <v>42401</v>
      </c>
      <c r="G178" s="53">
        <v>75.8</v>
      </c>
      <c r="H178"/>
      <c r="I178"/>
      <c r="J178" s="38"/>
      <c r="K178" s="54">
        <v>7.9000000000000057</v>
      </c>
      <c r="L178" s="54"/>
      <c r="M178" s="54">
        <v>7.9000000000000057</v>
      </c>
    </row>
    <row r="179" spans="1:13" s="15" customFormat="1" x14ac:dyDescent="0.3">
      <c r="A179" s="17"/>
      <c r="B179"/>
      <c r="C179"/>
      <c r="D179"/>
      <c r="E179"/>
      <c r="F179" s="50">
        <v>42430</v>
      </c>
      <c r="G179" s="53">
        <v>83.7</v>
      </c>
      <c r="H179"/>
      <c r="I179"/>
      <c r="J179" s="38"/>
      <c r="K179" s="54">
        <v>-0.70000000000000284</v>
      </c>
      <c r="L179" s="54"/>
      <c r="M179" s="54">
        <v>-0.70000000000000284</v>
      </c>
    </row>
    <row r="180" spans="1:13" s="15" customFormat="1" x14ac:dyDescent="0.3">
      <c r="A180" s="17"/>
      <c r="B180"/>
      <c r="C180"/>
      <c r="D180"/>
      <c r="E180"/>
      <c r="F180" s="50">
        <v>42461</v>
      </c>
      <c r="G180" s="53">
        <v>83</v>
      </c>
      <c r="H180"/>
      <c r="I180"/>
      <c r="J180" s="38"/>
      <c r="K180" s="54">
        <v>3.2999999999999972</v>
      </c>
      <c r="L180" s="54"/>
      <c r="M180" s="54">
        <v>3.2999999999999972</v>
      </c>
    </row>
    <row r="181" spans="1:13" s="15" customFormat="1" x14ac:dyDescent="0.3">
      <c r="A181" s="17"/>
      <c r="B181"/>
      <c r="C181"/>
      <c r="D181"/>
      <c r="E181"/>
      <c r="F181" s="50">
        <v>42491</v>
      </c>
      <c r="G181" s="53">
        <v>86.3</v>
      </c>
      <c r="H181"/>
      <c r="I181"/>
      <c r="J181" s="38"/>
      <c r="K181" s="54">
        <v>1.4000000000000057</v>
      </c>
      <c r="L181" s="54"/>
      <c r="M181" s="54">
        <v>1.4000000000000057</v>
      </c>
    </row>
    <row r="182" spans="1:13" s="15" customFormat="1" x14ac:dyDescent="0.3">
      <c r="A182" s="17"/>
      <c r="B182"/>
      <c r="C182"/>
      <c r="D182"/>
      <c r="E182"/>
      <c r="F182" s="50">
        <v>42522</v>
      </c>
      <c r="G182" s="53">
        <v>87.7</v>
      </c>
      <c r="H182"/>
      <c r="I182"/>
      <c r="J182" s="38"/>
      <c r="K182" s="54">
        <v>1.8999999999999915</v>
      </c>
      <c r="L182" s="54"/>
      <c r="M182" s="54">
        <v>1.8999999999999915</v>
      </c>
    </row>
    <row r="183" spans="1:13" s="15" customFormat="1" x14ac:dyDescent="0.3">
      <c r="A183" s="17"/>
      <c r="B183"/>
      <c r="C183"/>
      <c r="D183"/>
      <c r="E183"/>
      <c r="F183" s="50">
        <v>42552</v>
      </c>
      <c r="G183" s="53">
        <v>89.6</v>
      </c>
      <c r="H183"/>
      <c r="I183"/>
      <c r="J183" s="38"/>
      <c r="K183" s="54">
        <v>3.4000000000000057</v>
      </c>
      <c r="L183" s="54"/>
      <c r="M183" s="54">
        <v>3.4000000000000057</v>
      </c>
    </row>
    <row r="184" spans="1:13" s="15" customFormat="1" x14ac:dyDescent="0.3">
      <c r="A184" s="17"/>
      <c r="B184"/>
      <c r="C184"/>
      <c r="D184"/>
      <c r="E184"/>
      <c r="F184" s="50">
        <v>42583</v>
      </c>
      <c r="G184" s="53">
        <v>93</v>
      </c>
      <c r="H184"/>
      <c r="I184"/>
      <c r="J184" s="38"/>
      <c r="K184" s="54">
        <v>-2.2999999999999972</v>
      </c>
      <c r="L184" s="54"/>
      <c r="M184" s="54">
        <v>-2.2999999999999972</v>
      </c>
    </row>
    <row r="185" spans="1:13" s="15" customFormat="1" x14ac:dyDescent="0.3">
      <c r="A185" s="17"/>
      <c r="B185"/>
      <c r="C185"/>
      <c r="D185"/>
      <c r="E185"/>
      <c r="F185" s="50">
        <v>42614</v>
      </c>
      <c r="G185" s="53">
        <v>90.7</v>
      </c>
      <c r="H185"/>
      <c r="I185"/>
      <c r="J185" s="38"/>
      <c r="K185" s="54">
        <v>-0.5</v>
      </c>
      <c r="L185" s="54"/>
      <c r="M185" s="54">
        <v>-0.5</v>
      </c>
    </row>
    <row r="186" spans="1:13" s="15" customFormat="1" x14ac:dyDescent="0.3">
      <c r="A186" s="17"/>
      <c r="B186"/>
      <c r="C186"/>
      <c r="D186"/>
      <c r="E186"/>
      <c r="F186" s="50">
        <v>42644</v>
      </c>
      <c r="G186" s="53">
        <v>90.2</v>
      </c>
      <c r="H186"/>
      <c r="I186"/>
      <c r="J186" s="38"/>
      <c r="K186" s="54">
        <v>-3.7000000000000028</v>
      </c>
      <c r="L186" s="54"/>
      <c r="M186" s="54">
        <v>-3.7000000000000028</v>
      </c>
    </row>
    <row r="187" spans="1:13" s="15" customFormat="1" x14ac:dyDescent="0.3">
      <c r="A187" s="17"/>
      <c r="B187"/>
      <c r="C187"/>
      <c r="D187"/>
      <c r="E187"/>
      <c r="F187" s="50">
        <v>42675</v>
      </c>
      <c r="G187" s="53">
        <v>86.5</v>
      </c>
      <c r="H187"/>
      <c r="I187"/>
      <c r="J187" s="38"/>
      <c r="K187" s="54">
        <v>-9.2999999999999972</v>
      </c>
      <c r="L187" s="54"/>
      <c r="M187" s="54">
        <v>-9.2999999999999972</v>
      </c>
    </row>
    <row r="188" spans="1:13" s="15" customFormat="1" x14ac:dyDescent="0.3">
      <c r="A188" s="17"/>
      <c r="B188"/>
      <c r="C188"/>
      <c r="D188"/>
      <c r="E188"/>
      <c r="F188" s="50">
        <v>42705</v>
      </c>
      <c r="G188" s="53">
        <v>77.2</v>
      </c>
      <c r="H188"/>
      <c r="I188"/>
      <c r="J188" s="38"/>
      <c r="K188" s="54">
        <v>0.70000000000000284</v>
      </c>
      <c r="L188" s="54"/>
      <c r="M188" s="54">
        <v>0.70000000000000284</v>
      </c>
    </row>
    <row r="189" spans="1:13" s="15" customFormat="1" x14ac:dyDescent="0.3">
      <c r="A189" s="17"/>
      <c r="B189"/>
      <c r="C189"/>
      <c r="D189"/>
      <c r="E189"/>
      <c r="F189" s="50">
        <v>42736</v>
      </c>
      <c r="G189" s="53">
        <v>77.900000000000006</v>
      </c>
      <c r="H189"/>
      <c r="I189"/>
      <c r="J189" s="38"/>
      <c r="K189" s="54">
        <v>-2</v>
      </c>
      <c r="L189" s="54"/>
      <c r="M189" s="54">
        <v>-2</v>
      </c>
    </row>
    <row r="190" spans="1:13" s="15" customFormat="1" x14ac:dyDescent="0.3">
      <c r="A190" s="17"/>
      <c r="B190"/>
      <c r="C190"/>
      <c r="D190"/>
      <c r="E190"/>
      <c r="F190" s="50">
        <v>42767</v>
      </c>
      <c r="G190" s="53">
        <v>75.900000000000006</v>
      </c>
      <c r="H190"/>
      <c r="I190"/>
      <c r="J190" s="38"/>
      <c r="K190" s="54">
        <v>9.5</v>
      </c>
      <c r="L190" s="54"/>
      <c r="M190" s="54">
        <v>9.5</v>
      </c>
    </row>
    <row r="191" spans="1:13" s="15" customFormat="1" x14ac:dyDescent="0.3">
      <c r="A191" s="17"/>
      <c r="B191"/>
      <c r="C191"/>
      <c r="D191"/>
      <c r="E191"/>
      <c r="F191" s="50">
        <v>42795</v>
      </c>
      <c r="G191" s="53">
        <v>85.4</v>
      </c>
      <c r="H191"/>
      <c r="I191"/>
      <c r="J191" s="38"/>
      <c r="K191" s="54">
        <v>-6.1000000000000085</v>
      </c>
      <c r="L191" s="54"/>
      <c r="M191" s="54">
        <v>-6.1000000000000085</v>
      </c>
    </row>
    <row r="192" spans="1:13" s="15" customFormat="1" x14ac:dyDescent="0.3">
      <c r="A192" s="17"/>
      <c r="B192"/>
      <c r="C192"/>
      <c r="D192"/>
      <c r="E192"/>
      <c r="F192" s="50">
        <v>42826</v>
      </c>
      <c r="G192" s="53">
        <v>79.3</v>
      </c>
      <c r="H192"/>
      <c r="I192"/>
      <c r="J192" s="38"/>
      <c r="K192" s="54">
        <v>10.799999999999997</v>
      </c>
      <c r="L192" s="54"/>
      <c r="M192" s="54">
        <v>10.799999999999997</v>
      </c>
    </row>
    <row r="193" spans="1:13" s="15" customFormat="1" x14ac:dyDescent="0.3">
      <c r="A193" s="17"/>
      <c r="B193"/>
      <c r="C193"/>
      <c r="D193"/>
      <c r="E193"/>
      <c r="F193" s="50">
        <v>42856</v>
      </c>
      <c r="G193" s="53">
        <v>90.1</v>
      </c>
      <c r="H193"/>
      <c r="I193"/>
      <c r="J193" s="38"/>
      <c r="K193" s="54">
        <v>-1.6999999999999886</v>
      </c>
      <c r="L193" s="54"/>
      <c r="M193" s="54">
        <v>-1.6999999999999886</v>
      </c>
    </row>
    <row r="194" spans="1:13" s="15" customFormat="1" x14ac:dyDescent="0.3">
      <c r="A194" s="17"/>
      <c r="B194"/>
      <c r="C194"/>
      <c r="D194"/>
      <c r="E194"/>
      <c r="F194" s="50">
        <v>42887</v>
      </c>
      <c r="G194" s="53">
        <v>88.4</v>
      </c>
      <c r="H194"/>
      <c r="I194"/>
      <c r="J194" s="38"/>
      <c r="K194" s="54">
        <v>3.6999999999999886</v>
      </c>
      <c r="L194" s="54"/>
      <c r="M194" s="54">
        <v>3.6999999999999886</v>
      </c>
    </row>
    <row r="195" spans="1:13" s="15" customFormat="1" x14ac:dyDescent="0.3">
      <c r="A195" s="17"/>
      <c r="B195"/>
      <c r="C195"/>
      <c r="D195"/>
      <c r="E195"/>
      <c r="F195" s="50">
        <v>42917</v>
      </c>
      <c r="G195" s="53">
        <v>92.1</v>
      </c>
      <c r="H195"/>
      <c r="I195"/>
      <c r="J195" s="38"/>
      <c r="K195" s="54">
        <v>4.6000000000000085</v>
      </c>
      <c r="L195" s="54"/>
      <c r="M195" s="54">
        <v>4.6000000000000085</v>
      </c>
    </row>
    <row r="196" spans="1:13" s="15" customFormat="1" x14ac:dyDescent="0.3">
      <c r="A196" s="17"/>
      <c r="B196"/>
      <c r="C196"/>
      <c r="D196"/>
      <c r="E196"/>
      <c r="F196" s="50">
        <v>42948</v>
      </c>
      <c r="G196" s="53">
        <v>96.7</v>
      </c>
      <c r="H196"/>
      <c r="I196"/>
      <c r="J196" s="38"/>
      <c r="K196" s="54">
        <v>-3.7000000000000028</v>
      </c>
      <c r="L196" s="54"/>
      <c r="M196" s="54">
        <v>-3.7000000000000028</v>
      </c>
    </row>
    <row r="197" spans="1:13" s="15" customFormat="1" x14ac:dyDescent="0.3">
      <c r="A197" s="17"/>
      <c r="B197"/>
      <c r="C197"/>
      <c r="D197"/>
      <c r="E197"/>
      <c r="F197" s="50">
        <v>42979</v>
      </c>
      <c r="G197" s="53">
        <v>93</v>
      </c>
      <c r="H197"/>
      <c r="I197"/>
      <c r="J197" s="38"/>
      <c r="K197" s="54">
        <v>2.0999999999999943</v>
      </c>
      <c r="L197" s="54"/>
      <c r="M197" s="54">
        <v>2.0999999999999943</v>
      </c>
    </row>
    <row r="198" spans="1:13" s="15" customFormat="1" x14ac:dyDescent="0.3">
      <c r="A198" s="17"/>
      <c r="B198"/>
      <c r="C198"/>
      <c r="D198"/>
      <c r="E198"/>
      <c r="F198" s="50">
        <v>43009</v>
      </c>
      <c r="G198" s="53">
        <v>95.1</v>
      </c>
      <c r="H198"/>
      <c r="I198"/>
      <c r="J198" s="38"/>
      <c r="K198" s="54">
        <v>-4.5</v>
      </c>
      <c r="L198" s="54"/>
      <c r="M198" s="54">
        <v>-4.5</v>
      </c>
    </row>
    <row r="199" spans="1:13" s="15" customFormat="1" x14ac:dyDescent="0.3">
      <c r="A199" s="17"/>
      <c r="B199"/>
      <c r="C199"/>
      <c r="D199"/>
      <c r="E199"/>
      <c r="F199" s="50">
        <v>43040</v>
      </c>
      <c r="G199" s="53">
        <v>90.6</v>
      </c>
      <c r="H199"/>
      <c r="I199"/>
      <c r="J199" s="38"/>
      <c r="K199" s="54">
        <v>-9.5999999999999943</v>
      </c>
      <c r="L199" s="54"/>
      <c r="M199" s="54">
        <v>-9.5999999999999943</v>
      </c>
    </row>
    <row r="200" spans="1:13" s="15" customFormat="1" x14ac:dyDescent="0.3">
      <c r="A200" s="17"/>
      <c r="B200"/>
      <c r="C200"/>
      <c r="D200"/>
      <c r="E200"/>
      <c r="F200" s="50">
        <v>43070</v>
      </c>
      <c r="G200" s="53">
        <v>81</v>
      </c>
      <c r="H200"/>
      <c r="I200"/>
      <c r="J200" s="38"/>
      <c r="K200" s="54">
        <v>1.2999999999999972</v>
      </c>
      <c r="L200" s="54"/>
      <c r="M200" s="54">
        <v>1.2999999999999972</v>
      </c>
    </row>
    <row r="201" spans="1:13" s="15" customFormat="1" x14ac:dyDescent="0.3">
      <c r="A201" s="17"/>
      <c r="B201"/>
      <c r="C201"/>
      <c r="D201"/>
      <c r="E201"/>
      <c r="F201" s="50">
        <v>43101</v>
      </c>
      <c r="G201" s="53">
        <v>82.3</v>
      </c>
      <c r="H201"/>
      <c r="I201"/>
      <c r="J201" s="38"/>
      <c r="K201" s="54">
        <v>-5</v>
      </c>
      <c r="L201" s="54"/>
      <c r="M201" s="54">
        <v>-5</v>
      </c>
    </row>
    <row r="202" spans="1:13" s="15" customFormat="1" x14ac:dyDescent="0.3">
      <c r="A202" s="17"/>
      <c r="B202"/>
      <c r="C202"/>
      <c r="D202"/>
      <c r="E202"/>
      <c r="F202" s="50">
        <v>43132</v>
      </c>
      <c r="G202" s="53">
        <v>77.3</v>
      </c>
      <c r="H202"/>
      <c r="I202"/>
      <c r="J202" s="38"/>
      <c r="K202" s="54">
        <v>8.9000000000000057</v>
      </c>
      <c r="L202" s="54"/>
      <c r="M202" s="54">
        <v>8.9000000000000057</v>
      </c>
    </row>
    <row r="203" spans="1:13" s="15" customFormat="1" x14ac:dyDescent="0.3">
      <c r="A203" s="17"/>
      <c r="B203"/>
      <c r="C203"/>
      <c r="D203"/>
      <c r="E203"/>
      <c r="F203" s="50">
        <v>43160</v>
      </c>
      <c r="G203" s="53">
        <v>86.2</v>
      </c>
      <c r="H203"/>
      <c r="I203"/>
      <c r="J203" s="38"/>
      <c r="K203" s="54">
        <v>0.29999999999999716</v>
      </c>
      <c r="L203" s="54"/>
      <c r="M203" s="54">
        <v>0.29999999999999716</v>
      </c>
    </row>
    <row r="204" spans="1:13" s="15" customFormat="1" x14ac:dyDescent="0.3">
      <c r="A204" s="17"/>
      <c r="B204"/>
      <c r="C204"/>
      <c r="D204"/>
      <c r="E204"/>
      <c r="F204" s="50">
        <v>43191</v>
      </c>
      <c r="G204" s="53">
        <v>86.5</v>
      </c>
      <c r="H204"/>
      <c r="I204"/>
      <c r="J204" s="38"/>
      <c r="K204" s="54">
        <v>-2.0999999999999943</v>
      </c>
      <c r="L204" s="54"/>
      <c r="M204" s="54">
        <v>-2.0999999999999943</v>
      </c>
    </row>
    <row r="205" spans="1:13" s="15" customFormat="1" x14ac:dyDescent="0.3">
      <c r="A205" s="17"/>
      <c r="B205"/>
      <c r="C205"/>
      <c r="D205"/>
      <c r="E205"/>
      <c r="F205" s="50">
        <v>43221</v>
      </c>
      <c r="G205" s="53">
        <v>84.4</v>
      </c>
      <c r="H205"/>
      <c r="I205"/>
      <c r="J205" s="38"/>
      <c r="K205" s="54">
        <v>6.6999999999999886</v>
      </c>
      <c r="L205" s="54"/>
      <c r="M205" s="54">
        <v>6.6999999999999886</v>
      </c>
    </row>
    <row r="206" spans="1:13" s="15" customFormat="1" x14ac:dyDescent="0.3">
      <c r="A206" s="17"/>
      <c r="B206"/>
      <c r="C206"/>
      <c r="D206"/>
      <c r="E206"/>
      <c r="F206" s="50">
        <v>43252</v>
      </c>
      <c r="G206" s="53">
        <v>91.1</v>
      </c>
      <c r="H206"/>
      <c r="I206"/>
      <c r="J206" s="38"/>
      <c r="K206" s="54">
        <v>4.7000000000000028</v>
      </c>
      <c r="L206" s="54"/>
      <c r="M206" s="54">
        <v>4.7000000000000028</v>
      </c>
    </row>
    <row r="207" spans="1:13" s="15" customFormat="1" x14ac:dyDescent="0.3">
      <c r="A207" s="17"/>
      <c r="B207"/>
      <c r="C207"/>
      <c r="D207"/>
      <c r="E207"/>
      <c r="F207" s="50">
        <v>43282</v>
      </c>
      <c r="G207" s="53">
        <v>95.8</v>
      </c>
      <c r="H207"/>
      <c r="I207"/>
      <c r="J207" s="38"/>
      <c r="K207" s="54">
        <v>2.4000000000000057</v>
      </c>
      <c r="L207" s="54"/>
      <c r="M207" s="54">
        <v>2.4000000000000057</v>
      </c>
    </row>
    <row r="208" spans="1:13" s="15" customFormat="1" x14ac:dyDescent="0.3">
      <c r="A208" s="17"/>
      <c r="B208"/>
      <c r="C208"/>
      <c r="D208"/>
      <c r="E208"/>
      <c r="F208" s="50">
        <v>43313</v>
      </c>
      <c r="G208" s="53">
        <v>98.2</v>
      </c>
      <c r="H208"/>
      <c r="I208"/>
      <c r="J208" s="38"/>
      <c r="K208" s="54">
        <v>-7.5</v>
      </c>
      <c r="L208" s="54"/>
      <c r="M208" s="54">
        <v>-7.5</v>
      </c>
    </row>
    <row r="209" spans="1:13" s="15" customFormat="1" x14ac:dyDescent="0.3">
      <c r="A209" s="17"/>
      <c r="B209"/>
      <c r="C209"/>
      <c r="D209"/>
      <c r="E209"/>
      <c r="F209" s="50">
        <v>43344</v>
      </c>
      <c r="G209" s="53">
        <v>90.7</v>
      </c>
      <c r="H209"/>
      <c r="I209"/>
      <c r="J209" s="38"/>
      <c r="K209" s="54">
        <v>5.0999999999999943</v>
      </c>
      <c r="L209" s="54"/>
      <c r="M209" s="54">
        <v>5.0999999999999943</v>
      </c>
    </row>
    <row r="210" spans="1:13" s="15" customFormat="1" x14ac:dyDescent="0.3">
      <c r="A210" s="17"/>
      <c r="B210"/>
      <c r="C210"/>
      <c r="D210"/>
      <c r="E210"/>
      <c r="F210" s="50">
        <v>43374</v>
      </c>
      <c r="G210" s="53">
        <v>95.8</v>
      </c>
      <c r="H210"/>
      <c r="I210"/>
      <c r="J210" s="38"/>
      <c r="K210" s="54">
        <v>-6.2999999999999972</v>
      </c>
      <c r="L210" s="54"/>
      <c r="M210" s="54">
        <v>-6.2999999999999972</v>
      </c>
    </row>
    <row r="211" spans="1:13" s="15" customFormat="1" x14ac:dyDescent="0.3">
      <c r="A211" s="17"/>
      <c r="B211"/>
      <c r="C211"/>
      <c r="D211"/>
      <c r="E211"/>
      <c r="F211" s="50">
        <v>43405</v>
      </c>
      <c r="G211" s="53">
        <v>89.5</v>
      </c>
      <c r="H211"/>
      <c r="I211"/>
      <c r="J211" s="38"/>
      <c r="K211" s="54">
        <v>-11.5</v>
      </c>
      <c r="L211" s="54"/>
      <c r="M211" s="54">
        <v>-11.5</v>
      </c>
    </row>
    <row r="212" spans="1:13" s="15" customFormat="1" x14ac:dyDescent="0.3">
      <c r="A212" s="17"/>
      <c r="B212"/>
      <c r="C212"/>
      <c r="D212"/>
      <c r="E212"/>
      <c r="F212" s="50">
        <v>43435</v>
      </c>
      <c r="G212" s="53">
        <v>78</v>
      </c>
      <c r="H212"/>
      <c r="I212"/>
      <c r="J212" s="38"/>
      <c r="K212" s="54">
        <v>2.7000000000000028</v>
      </c>
      <c r="L212" s="54"/>
      <c r="M212" s="54">
        <v>2.7000000000000028</v>
      </c>
    </row>
    <row r="213" spans="1:13" s="15" customFormat="1" x14ac:dyDescent="0.3">
      <c r="A213" s="17"/>
      <c r="B213"/>
      <c r="C213"/>
      <c r="D213"/>
      <c r="E213"/>
      <c r="F213" s="50">
        <v>43466</v>
      </c>
      <c r="G213" s="53">
        <v>80.7</v>
      </c>
      <c r="H213"/>
      <c r="I213"/>
      <c r="J213" s="38"/>
      <c r="K213" s="54">
        <v>-1.6000000000000085</v>
      </c>
      <c r="L213" s="54"/>
      <c r="M213" s="54">
        <v>-1.6000000000000085</v>
      </c>
    </row>
    <row r="214" spans="1:13" s="15" customFormat="1" x14ac:dyDescent="0.3">
      <c r="A214" s="17"/>
      <c r="B214"/>
      <c r="C214"/>
      <c r="D214"/>
      <c r="E214"/>
      <c r="F214" s="50">
        <v>43497</v>
      </c>
      <c r="G214" s="53">
        <v>79.099999999999994</v>
      </c>
      <c r="H214"/>
      <c r="I214"/>
      <c r="J214" s="38"/>
      <c r="K214" s="54">
        <v>1.9000000000000057</v>
      </c>
      <c r="L214" s="54"/>
      <c r="M214" s="54">
        <v>1.9000000000000057</v>
      </c>
    </row>
    <row r="215" spans="1:13" s="15" customFormat="1" x14ac:dyDescent="0.3">
      <c r="A215" s="17"/>
      <c r="B215"/>
      <c r="C215"/>
      <c r="D215"/>
      <c r="E215"/>
      <c r="F215" s="50">
        <v>43525</v>
      </c>
      <c r="G215" s="53">
        <v>81</v>
      </c>
      <c r="H215"/>
      <c r="I215"/>
      <c r="J215" s="38"/>
      <c r="K215" s="54">
        <v>2.2999999999999972</v>
      </c>
      <c r="L215" s="54"/>
      <c r="M215" s="54">
        <v>2.2999999999999972</v>
      </c>
    </row>
    <row r="216" spans="1:13" s="15" customFormat="1" x14ac:dyDescent="0.3">
      <c r="A216" s="17"/>
      <c r="B216"/>
      <c r="C216"/>
      <c r="D216"/>
      <c r="E216"/>
      <c r="F216" s="50">
        <v>43556</v>
      </c>
      <c r="G216" s="53">
        <v>83.3</v>
      </c>
      <c r="H216"/>
      <c r="I216"/>
      <c r="J216" s="38"/>
      <c r="K216" s="54">
        <v>7.7000000000000028</v>
      </c>
      <c r="L216" s="54"/>
      <c r="M216" s="54">
        <v>7.7000000000000028</v>
      </c>
    </row>
    <row r="217" spans="1:13" s="15" customFormat="1" x14ac:dyDescent="0.3">
      <c r="A217" s="17"/>
      <c r="B217"/>
      <c r="C217"/>
      <c r="D217"/>
      <c r="E217"/>
      <c r="F217" s="50">
        <v>43586</v>
      </c>
      <c r="G217" s="53">
        <v>91</v>
      </c>
      <c r="H217"/>
      <c r="I217"/>
      <c r="J217" s="38"/>
      <c r="K217" s="54">
        <v>-5.2000000000000028</v>
      </c>
      <c r="L217" s="54"/>
      <c r="M217" s="54">
        <v>-5.2000000000000028</v>
      </c>
    </row>
    <row r="218" spans="1:13" s="15" customFormat="1" x14ac:dyDescent="0.3">
      <c r="A218" s="17"/>
      <c r="B218"/>
      <c r="C218"/>
      <c r="D218"/>
      <c r="E218"/>
      <c r="F218" s="50">
        <v>43617</v>
      </c>
      <c r="G218" s="53">
        <v>85.8</v>
      </c>
      <c r="H218"/>
      <c r="I218"/>
      <c r="J218" s="38"/>
      <c r="K218" s="54">
        <v>7.6000000000000085</v>
      </c>
      <c r="L218" s="54"/>
      <c r="M218" s="54">
        <v>7.6000000000000085</v>
      </c>
    </row>
    <row r="219" spans="1:13" s="15" customFormat="1" x14ac:dyDescent="0.3">
      <c r="A219" s="17"/>
      <c r="B219"/>
      <c r="C219"/>
      <c r="D219"/>
      <c r="E219"/>
      <c r="F219" s="50">
        <v>43647</v>
      </c>
      <c r="G219" s="53">
        <v>93.4</v>
      </c>
      <c r="H219"/>
      <c r="I219"/>
      <c r="J219" s="38"/>
      <c r="K219" s="54">
        <v>2.7999999999999972</v>
      </c>
      <c r="L219" s="54"/>
      <c r="M219" s="54">
        <v>2.7999999999999972</v>
      </c>
    </row>
    <row r="220" spans="1:13" s="15" customFormat="1" x14ac:dyDescent="0.3">
      <c r="A220" s="17"/>
      <c r="B220"/>
      <c r="C220"/>
      <c r="D220"/>
      <c r="E220"/>
      <c r="F220" s="50">
        <v>43678</v>
      </c>
      <c r="G220" s="53">
        <v>96.2</v>
      </c>
      <c r="H220"/>
      <c r="I220"/>
      <c r="J220" s="38"/>
      <c r="K220" s="54">
        <v>-4.4000000000000057</v>
      </c>
      <c r="L220" s="54"/>
      <c r="M220" s="54">
        <v>-4.4000000000000057</v>
      </c>
    </row>
    <row r="221" spans="1:13" s="15" customFormat="1" x14ac:dyDescent="0.3">
      <c r="A221" s="17"/>
      <c r="B221"/>
      <c r="C221"/>
      <c r="D221"/>
      <c r="E221"/>
      <c r="F221" s="50">
        <v>43709</v>
      </c>
      <c r="G221" s="53">
        <v>91.8</v>
      </c>
      <c r="H221"/>
      <c r="I221"/>
      <c r="J221" s="38"/>
      <c r="K221" s="54">
        <v>5.2000000000000028</v>
      </c>
      <c r="L221" s="54"/>
      <c r="M221" s="54">
        <v>5.2000000000000028</v>
      </c>
    </row>
    <row r="222" spans="1:13" s="15" customFormat="1" x14ac:dyDescent="0.3">
      <c r="A222" s="17"/>
      <c r="B222"/>
      <c r="C222"/>
      <c r="D222"/>
      <c r="E222"/>
      <c r="F222" s="50">
        <v>43739</v>
      </c>
      <c r="G222" s="53">
        <v>97</v>
      </c>
      <c r="H222"/>
      <c r="I222"/>
      <c r="J222" s="38"/>
      <c r="K222" s="54">
        <v>-9</v>
      </c>
      <c r="L222" s="54"/>
      <c r="M222" s="54">
        <v>-9</v>
      </c>
    </row>
    <row r="223" spans="1:13" s="15" customFormat="1" x14ac:dyDescent="0.3">
      <c r="A223" s="17"/>
      <c r="B223"/>
      <c r="C223"/>
      <c r="D223"/>
      <c r="E223"/>
      <c r="F223" s="50">
        <v>43770</v>
      </c>
      <c r="G223" s="53">
        <v>88</v>
      </c>
      <c r="H223"/>
      <c r="I223"/>
      <c r="J223" s="38"/>
      <c r="K223" s="54">
        <v>-11.099999999999994</v>
      </c>
      <c r="L223" s="54"/>
      <c r="M223" s="54">
        <v>-11.099999999999994</v>
      </c>
    </row>
    <row r="224" spans="1:13" s="15" customFormat="1" x14ac:dyDescent="0.3">
      <c r="A224" s="17"/>
      <c r="B224"/>
      <c r="C224"/>
      <c r="D224"/>
      <c r="E224"/>
      <c r="F224" s="50">
        <v>43800</v>
      </c>
      <c r="G224" s="53">
        <v>76.900000000000006</v>
      </c>
      <c r="H224"/>
      <c r="I224"/>
      <c r="J224" s="38"/>
      <c r="K224" s="54">
        <v>3.0999999999999943</v>
      </c>
      <c r="L224" s="54"/>
      <c r="M224" s="54">
        <v>3.0999999999999943</v>
      </c>
    </row>
    <row r="225" spans="1:13" s="15" customFormat="1" x14ac:dyDescent="0.3">
      <c r="A225" s="17"/>
      <c r="B225"/>
      <c r="C225"/>
      <c r="D225"/>
      <c r="E225"/>
      <c r="F225" s="50">
        <v>43831</v>
      </c>
      <c r="G225" s="53">
        <v>80</v>
      </c>
      <c r="H225"/>
      <c r="I225"/>
      <c r="J225" s="38"/>
      <c r="K225" s="54">
        <v>-1.0999999999999943</v>
      </c>
      <c r="L225" s="54"/>
      <c r="M225" s="54">
        <v>-1.0999999999999943</v>
      </c>
    </row>
    <row r="226" spans="1:13" s="15" customFormat="1" x14ac:dyDescent="0.3">
      <c r="A226" s="17"/>
      <c r="B226"/>
      <c r="C226"/>
      <c r="D226"/>
      <c r="E226"/>
      <c r="F226" s="50">
        <v>43862</v>
      </c>
      <c r="G226" s="53">
        <v>78.900000000000006</v>
      </c>
      <c r="H226"/>
      <c r="I226"/>
      <c r="J226" s="38"/>
      <c r="K226" s="54">
        <v>-1</v>
      </c>
      <c r="L226" s="54"/>
      <c r="M226" s="54">
        <v>-1</v>
      </c>
    </row>
    <row r="227" spans="1:13" s="15" customFormat="1" x14ac:dyDescent="0.3">
      <c r="A227" s="17"/>
      <c r="B227"/>
      <c r="C227"/>
      <c r="D227"/>
      <c r="E227"/>
      <c r="F227" s="50">
        <v>43891</v>
      </c>
      <c r="G227" s="53">
        <v>77.900000000000006</v>
      </c>
      <c r="H227"/>
      <c r="I227"/>
      <c r="J227" s="38"/>
      <c r="K227" s="54">
        <v>-17.600000000000009</v>
      </c>
      <c r="L227" s="54"/>
      <c r="M227" s="54">
        <v>-17.600000000000009</v>
      </c>
    </row>
    <row r="228" spans="1:13" s="15" customFormat="1" x14ac:dyDescent="0.3">
      <c r="A228" s="17"/>
      <c r="B228"/>
      <c r="C228"/>
      <c r="D228"/>
      <c r="E228"/>
      <c r="F228" s="50">
        <v>43922</v>
      </c>
      <c r="G228" s="53">
        <v>60.3</v>
      </c>
      <c r="H228"/>
      <c r="I228"/>
      <c r="J228" s="38"/>
      <c r="K228" s="54">
        <v>10.900000000000006</v>
      </c>
      <c r="L228" s="54"/>
      <c r="M228" s="54">
        <v>10.900000000000006</v>
      </c>
    </row>
    <row r="229" spans="1:13" s="15" customFormat="1" x14ac:dyDescent="0.3">
      <c r="A229" s="17"/>
      <c r="B229"/>
      <c r="C229"/>
      <c r="D229"/>
      <c r="E229"/>
      <c r="F229" s="50">
        <v>43952</v>
      </c>
      <c r="G229" s="53">
        <v>71.2</v>
      </c>
      <c r="H229"/>
      <c r="I229"/>
      <c r="J229" s="38"/>
      <c r="K229" s="54">
        <v>7.2000000000000028</v>
      </c>
      <c r="L229" s="54"/>
      <c r="M229" s="54">
        <v>7.2000000000000028</v>
      </c>
    </row>
    <row r="230" spans="1:13" s="15" customFormat="1" x14ac:dyDescent="0.3">
      <c r="A230" s="17"/>
      <c r="B230"/>
      <c r="C230"/>
      <c r="D230"/>
      <c r="E230"/>
      <c r="F230" s="50">
        <v>43983</v>
      </c>
      <c r="G230" s="53">
        <v>78.400000000000006</v>
      </c>
      <c r="H230"/>
      <c r="I230"/>
      <c r="J230" s="38"/>
      <c r="K230" s="54">
        <v>12.599999999999994</v>
      </c>
      <c r="L230" s="54"/>
      <c r="M230" s="54">
        <v>12.599999999999994</v>
      </c>
    </row>
    <row r="231" spans="1:13" s="15" customFormat="1" x14ac:dyDescent="0.3">
      <c r="A231" s="17"/>
      <c r="B231"/>
      <c r="C231"/>
      <c r="D231"/>
      <c r="E231"/>
      <c r="F231" s="50">
        <v>44013</v>
      </c>
      <c r="G231" s="53">
        <v>91</v>
      </c>
      <c r="H231"/>
      <c r="I231"/>
      <c r="J231" s="38"/>
      <c r="K231" s="54">
        <v>2.9000000000000057</v>
      </c>
      <c r="L231" s="54"/>
      <c r="M231" s="54">
        <v>2.9000000000000057</v>
      </c>
    </row>
    <row r="232" spans="1:13" s="15" customFormat="1" x14ac:dyDescent="0.3">
      <c r="A232" s="17"/>
      <c r="B232"/>
      <c r="C232"/>
      <c r="D232"/>
      <c r="E232"/>
      <c r="F232" s="50">
        <v>44044</v>
      </c>
      <c r="G232" s="53">
        <v>93.9</v>
      </c>
      <c r="H232"/>
      <c r="I232"/>
      <c r="J232" s="38"/>
      <c r="K232" s="54">
        <v>1.5</v>
      </c>
      <c r="L232" s="54"/>
      <c r="M232" s="54">
        <v>1.5</v>
      </c>
    </row>
    <row r="233" spans="1:13" s="15" customFormat="1" x14ac:dyDescent="0.3">
      <c r="A233" s="17"/>
      <c r="B233"/>
      <c r="C233"/>
      <c r="D233"/>
      <c r="E233"/>
      <c r="F233" s="50">
        <v>44075</v>
      </c>
      <c r="G233" s="53">
        <v>95.4</v>
      </c>
      <c r="H233"/>
      <c r="I233"/>
      <c r="J233" s="38"/>
      <c r="K233" s="54">
        <v>1.8999999999999915</v>
      </c>
      <c r="L233" s="54"/>
      <c r="M233" s="54">
        <v>1.8999999999999915</v>
      </c>
    </row>
    <row r="234" spans="1:13" s="15" customFormat="1" x14ac:dyDescent="0.3">
      <c r="A234" s="17"/>
      <c r="B234"/>
      <c r="C234"/>
      <c r="D234"/>
      <c r="E234"/>
      <c r="F234" s="50">
        <v>44105</v>
      </c>
      <c r="G234" s="53">
        <v>97.3</v>
      </c>
      <c r="H234"/>
      <c r="I234"/>
      <c r="J234" s="38"/>
      <c r="K234" s="54">
        <v>-7.0999999999999943</v>
      </c>
      <c r="L234" s="54"/>
      <c r="M234" s="54">
        <v>-7.0999999999999943</v>
      </c>
    </row>
    <row r="235" spans="1:13" s="15" customFormat="1" x14ac:dyDescent="0.3">
      <c r="A235" s="17"/>
      <c r="B235"/>
      <c r="C235"/>
      <c r="D235"/>
      <c r="E235"/>
      <c r="F235" s="50">
        <v>44136</v>
      </c>
      <c r="G235" s="53">
        <v>90.2</v>
      </c>
      <c r="H235"/>
      <c r="I235"/>
      <c r="J235" s="38"/>
      <c r="K235" s="54">
        <v>-6.9000000000000057</v>
      </c>
      <c r="L235" s="54"/>
      <c r="M235" s="54">
        <v>-6.9000000000000057</v>
      </c>
    </row>
    <row r="236" spans="1:13" s="15" customFormat="1" x14ac:dyDescent="0.3">
      <c r="A236" s="17"/>
      <c r="B236"/>
      <c r="C236"/>
      <c r="D236"/>
      <c r="E236"/>
      <c r="F236" s="50">
        <v>44166</v>
      </c>
      <c r="G236" s="53">
        <v>83.3</v>
      </c>
      <c r="H236"/>
      <c r="I236"/>
      <c r="J236" s="38"/>
      <c r="K236" s="54">
        <v>-1.3999999999999915</v>
      </c>
      <c r="L236" s="54"/>
      <c r="M236" s="54">
        <v>-1.3999999999999915</v>
      </c>
    </row>
    <row r="237" spans="1:13" s="15" customFormat="1" x14ac:dyDescent="0.3">
      <c r="A237" s="17"/>
      <c r="B237"/>
      <c r="C237"/>
      <c r="D237"/>
      <c r="E237"/>
      <c r="F237" s="50">
        <v>44197</v>
      </c>
      <c r="G237" s="53">
        <v>81.900000000000006</v>
      </c>
      <c r="H237"/>
      <c r="I237"/>
      <c r="J237" s="38"/>
      <c r="K237" s="54">
        <v>-2.8000000000000114</v>
      </c>
      <c r="L237" s="54"/>
      <c r="M237" s="54">
        <v>-2.8000000000000114</v>
      </c>
    </row>
    <row r="238" spans="1:13" s="15" customFormat="1" x14ac:dyDescent="0.3">
      <c r="A238" s="17"/>
      <c r="B238"/>
      <c r="C238"/>
      <c r="D238"/>
      <c r="E238"/>
      <c r="F238" s="50">
        <v>44228</v>
      </c>
      <c r="G238" s="53">
        <v>79.099999999999994</v>
      </c>
      <c r="H238"/>
      <c r="I238"/>
      <c r="J238" s="38"/>
      <c r="K238" s="54">
        <v>7</v>
      </c>
      <c r="L238" s="54"/>
      <c r="M238" s="54">
        <v>7</v>
      </c>
    </row>
    <row r="239" spans="1:13" s="15" customFormat="1" x14ac:dyDescent="0.3">
      <c r="A239" s="17"/>
      <c r="B239"/>
      <c r="C239"/>
      <c r="D239"/>
      <c r="E239"/>
      <c r="F239" s="50">
        <v>44256</v>
      </c>
      <c r="G239" s="53">
        <v>86.1</v>
      </c>
      <c r="H239"/>
      <c r="I239"/>
      <c r="J239" s="38"/>
      <c r="K239" s="54">
        <v>-4.7999999999999972</v>
      </c>
      <c r="L239" s="54"/>
      <c r="M239" s="54">
        <v>-4.7999999999999972</v>
      </c>
    </row>
    <row r="240" spans="1:13" s="15" customFormat="1" x14ac:dyDescent="0.3">
      <c r="A240" s="17"/>
      <c r="B240"/>
      <c r="C240"/>
      <c r="D240"/>
      <c r="E240"/>
      <c r="F240" s="50">
        <v>44287</v>
      </c>
      <c r="G240" s="53">
        <v>81.3</v>
      </c>
      <c r="H240"/>
      <c r="I240"/>
      <c r="J240" s="38"/>
      <c r="K240" s="54">
        <v>7.1000000000000085</v>
      </c>
      <c r="L240" s="54"/>
      <c r="M240" s="54">
        <v>7.1000000000000085</v>
      </c>
    </row>
    <row r="241" spans="1:13" s="15" customFormat="1" x14ac:dyDescent="0.3">
      <c r="A241" s="17"/>
      <c r="B241"/>
      <c r="C241"/>
      <c r="D241"/>
      <c r="E241"/>
      <c r="F241" s="50">
        <v>44317</v>
      </c>
      <c r="G241" s="53">
        <v>88.4</v>
      </c>
      <c r="H241"/>
      <c r="I241"/>
      <c r="J241" s="38"/>
      <c r="K241" s="54">
        <v>-0.5</v>
      </c>
      <c r="L241" s="54"/>
      <c r="M241" s="54">
        <v>-0.5</v>
      </c>
    </row>
    <row r="242" spans="1:13" s="15" customFormat="1" x14ac:dyDescent="0.3">
      <c r="A242" s="17"/>
      <c r="B242"/>
      <c r="C242"/>
      <c r="D242"/>
      <c r="E242"/>
      <c r="F242" s="50">
        <v>44348</v>
      </c>
      <c r="G242" s="53">
        <v>87.9</v>
      </c>
      <c r="H242"/>
      <c r="I242"/>
      <c r="J242" s="38"/>
      <c r="K242" s="54">
        <v>4.2999999999999972</v>
      </c>
      <c r="L242" s="54"/>
      <c r="M242" s="54">
        <v>4.2999999999999972</v>
      </c>
    </row>
    <row r="243" spans="1:13" s="15" customFormat="1" x14ac:dyDescent="0.3">
      <c r="A243" s="17"/>
      <c r="B243"/>
      <c r="C243"/>
      <c r="D243"/>
      <c r="E243"/>
      <c r="F243" s="50">
        <v>44378</v>
      </c>
      <c r="G243" s="53">
        <v>92.2</v>
      </c>
      <c r="H243"/>
      <c r="I243"/>
      <c r="J243" s="38"/>
      <c r="K243" s="54">
        <v>1.2000000000000028</v>
      </c>
      <c r="L243" s="54"/>
      <c r="M243" s="54">
        <v>1.2000000000000028</v>
      </c>
    </row>
    <row r="244" spans="1:13" s="15" customFormat="1" x14ac:dyDescent="0.3">
      <c r="A244" s="17"/>
      <c r="B244"/>
      <c r="C244"/>
      <c r="D244"/>
      <c r="E244"/>
      <c r="F244" s="50">
        <v>44409</v>
      </c>
      <c r="G244" s="53">
        <v>93.4</v>
      </c>
      <c r="H244"/>
      <c r="I244"/>
      <c r="J244" s="38"/>
      <c r="K244" s="54">
        <v>-1.9000000000000057</v>
      </c>
      <c r="L244" s="54"/>
      <c r="M244" s="54">
        <v>-1.9000000000000057</v>
      </c>
    </row>
    <row r="245" spans="1:13" s="15" customFormat="1" x14ac:dyDescent="0.3">
      <c r="A245" s="17"/>
      <c r="B245"/>
      <c r="C245"/>
      <c r="D245"/>
      <c r="E245"/>
      <c r="F245" s="50">
        <v>44440</v>
      </c>
      <c r="G245" s="53">
        <v>91.5</v>
      </c>
      <c r="H245"/>
      <c r="I245"/>
      <c r="J245" s="38"/>
      <c r="K245" s="54">
        <v>-1.7999999999999972</v>
      </c>
      <c r="L245" s="54"/>
      <c r="M245" s="54">
        <v>-1.7999999999999972</v>
      </c>
    </row>
    <row r="246" spans="1:13" s="15" customFormat="1" x14ac:dyDescent="0.3">
      <c r="A246" s="17"/>
      <c r="B246"/>
      <c r="C246"/>
      <c r="D246"/>
      <c r="E246"/>
      <c r="F246" s="50">
        <v>44470</v>
      </c>
      <c r="G246" s="53">
        <v>89.7</v>
      </c>
      <c r="H246"/>
      <c r="I246"/>
      <c r="J246" s="38"/>
      <c r="K246" s="54">
        <v>-3.4000000000000057</v>
      </c>
      <c r="L246" s="54"/>
      <c r="M246" s="54">
        <v>-3.4000000000000057</v>
      </c>
    </row>
    <row r="247" spans="1:13" s="15" customFormat="1" x14ac:dyDescent="0.3">
      <c r="A247" s="17"/>
      <c r="B247"/>
      <c r="C247"/>
      <c r="D247"/>
      <c r="E247"/>
      <c r="F247" s="50">
        <v>44501</v>
      </c>
      <c r="G247" s="53">
        <v>86.3</v>
      </c>
      <c r="H247"/>
      <c r="I247"/>
      <c r="J247" s="38"/>
      <c r="K247" s="54">
        <v>-7.0999999999999943</v>
      </c>
      <c r="L247" s="54"/>
      <c r="M247" s="54">
        <v>-7.0999999999999943</v>
      </c>
    </row>
    <row r="248" spans="1:13" s="15" customFormat="1" x14ac:dyDescent="0.3">
      <c r="A248" s="17"/>
      <c r="B248"/>
      <c r="C248"/>
      <c r="D248"/>
      <c r="E248"/>
      <c r="F248" s="50">
        <v>44531</v>
      </c>
      <c r="G248" s="53">
        <v>79.2</v>
      </c>
      <c r="H248"/>
      <c r="I248"/>
      <c r="J248" s="38"/>
      <c r="K248" s="54"/>
      <c r="L248" s="54"/>
      <c r="M248" s="54"/>
    </row>
    <row r="249" spans="1:13" s="15" customFormat="1" x14ac:dyDescent="0.3">
      <c r="A249" s="17"/>
      <c r="B249"/>
      <c r="C249"/>
      <c r="D249"/>
      <c r="E249"/>
      <c r="F249"/>
      <c r="G249"/>
      <c r="H249"/>
      <c r="I249"/>
      <c r="J249"/>
      <c r="K249" s="27"/>
      <c r="L249" s="27"/>
      <c r="M249" s="27"/>
    </row>
    <row r="250" spans="1:13" s="15" customFormat="1" x14ac:dyDescent="0.3">
      <c r="A250" s="17"/>
      <c r="B250"/>
      <c r="C250"/>
      <c r="D250"/>
      <c r="E250"/>
      <c r="F250"/>
      <c r="G250"/>
      <c r="H250"/>
      <c r="I250"/>
      <c r="J250"/>
      <c r="K250" s="27"/>
      <c r="L250" s="27"/>
      <c r="M250" s="27"/>
    </row>
    <row r="251" spans="1:13" s="15" customFormat="1" x14ac:dyDescent="0.3">
      <c r="A251" s="17"/>
      <c r="B251"/>
      <c r="C251"/>
      <c r="D251"/>
      <c r="E251"/>
      <c r="F251"/>
      <c r="G251"/>
      <c r="H251"/>
      <c r="I251"/>
      <c r="J251"/>
      <c r="K251" s="27"/>
      <c r="L251" s="27"/>
      <c r="M251" s="27"/>
    </row>
    <row r="252" spans="1:13" s="15" customFormat="1" x14ac:dyDescent="0.3">
      <c r="A252" s="17"/>
      <c r="B252"/>
      <c r="C252"/>
      <c r="D252"/>
      <c r="E252"/>
      <c r="F252"/>
      <c r="G252"/>
      <c r="H252"/>
      <c r="I252"/>
      <c r="J252"/>
      <c r="K252" s="27"/>
      <c r="L252" s="27"/>
      <c r="M252" s="27"/>
    </row>
    <row r="253" spans="1:13" s="15" customFormat="1" x14ac:dyDescent="0.3">
      <c r="A253" s="17"/>
      <c r="B253"/>
      <c r="C253"/>
      <c r="D253"/>
      <c r="E253"/>
      <c r="F253"/>
      <c r="G253"/>
      <c r="H253"/>
      <c r="I253"/>
      <c r="J253"/>
      <c r="K253" s="27"/>
      <c r="L253" s="27"/>
      <c r="M253" s="27"/>
    </row>
    <row r="254" spans="1:13" s="15" customFormat="1" x14ac:dyDescent="0.3">
      <c r="A254" s="17"/>
      <c r="B254"/>
      <c r="C254"/>
      <c r="D254"/>
      <c r="E254"/>
      <c r="F254"/>
      <c r="G254"/>
      <c r="H254"/>
      <c r="I254"/>
      <c r="J254"/>
      <c r="K254" s="27"/>
      <c r="L254" s="27"/>
      <c r="M254" s="27"/>
    </row>
    <row r="255" spans="1:13" s="15" customFormat="1" x14ac:dyDescent="0.3">
      <c r="A255" s="17"/>
      <c r="B255"/>
      <c r="C255"/>
      <c r="D255"/>
      <c r="E255"/>
      <c r="F255"/>
      <c r="G255"/>
      <c r="H255"/>
      <c r="I255"/>
      <c r="J255"/>
      <c r="K255" s="27"/>
      <c r="L255" s="27"/>
      <c r="M255" s="27"/>
    </row>
    <row r="256" spans="1:13" s="15" customFormat="1" x14ac:dyDescent="0.3">
      <c r="A256" s="17"/>
      <c r="B256"/>
      <c r="C256"/>
      <c r="D256"/>
      <c r="E256"/>
      <c r="F256"/>
      <c r="G256"/>
      <c r="H256"/>
      <c r="I256"/>
      <c r="J256"/>
      <c r="K256" s="27"/>
      <c r="L256" s="27"/>
      <c r="M256" s="27"/>
    </row>
    <row r="257" spans="1:13" s="15" customFormat="1" x14ac:dyDescent="0.3">
      <c r="A257" s="17"/>
      <c r="B257"/>
      <c r="C257"/>
      <c r="D257"/>
      <c r="E257"/>
      <c r="F257"/>
      <c r="G257"/>
      <c r="H257"/>
      <c r="I257"/>
      <c r="J257"/>
      <c r="K257" s="27"/>
      <c r="L257" s="27"/>
      <c r="M257" s="27"/>
    </row>
    <row r="258" spans="1:13" s="15" customFormat="1" x14ac:dyDescent="0.3">
      <c r="A258" s="17"/>
      <c r="B258"/>
      <c r="C258"/>
      <c r="D258"/>
      <c r="E258"/>
      <c r="F258"/>
      <c r="G258"/>
      <c r="H258"/>
      <c r="I258"/>
      <c r="J258"/>
      <c r="K258" s="27"/>
      <c r="L258" s="27"/>
      <c r="M258" s="27"/>
    </row>
    <row r="259" spans="1:13" s="15" customFormat="1" x14ac:dyDescent="0.3">
      <c r="A259" s="17"/>
      <c r="B259"/>
      <c r="C259"/>
      <c r="D259"/>
      <c r="E259"/>
      <c r="F259"/>
      <c r="G259"/>
      <c r="H259"/>
      <c r="I259"/>
      <c r="J259"/>
      <c r="K259" s="27"/>
      <c r="L259" s="27"/>
      <c r="M259" s="27"/>
    </row>
    <row r="260" spans="1:13" s="15" customFormat="1" x14ac:dyDescent="0.3">
      <c r="A260" s="17"/>
      <c r="B260"/>
      <c r="C260"/>
      <c r="D260"/>
      <c r="E260"/>
      <c r="F260"/>
      <c r="G260"/>
      <c r="H260"/>
      <c r="I260"/>
      <c r="J260"/>
      <c r="K260" s="27"/>
      <c r="L260" s="27"/>
      <c r="M260" s="27"/>
    </row>
    <row r="261" spans="1:13" s="15" customFormat="1" x14ac:dyDescent="0.3">
      <c r="A261" s="17"/>
      <c r="B261"/>
      <c r="C261"/>
      <c r="D261"/>
      <c r="E261"/>
      <c r="F261"/>
      <c r="G261"/>
      <c r="H261"/>
      <c r="I261"/>
      <c r="J261"/>
      <c r="K261" s="27"/>
      <c r="L261" s="27"/>
      <c r="M261" s="27"/>
    </row>
    <row r="262" spans="1:13" s="15" customFormat="1" x14ac:dyDescent="0.3">
      <c r="A262" s="17"/>
      <c r="B262"/>
      <c r="C262"/>
      <c r="D262"/>
      <c r="E262"/>
      <c r="F262"/>
      <c r="G262"/>
      <c r="H262"/>
      <c r="I262"/>
      <c r="J262"/>
      <c r="K262" s="27"/>
      <c r="L262" s="27"/>
      <c r="M262" s="27"/>
    </row>
    <row r="263" spans="1:13" s="15" customFormat="1" x14ac:dyDescent="0.3">
      <c r="A263" s="17"/>
      <c r="B263"/>
      <c r="C263"/>
      <c r="D263"/>
      <c r="E263"/>
      <c r="F263"/>
      <c r="G263"/>
      <c r="H263"/>
      <c r="I263"/>
      <c r="J263"/>
      <c r="K263" s="27"/>
      <c r="L263" s="27"/>
      <c r="M263" s="27"/>
    </row>
    <row r="264" spans="1:13" s="15" customFormat="1" x14ac:dyDescent="0.3">
      <c r="A264" s="17"/>
      <c r="B264"/>
      <c r="C264"/>
      <c r="D264"/>
      <c r="E264"/>
      <c r="F264"/>
      <c r="G264"/>
      <c r="H264"/>
      <c r="I264"/>
      <c r="J264"/>
      <c r="K264" s="27"/>
      <c r="L264" s="27"/>
      <c r="M264" s="27"/>
    </row>
    <row r="265" spans="1:13" s="15" customFormat="1" x14ac:dyDescent="0.3">
      <c r="A265" s="17"/>
      <c r="B265"/>
      <c r="C265"/>
      <c r="D265"/>
      <c r="E265"/>
      <c r="F265"/>
      <c r="G265"/>
      <c r="H265"/>
      <c r="I265"/>
      <c r="J265"/>
      <c r="K265" s="27"/>
      <c r="L265" s="27"/>
      <c r="M265" s="27"/>
    </row>
    <row r="266" spans="1:13" s="15" customFormat="1" x14ac:dyDescent="0.3">
      <c r="A266" s="17"/>
      <c r="B266"/>
      <c r="C266"/>
      <c r="D266"/>
      <c r="E266"/>
      <c r="F266"/>
      <c r="G266"/>
      <c r="H266"/>
      <c r="I266"/>
      <c r="J266"/>
      <c r="K266" s="27"/>
      <c r="L266" s="27"/>
      <c r="M266" s="27"/>
    </row>
    <row r="267" spans="1:13" s="15" customFormat="1" x14ac:dyDescent="0.3">
      <c r="A267" s="17"/>
      <c r="B267"/>
      <c r="C267"/>
      <c r="D267"/>
      <c r="E267"/>
      <c r="F267"/>
      <c r="G267"/>
      <c r="H267"/>
      <c r="I267"/>
      <c r="J267"/>
      <c r="K267" s="27"/>
      <c r="L267" s="27"/>
      <c r="M267" s="27"/>
    </row>
    <row r="268" spans="1:13" s="15" customFormat="1" x14ac:dyDescent="0.3">
      <c r="A268" s="17"/>
      <c r="B268"/>
      <c r="C268"/>
      <c r="D268"/>
      <c r="E268"/>
      <c r="F268"/>
      <c r="G268"/>
      <c r="H268"/>
      <c r="I268"/>
      <c r="J268"/>
      <c r="K268" s="27"/>
      <c r="L268" s="27"/>
      <c r="M268" s="27"/>
    </row>
    <row r="269" spans="1:13" s="15" customFormat="1" x14ac:dyDescent="0.3">
      <c r="A269" s="17"/>
      <c r="B269"/>
      <c r="C269"/>
      <c r="D269"/>
      <c r="E269"/>
      <c r="F269"/>
      <c r="G269"/>
      <c r="H269"/>
      <c r="I269"/>
      <c r="J269"/>
      <c r="K269" s="27"/>
      <c r="L269" s="27"/>
      <c r="M269" s="27"/>
    </row>
    <row r="270" spans="1:13" s="15" customFormat="1" x14ac:dyDescent="0.3">
      <c r="A270" s="17"/>
      <c r="B270"/>
      <c r="C270"/>
      <c r="D270"/>
      <c r="E270"/>
      <c r="F270"/>
      <c r="G270"/>
      <c r="H270"/>
      <c r="I270"/>
      <c r="J270"/>
      <c r="K270" s="27"/>
      <c r="L270" s="27"/>
      <c r="M270" s="27"/>
    </row>
    <row r="271" spans="1:13" s="15" customFormat="1" x14ac:dyDescent="0.3">
      <c r="A271" s="17"/>
      <c r="B271"/>
      <c r="C271"/>
      <c r="D271"/>
      <c r="E271"/>
      <c r="F271"/>
      <c r="G271"/>
      <c r="H271"/>
      <c r="I271"/>
      <c r="J271"/>
      <c r="K271" s="27"/>
      <c r="L271" s="27"/>
      <c r="M271" s="27"/>
    </row>
    <row r="272" spans="1:13" s="15" customFormat="1" x14ac:dyDescent="0.3">
      <c r="A272" s="17"/>
      <c r="B272"/>
      <c r="C272"/>
      <c r="D272"/>
      <c r="E272"/>
      <c r="F272"/>
      <c r="G272"/>
      <c r="H272"/>
      <c r="I272"/>
      <c r="J272"/>
      <c r="K272" s="27"/>
      <c r="L272" s="27"/>
      <c r="M272" s="27"/>
    </row>
    <row r="273" spans="1:13" s="15" customFormat="1" x14ac:dyDescent="0.3">
      <c r="A273" s="17"/>
      <c r="B273"/>
      <c r="C273"/>
      <c r="D273"/>
      <c r="E273"/>
      <c r="F273"/>
      <c r="G273"/>
      <c r="H273"/>
      <c r="I273"/>
      <c r="J273"/>
      <c r="K273" s="27"/>
      <c r="L273" s="27"/>
      <c r="M273" s="27"/>
    </row>
    <row r="274" spans="1:13" s="15" customFormat="1" x14ac:dyDescent="0.3">
      <c r="A274" s="17"/>
      <c r="B274"/>
      <c r="C274"/>
      <c r="D274"/>
      <c r="E274"/>
      <c r="F274"/>
      <c r="G274"/>
      <c r="H274"/>
      <c r="I274"/>
      <c r="J274"/>
      <c r="K274" s="27"/>
      <c r="L274" s="27"/>
      <c r="M274" s="27"/>
    </row>
    <row r="275" spans="1:13" s="15" customFormat="1" x14ac:dyDescent="0.3">
      <c r="A275" s="17"/>
      <c r="B275"/>
      <c r="C275"/>
      <c r="D275"/>
      <c r="E275"/>
      <c r="F275"/>
      <c r="G275"/>
      <c r="H275"/>
      <c r="I275"/>
      <c r="J275"/>
      <c r="K275" s="27"/>
      <c r="L275" s="27"/>
      <c r="M275" s="27"/>
    </row>
    <row r="276" spans="1:13" s="15" customFormat="1" x14ac:dyDescent="0.3">
      <c r="A276" s="17"/>
      <c r="B276"/>
      <c r="C276"/>
      <c r="D276"/>
      <c r="E276"/>
      <c r="F276"/>
      <c r="G276"/>
      <c r="H276"/>
      <c r="I276"/>
      <c r="J276"/>
      <c r="K276" s="27"/>
      <c r="L276" s="27"/>
      <c r="M276" s="27"/>
    </row>
    <row r="277" spans="1:13" s="15" customFormat="1" x14ac:dyDescent="0.3">
      <c r="A277" s="17"/>
      <c r="B277"/>
      <c r="C277"/>
      <c r="D277"/>
      <c r="E277"/>
      <c r="F277"/>
      <c r="G277"/>
      <c r="H277"/>
      <c r="I277"/>
      <c r="J277"/>
      <c r="K277" s="27"/>
      <c r="L277" s="27"/>
      <c r="M277" s="27"/>
    </row>
    <row r="278" spans="1:13" s="15" customFormat="1" x14ac:dyDescent="0.3">
      <c r="A278" s="17"/>
      <c r="B278"/>
      <c r="C278"/>
      <c r="D278"/>
      <c r="E278"/>
      <c r="F278"/>
      <c r="G278"/>
      <c r="H278"/>
      <c r="I278"/>
      <c r="J278"/>
      <c r="K278" s="27"/>
      <c r="L278" s="27"/>
      <c r="M278" s="27"/>
    </row>
    <row r="279" spans="1:13" s="15" customFormat="1" x14ac:dyDescent="0.3">
      <c r="A279" s="17"/>
      <c r="B279"/>
      <c r="C279"/>
      <c r="D279"/>
      <c r="E279"/>
      <c r="F279"/>
      <c r="G279"/>
      <c r="H279"/>
      <c r="I279"/>
      <c r="J279"/>
      <c r="K279" s="27"/>
      <c r="L279" s="27"/>
      <c r="M279" s="27"/>
    </row>
    <row r="280" spans="1:13" s="15" customFormat="1" x14ac:dyDescent="0.3">
      <c r="A280" s="17"/>
      <c r="B280"/>
      <c r="C280"/>
      <c r="D280"/>
      <c r="E280"/>
      <c r="F280"/>
      <c r="G280"/>
      <c r="H280"/>
      <c r="I280"/>
      <c r="J280"/>
      <c r="K280" s="27"/>
      <c r="L280" s="27"/>
      <c r="M280" s="27"/>
    </row>
    <row r="281" spans="1:13" s="15" customFormat="1" x14ac:dyDescent="0.3">
      <c r="A281" s="17"/>
      <c r="B281"/>
      <c r="C281"/>
      <c r="D281"/>
      <c r="E281"/>
      <c r="F281"/>
      <c r="G281"/>
      <c r="H281"/>
      <c r="I281"/>
      <c r="J281"/>
      <c r="K281" s="27"/>
      <c r="L281" s="27"/>
      <c r="M281" s="27"/>
    </row>
    <row r="282" spans="1:13" s="15" customFormat="1" x14ac:dyDescent="0.3">
      <c r="A282" s="17"/>
      <c r="B282"/>
      <c r="C282"/>
      <c r="D282"/>
      <c r="E282"/>
      <c r="F282"/>
      <c r="G282"/>
      <c r="H282"/>
      <c r="I282"/>
      <c r="J282"/>
      <c r="K282" s="27"/>
      <c r="L282" s="27"/>
      <c r="M282" s="27"/>
    </row>
    <row r="283" spans="1:13" s="15" customFormat="1" x14ac:dyDescent="0.3">
      <c r="A283" s="17"/>
      <c r="B283"/>
      <c r="C283"/>
      <c r="D283"/>
      <c r="E283"/>
      <c r="F283"/>
      <c r="G283"/>
      <c r="H283"/>
      <c r="I283"/>
      <c r="J283"/>
      <c r="K283" s="27"/>
      <c r="L283" s="27"/>
      <c r="M283" s="27"/>
    </row>
    <row r="284" spans="1:13" s="15" customFormat="1" x14ac:dyDescent="0.3">
      <c r="A284" s="17"/>
      <c r="B284"/>
      <c r="C284"/>
      <c r="D284"/>
      <c r="E284"/>
      <c r="F284"/>
      <c r="G284"/>
      <c r="H284"/>
      <c r="I284"/>
      <c r="J284"/>
      <c r="K284" s="27"/>
      <c r="L284" s="27"/>
      <c r="M284" s="27"/>
    </row>
    <row r="285" spans="1:13" s="15" customFormat="1" x14ac:dyDescent="0.3">
      <c r="A285" s="17"/>
      <c r="B285"/>
      <c r="C285"/>
      <c r="D285"/>
      <c r="E285"/>
      <c r="F285"/>
      <c r="G285"/>
      <c r="H285"/>
      <c r="I285"/>
      <c r="J285"/>
      <c r="K285" s="27"/>
      <c r="L285" s="27"/>
      <c r="M285" s="27"/>
    </row>
    <row r="286" spans="1:13" s="15" customFormat="1" x14ac:dyDescent="0.3">
      <c r="A286" s="17"/>
      <c r="B286"/>
      <c r="C286"/>
      <c r="D286"/>
      <c r="E286"/>
      <c r="F286"/>
      <c r="G286"/>
      <c r="H286"/>
      <c r="I286"/>
      <c r="J286"/>
      <c r="K286" s="27"/>
      <c r="L286" s="27"/>
      <c r="M286" s="27"/>
    </row>
    <row r="287" spans="1:13" s="15" customFormat="1" x14ac:dyDescent="0.3">
      <c r="A287" s="17"/>
      <c r="B287"/>
      <c r="C287"/>
      <c r="D287"/>
      <c r="E287"/>
      <c r="F287"/>
      <c r="G287"/>
      <c r="H287"/>
      <c r="I287"/>
      <c r="J287"/>
      <c r="K287" s="27"/>
      <c r="L287" s="27"/>
      <c r="M287" s="27"/>
    </row>
    <row r="288" spans="1:13" s="15" customFormat="1" x14ac:dyDescent="0.3">
      <c r="A288" s="17"/>
      <c r="B288"/>
      <c r="C288"/>
      <c r="D288"/>
      <c r="E288"/>
      <c r="F288"/>
      <c r="G288"/>
      <c r="H288"/>
      <c r="I288"/>
      <c r="J288"/>
      <c r="K288" s="27"/>
      <c r="L288" s="27"/>
      <c r="M288" s="27"/>
    </row>
    <row r="289" spans="1:13" s="15" customFormat="1" x14ac:dyDescent="0.3">
      <c r="A289" s="17"/>
      <c r="B289"/>
      <c r="C289"/>
      <c r="D289"/>
      <c r="E289"/>
      <c r="F289"/>
      <c r="G289"/>
      <c r="H289"/>
      <c r="I289"/>
      <c r="J289"/>
      <c r="K289" s="27"/>
      <c r="L289" s="27"/>
      <c r="M289" s="27"/>
    </row>
    <row r="290" spans="1:13" s="15" customFormat="1" x14ac:dyDescent="0.3">
      <c r="A290" s="17"/>
      <c r="B290"/>
      <c r="C290"/>
      <c r="D290"/>
      <c r="E290"/>
      <c r="F290"/>
      <c r="G290"/>
      <c r="H290"/>
      <c r="I290"/>
      <c r="J290"/>
      <c r="K290" s="27"/>
      <c r="L290" s="27"/>
      <c r="M290" s="27"/>
    </row>
    <row r="291" spans="1:13" s="15" customFormat="1" x14ac:dyDescent="0.3">
      <c r="A291" s="17"/>
      <c r="B291"/>
      <c r="C291"/>
      <c r="D291"/>
      <c r="E291"/>
      <c r="F291"/>
      <c r="G291"/>
      <c r="H291"/>
      <c r="I291"/>
      <c r="J291"/>
      <c r="K291" s="27"/>
      <c r="L291" s="27"/>
      <c r="M291" s="27"/>
    </row>
    <row r="292" spans="1:13" s="15" customFormat="1" x14ac:dyDescent="0.3">
      <c r="A292" s="17"/>
      <c r="B292"/>
      <c r="C292"/>
      <c r="D292"/>
      <c r="E292"/>
      <c r="F292"/>
      <c r="G292"/>
      <c r="H292"/>
      <c r="I292"/>
      <c r="J292"/>
      <c r="K292" s="27"/>
      <c r="L292" s="27"/>
      <c r="M292" s="27"/>
    </row>
    <row r="293" spans="1:13" s="15" customFormat="1" x14ac:dyDescent="0.3">
      <c r="A293" s="17"/>
      <c r="B293"/>
      <c r="C293"/>
      <c r="D293"/>
      <c r="E293"/>
      <c r="F293"/>
      <c r="G293"/>
      <c r="H293"/>
      <c r="I293"/>
      <c r="J293"/>
      <c r="K293" s="27"/>
      <c r="L293" s="27"/>
      <c r="M293" s="27"/>
    </row>
    <row r="294" spans="1:13" s="15" customFormat="1" x14ac:dyDescent="0.3">
      <c r="A294" s="17"/>
      <c r="B294"/>
      <c r="C294"/>
      <c r="D294"/>
      <c r="E294"/>
      <c r="F294"/>
      <c r="G294"/>
      <c r="H294"/>
      <c r="I294"/>
      <c r="J294"/>
      <c r="K294" s="27"/>
      <c r="L294" s="27"/>
      <c r="M294" s="27"/>
    </row>
    <row r="295" spans="1:13" s="15" customFormat="1" x14ac:dyDescent="0.3">
      <c r="A295" s="17"/>
      <c r="B295"/>
      <c r="C295"/>
      <c r="D295"/>
      <c r="E295"/>
      <c r="F295"/>
      <c r="G295"/>
      <c r="H295"/>
      <c r="I295"/>
      <c r="J295"/>
      <c r="K295" s="27"/>
      <c r="L295" s="27"/>
      <c r="M295" s="27"/>
    </row>
    <row r="296" spans="1:13" s="15" customFormat="1" x14ac:dyDescent="0.3">
      <c r="A296" s="17"/>
      <c r="B296"/>
      <c r="C296"/>
      <c r="D296"/>
      <c r="E296"/>
      <c r="F296"/>
      <c r="G296"/>
      <c r="H296"/>
      <c r="I296"/>
      <c r="J296"/>
      <c r="K296" s="27"/>
      <c r="L296" s="27"/>
      <c r="M296" s="27"/>
    </row>
    <row r="297" spans="1:13" s="15" customFormat="1" x14ac:dyDescent="0.3">
      <c r="A297" s="17"/>
      <c r="B297"/>
      <c r="C297"/>
      <c r="D297"/>
      <c r="E297"/>
      <c r="F297"/>
      <c r="G297"/>
      <c r="H297"/>
      <c r="I297"/>
      <c r="J297"/>
      <c r="K297" s="27"/>
      <c r="L297" s="27"/>
      <c r="M297" s="27"/>
    </row>
    <row r="298" spans="1:13" s="15" customFormat="1" x14ac:dyDescent="0.3">
      <c r="A298" s="17"/>
      <c r="B298"/>
      <c r="C298"/>
      <c r="D298"/>
      <c r="E298"/>
      <c r="F298"/>
      <c r="G298"/>
      <c r="H298"/>
      <c r="I298"/>
      <c r="J298"/>
      <c r="K298" s="27"/>
      <c r="L298" s="27"/>
      <c r="M298" s="27"/>
    </row>
  </sheetData>
  <mergeCells count="1">
    <mergeCell ref="D12:D13"/>
  </mergeCells>
  <pageMargins left="0.511811024" right="0.511811024" top="0.78740157499999996" bottom="0.78740157499999996" header="0.31496062000000002" footer="0.31496062000000002"/>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51727-383D-43D5-BBAD-729532AF11A1}">
  <sheetPr codeName="Planilha11">
    <tabColor theme="9" tint="0.59999389629810485"/>
  </sheetPr>
  <dimension ref="A1:U297"/>
  <sheetViews>
    <sheetView showGridLines="0" workbookViewId="0">
      <selection activeCell="A6" sqref="A6"/>
    </sheetView>
  </sheetViews>
  <sheetFormatPr defaultColWidth="8.85546875" defaultRowHeight="18.75" x14ac:dyDescent="0.3"/>
  <cols>
    <col min="1" max="1" width="12.7109375" style="17" customWidth="1"/>
    <col min="2" max="2" width="24.85546875" bestFit="1" customWidth="1"/>
    <col min="4" max="4" width="44.28515625" bestFit="1" customWidth="1"/>
    <col min="5" max="5" width="4.5703125" customWidth="1"/>
    <col min="6" max="7" width="7.140625" bestFit="1" customWidth="1"/>
    <col min="8" max="8" width="9.28515625" bestFit="1" customWidth="1"/>
    <col min="10" max="12" width="9" style="15" customWidth="1"/>
    <col min="13" max="21" width="8.85546875" style="15"/>
  </cols>
  <sheetData>
    <row r="1" spans="1:21" x14ac:dyDescent="0.3">
      <c r="A1" s="16" t="s">
        <v>191</v>
      </c>
      <c r="J1" s="14"/>
      <c r="K1" s="14"/>
      <c r="L1" s="14"/>
      <c r="M1" s="14"/>
      <c r="N1" s="14"/>
      <c r="O1" s="14"/>
      <c r="P1" s="14"/>
      <c r="Q1" s="14"/>
      <c r="R1" s="14"/>
      <c r="S1" s="14"/>
      <c r="T1" s="14"/>
      <c r="U1" s="14"/>
    </row>
    <row r="2" spans="1:21" x14ac:dyDescent="0.3">
      <c r="A2" s="17" t="s">
        <v>192</v>
      </c>
      <c r="J2" s="14"/>
      <c r="K2" s="14"/>
      <c r="L2" s="14"/>
      <c r="M2" s="14"/>
      <c r="N2" s="14"/>
      <c r="O2" s="14"/>
      <c r="P2" s="14"/>
      <c r="Q2" s="14"/>
      <c r="R2" s="14"/>
      <c r="S2" s="14"/>
      <c r="T2" s="14"/>
      <c r="U2" s="14"/>
    </row>
    <row r="4" spans="1:21" ht="15.75" x14ac:dyDescent="0.25">
      <c r="A4" s="2" t="s">
        <v>15</v>
      </c>
      <c r="B4" s="2" t="s">
        <v>16</v>
      </c>
    </row>
    <row r="5" spans="1:21" ht="15.75" x14ac:dyDescent="0.25">
      <c r="A5" s="23" t="s">
        <v>169</v>
      </c>
      <c r="B5" s="24" t="s">
        <v>171</v>
      </c>
    </row>
    <row r="6" spans="1:21" ht="31.5" x14ac:dyDescent="0.25">
      <c r="A6" s="23" t="s">
        <v>193</v>
      </c>
      <c r="B6" s="24" t="s">
        <v>194</v>
      </c>
    </row>
    <row r="7" spans="1:21" x14ac:dyDescent="0.3">
      <c r="D7" s="1" t="s">
        <v>17</v>
      </c>
      <c r="G7" s="13" t="s">
        <v>169</v>
      </c>
      <c r="H7" s="13" t="s">
        <v>193</v>
      </c>
    </row>
    <row r="8" spans="1:21" x14ac:dyDescent="0.3">
      <c r="D8" t="s">
        <v>182</v>
      </c>
      <c r="F8" s="50">
        <v>37257</v>
      </c>
      <c r="G8" s="53">
        <v>72.400000000000006</v>
      </c>
      <c r="H8" s="55">
        <v>1</v>
      </c>
      <c r="J8" s="54" cm="1">
        <f t="array" ref="J8:J247">_xlfn.LAMBDA(_xlpm.values,_xlop.nPower, _xlfn.LET(_xlpm.nPower, IF(_xlfn.ISOMITTED(_xlpm.nPower), 1, _xlpm.nPower),  _xlpm.values - OLS_FITTED(_xlpm.values, ADDCONST(_xlfn.SEQUENCE(ROWS(_xlpm.values))^_xlpm.nPower)) ) )($G$8:$G$247,$H$8)</f>
        <v>-18.61909751037355</v>
      </c>
      <c r="K8" s="54"/>
      <c r="L8" s="54" cm="1">
        <f t="array" ref="L8:L247">DETREND($G$8:$G$247,$H$8)</f>
        <v>-18.61909751037355</v>
      </c>
    </row>
    <row r="9" spans="1:21" x14ac:dyDescent="0.3">
      <c r="D9" t="s">
        <v>183</v>
      </c>
      <c r="F9" s="50">
        <v>37288</v>
      </c>
      <c r="G9" s="53">
        <v>69.7</v>
      </c>
      <c r="J9" s="54">
        <v>-21.321939790621471</v>
      </c>
      <c r="K9" s="54"/>
      <c r="L9" s="54">
        <v>-21.321939790621471</v>
      </c>
    </row>
    <row r="10" spans="1:21" x14ac:dyDescent="0.3">
      <c r="D10" t="s">
        <v>159</v>
      </c>
      <c r="F10" s="50">
        <v>37316</v>
      </c>
      <c r="G10" s="53">
        <v>77.400000000000006</v>
      </c>
      <c r="J10" s="54">
        <v>-13.624782070869387</v>
      </c>
      <c r="K10" s="54"/>
      <c r="L10" s="54">
        <v>-13.624782070869387</v>
      </c>
    </row>
    <row r="11" spans="1:21" ht="18.75" customHeight="1" x14ac:dyDescent="0.3">
      <c r="D11" s="111"/>
      <c r="F11" s="50">
        <v>37347</v>
      </c>
      <c r="G11" s="53">
        <v>79.599999999999994</v>
      </c>
      <c r="J11" s="54">
        <v>-11.427624351117331</v>
      </c>
      <c r="K11" s="54"/>
      <c r="L11" s="54">
        <v>-11.427624351117331</v>
      </c>
    </row>
    <row r="12" spans="1:21" x14ac:dyDescent="0.3">
      <c r="D12" s="111"/>
      <c r="F12" s="50">
        <v>37377</v>
      </c>
      <c r="G12" s="53">
        <v>80.400000000000006</v>
      </c>
      <c r="J12" s="54">
        <v>-10.630466631365238</v>
      </c>
      <c r="K12" s="54"/>
      <c r="L12" s="54">
        <v>-10.630466631365238</v>
      </c>
    </row>
    <row r="13" spans="1:21" x14ac:dyDescent="0.3">
      <c r="D13" s="47"/>
      <c r="F13" s="50">
        <v>37408</v>
      </c>
      <c r="G13" s="53">
        <v>77.5</v>
      </c>
      <c r="J13" s="54">
        <v>-13.533308911613162</v>
      </c>
      <c r="K13" s="54"/>
      <c r="L13" s="54">
        <v>-13.533308911613162</v>
      </c>
    </row>
    <row r="14" spans="1:21" x14ac:dyDescent="0.3">
      <c r="F14" s="50">
        <v>37438</v>
      </c>
      <c r="G14" s="53">
        <v>83.3</v>
      </c>
      <c r="J14" s="54">
        <v>-7.736151191861083</v>
      </c>
      <c r="K14" s="54"/>
      <c r="L14" s="54">
        <v>-7.736151191861083</v>
      </c>
    </row>
    <row r="15" spans="1:21" x14ac:dyDescent="0.3">
      <c r="F15" s="50">
        <v>37469</v>
      </c>
      <c r="G15" s="53">
        <v>83.6</v>
      </c>
      <c r="J15" s="54">
        <v>-7.4389934721090043</v>
      </c>
      <c r="K15" s="54"/>
      <c r="L15" s="54">
        <v>-7.4389934721090043</v>
      </c>
    </row>
    <row r="16" spans="1:21" x14ac:dyDescent="0.3">
      <c r="F16" s="50">
        <v>37500</v>
      </c>
      <c r="G16" s="53">
        <v>82.1</v>
      </c>
      <c r="J16" s="54">
        <v>-8.9418357523569227</v>
      </c>
      <c r="K16" s="54"/>
      <c r="L16" s="54">
        <v>-8.9418357523569227</v>
      </c>
    </row>
    <row r="17" spans="6:12" x14ac:dyDescent="0.3">
      <c r="F17" s="50">
        <v>37530</v>
      </c>
      <c r="G17" s="53">
        <v>89.2</v>
      </c>
      <c r="J17" s="54">
        <v>-1.8446780326048469</v>
      </c>
      <c r="K17" s="54"/>
      <c r="L17" s="54">
        <v>-1.8446780326048469</v>
      </c>
    </row>
    <row r="18" spans="6:12" x14ac:dyDescent="0.3">
      <c r="F18" s="50">
        <v>37561</v>
      </c>
      <c r="G18" s="53">
        <v>83.9</v>
      </c>
      <c r="J18" s="54">
        <v>-7.1475203128527625</v>
      </c>
      <c r="K18" s="54"/>
      <c r="L18" s="54">
        <v>-7.1475203128527625</v>
      </c>
    </row>
    <row r="19" spans="6:12" x14ac:dyDescent="0.3">
      <c r="F19" s="50">
        <v>37591</v>
      </c>
      <c r="G19" s="53">
        <v>74.599999999999994</v>
      </c>
      <c r="J19" s="54">
        <v>-16.450362593100692</v>
      </c>
      <c r="K19" s="54"/>
      <c r="L19" s="54">
        <v>-16.450362593100692</v>
      </c>
    </row>
    <row r="20" spans="6:12" x14ac:dyDescent="0.3">
      <c r="F20" s="50">
        <v>37622</v>
      </c>
      <c r="G20" s="53">
        <v>74</v>
      </c>
      <c r="J20" s="54">
        <v>-17.053204873348605</v>
      </c>
      <c r="K20" s="54"/>
      <c r="L20" s="54">
        <v>-17.053204873348605</v>
      </c>
    </row>
    <row r="21" spans="6:12" x14ac:dyDescent="0.3">
      <c r="F21" s="50">
        <v>37653</v>
      </c>
      <c r="G21" s="53">
        <v>71.8</v>
      </c>
      <c r="J21" s="54">
        <v>-19.256047153596526</v>
      </c>
      <c r="K21" s="54"/>
      <c r="L21" s="54">
        <v>-19.256047153596526</v>
      </c>
    </row>
    <row r="22" spans="6:12" x14ac:dyDescent="0.3">
      <c r="F22" s="50">
        <v>37681</v>
      </c>
      <c r="G22" s="53">
        <v>77.400000000000006</v>
      </c>
      <c r="J22" s="54">
        <v>-13.658889433844436</v>
      </c>
      <c r="K22" s="54"/>
      <c r="L22" s="54">
        <v>-13.658889433844436</v>
      </c>
    </row>
    <row r="23" spans="6:12" x14ac:dyDescent="0.3">
      <c r="F23" s="50">
        <v>37712</v>
      </c>
      <c r="G23" s="53">
        <v>76.5</v>
      </c>
      <c r="J23" s="54">
        <v>-14.56173171409236</v>
      </c>
      <c r="K23" s="54"/>
      <c r="L23" s="54">
        <v>-14.56173171409236</v>
      </c>
    </row>
    <row r="24" spans="6:12" x14ac:dyDescent="0.3">
      <c r="F24" s="50">
        <v>37742</v>
      </c>
      <c r="G24" s="53">
        <v>79.7</v>
      </c>
      <c r="J24" s="54">
        <v>-11.36457399434029</v>
      </c>
      <c r="K24" s="54"/>
      <c r="L24" s="54">
        <v>-11.36457399434029</v>
      </c>
    </row>
    <row r="25" spans="6:12" x14ac:dyDescent="0.3">
      <c r="F25" s="50">
        <v>37773</v>
      </c>
      <c r="G25" s="53">
        <v>76.3</v>
      </c>
      <c r="J25" s="54">
        <v>-14.767416274588214</v>
      </c>
      <c r="K25" s="54"/>
      <c r="L25" s="54">
        <v>-14.767416274588214</v>
      </c>
    </row>
    <row r="26" spans="6:12" x14ac:dyDescent="0.3">
      <c r="F26" s="50">
        <v>37803</v>
      </c>
      <c r="G26" s="53">
        <v>81.3</v>
      </c>
      <c r="J26" s="54">
        <v>-9.7702585548361327</v>
      </c>
      <c r="K26" s="54"/>
      <c r="L26" s="54">
        <v>-9.7702585548361327</v>
      </c>
    </row>
    <row r="27" spans="6:12" x14ac:dyDescent="0.3">
      <c r="F27" s="50">
        <v>37834</v>
      </c>
      <c r="G27" s="53">
        <v>81.599999999999994</v>
      </c>
      <c r="J27" s="54">
        <v>-9.473100835084054</v>
      </c>
      <c r="K27" s="54"/>
      <c r="L27" s="54">
        <v>-9.473100835084054</v>
      </c>
    </row>
    <row r="28" spans="6:12" x14ac:dyDescent="0.3">
      <c r="F28" s="50">
        <v>37865</v>
      </c>
      <c r="G28" s="53">
        <v>85.7</v>
      </c>
      <c r="J28" s="54">
        <v>-5.3759431153319639</v>
      </c>
      <c r="K28" s="54"/>
      <c r="L28" s="54">
        <v>-5.3759431153319639</v>
      </c>
    </row>
    <row r="29" spans="6:12" x14ac:dyDescent="0.3">
      <c r="F29" s="50">
        <v>37895</v>
      </c>
      <c r="G29" s="53">
        <v>90</v>
      </c>
      <c r="J29" s="54">
        <v>-1.0787853955798852</v>
      </c>
      <c r="K29" s="54"/>
      <c r="L29" s="54">
        <v>-1.0787853955798852</v>
      </c>
    </row>
    <row r="30" spans="6:12" x14ac:dyDescent="0.3">
      <c r="F30" s="50">
        <v>37926</v>
      </c>
      <c r="G30" s="53">
        <v>84.6</v>
      </c>
      <c r="J30" s="54">
        <v>-6.4816276758278235</v>
      </c>
      <c r="K30" s="54"/>
      <c r="L30" s="54">
        <v>-6.4816276758278235</v>
      </c>
    </row>
    <row r="31" spans="6:12" x14ac:dyDescent="0.3">
      <c r="F31" s="50">
        <v>37956</v>
      </c>
      <c r="G31" s="53">
        <v>77.900000000000006</v>
      </c>
      <c r="J31" s="54">
        <v>-13.184469956075731</v>
      </c>
      <c r="K31" s="54"/>
      <c r="L31" s="54">
        <v>-13.184469956075731</v>
      </c>
    </row>
    <row r="32" spans="6:12" x14ac:dyDescent="0.3">
      <c r="F32" s="50">
        <v>37987</v>
      </c>
      <c r="G32" s="53">
        <v>76.8</v>
      </c>
      <c r="J32" s="54">
        <v>-14.287312236323658</v>
      </c>
      <c r="K32" s="54"/>
      <c r="L32" s="54">
        <v>-14.287312236323658</v>
      </c>
    </row>
    <row r="33" spans="6:12" x14ac:dyDescent="0.3">
      <c r="F33" s="50">
        <v>38018</v>
      </c>
      <c r="G33" s="53">
        <v>74</v>
      </c>
      <c r="J33" s="54">
        <v>-17.090154516571573</v>
      </c>
      <c r="K33" s="54"/>
      <c r="L33" s="54">
        <v>-17.090154516571573</v>
      </c>
    </row>
    <row r="34" spans="6:12" x14ac:dyDescent="0.3">
      <c r="F34" s="50">
        <v>38047</v>
      </c>
      <c r="G34" s="53">
        <v>86.9</v>
      </c>
      <c r="J34" s="54">
        <v>-4.1929967968194859</v>
      </c>
      <c r="K34" s="54"/>
      <c r="L34" s="54">
        <v>-4.1929967968194859</v>
      </c>
    </row>
    <row r="35" spans="6:12" x14ac:dyDescent="0.3">
      <c r="F35" s="50">
        <v>38078</v>
      </c>
      <c r="G35" s="53">
        <v>82.2</v>
      </c>
      <c r="J35" s="54">
        <v>-8.8958390770674072</v>
      </c>
      <c r="K35" s="54"/>
      <c r="L35" s="54">
        <v>-8.8958390770674072</v>
      </c>
    </row>
    <row r="36" spans="6:12" x14ac:dyDescent="0.3">
      <c r="F36" s="50">
        <v>38108</v>
      </c>
      <c r="G36" s="53">
        <v>86.3</v>
      </c>
      <c r="J36" s="54">
        <v>-4.7986813573153455</v>
      </c>
      <c r="K36" s="54"/>
      <c r="L36" s="54">
        <v>-4.7986813573153455</v>
      </c>
    </row>
    <row r="37" spans="6:12" x14ac:dyDescent="0.3">
      <c r="F37" s="50">
        <v>38139</v>
      </c>
      <c r="G37" s="53">
        <v>86.1</v>
      </c>
      <c r="J37" s="54">
        <v>-5.0015236375632668</v>
      </c>
      <c r="K37" s="54"/>
      <c r="L37" s="54">
        <v>-5.0015236375632668</v>
      </c>
    </row>
    <row r="38" spans="6:12" x14ac:dyDescent="0.3">
      <c r="F38" s="50">
        <v>38169</v>
      </c>
      <c r="G38" s="53">
        <v>90.1</v>
      </c>
      <c r="J38" s="54">
        <v>-1.0043659178111852</v>
      </c>
      <c r="K38" s="54"/>
      <c r="L38" s="54">
        <v>-1.0043659178111852</v>
      </c>
    </row>
    <row r="39" spans="6:12" x14ac:dyDescent="0.3">
      <c r="F39" s="50">
        <v>38200</v>
      </c>
      <c r="G39" s="53">
        <v>92.1</v>
      </c>
      <c r="J39" s="54">
        <v>0.99279180194089633</v>
      </c>
      <c r="K39" s="54"/>
      <c r="L39" s="54">
        <v>0.99279180194089633</v>
      </c>
    </row>
    <row r="40" spans="6:12" x14ac:dyDescent="0.3">
      <c r="F40" s="50">
        <v>38231</v>
      </c>
      <c r="G40" s="53">
        <v>92.1</v>
      </c>
      <c r="J40" s="54">
        <v>0.9899495216929779</v>
      </c>
      <c r="K40" s="54"/>
      <c r="L40" s="54">
        <v>0.9899495216929779</v>
      </c>
    </row>
    <row r="41" spans="6:12" x14ac:dyDescent="0.3">
      <c r="F41" s="50">
        <v>38261</v>
      </c>
      <c r="G41" s="53">
        <v>93.5</v>
      </c>
      <c r="J41" s="54">
        <v>2.3871072414450651</v>
      </c>
      <c r="K41" s="54"/>
      <c r="L41" s="54">
        <v>2.3871072414450651</v>
      </c>
    </row>
    <row r="42" spans="6:12" x14ac:dyDescent="0.3">
      <c r="F42" s="50">
        <v>38292</v>
      </c>
      <c r="G42" s="53">
        <v>91.8</v>
      </c>
      <c r="J42" s="54">
        <v>0.68426496119714386</v>
      </c>
      <c r="K42" s="54"/>
      <c r="L42" s="54">
        <v>0.68426496119714386</v>
      </c>
    </row>
    <row r="43" spans="6:12" x14ac:dyDescent="0.3">
      <c r="F43" s="50">
        <v>38322</v>
      </c>
      <c r="G43" s="53">
        <v>84.7</v>
      </c>
      <c r="J43" s="54">
        <v>-6.4185773190507831</v>
      </c>
      <c r="K43" s="54"/>
      <c r="L43" s="54">
        <v>-6.4185773190507831</v>
      </c>
    </row>
    <row r="44" spans="6:12" x14ac:dyDescent="0.3">
      <c r="F44" s="50">
        <v>38353</v>
      </c>
      <c r="G44" s="53">
        <v>81</v>
      </c>
      <c r="J44" s="54">
        <v>-10.121419599298704</v>
      </c>
      <c r="K44" s="54"/>
      <c r="L44" s="54">
        <v>-10.121419599298704</v>
      </c>
    </row>
    <row r="45" spans="6:12" x14ac:dyDescent="0.3">
      <c r="F45" s="50">
        <v>38384</v>
      </c>
      <c r="G45" s="53">
        <v>76.400000000000006</v>
      </c>
      <c r="J45" s="54">
        <v>-14.724261879546617</v>
      </c>
      <c r="K45" s="54"/>
      <c r="L45" s="54">
        <v>-14.724261879546617</v>
      </c>
    </row>
    <row r="46" spans="6:12" x14ac:dyDescent="0.3">
      <c r="F46" s="50">
        <v>38412</v>
      </c>
      <c r="G46" s="53">
        <v>88</v>
      </c>
      <c r="J46" s="54">
        <v>-3.1271041597945413</v>
      </c>
      <c r="K46" s="54"/>
      <c r="L46" s="54">
        <v>-3.1271041597945413</v>
      </c>
    </row>
    <row r="47" spans="6:12" x14ac:dyDescent="0.3">
      <c r="F47" s="50">
        <v>38443</v>
      </c>
      <c r="G47" s="53">
        <v>87</v>
      </c>
      <c r="J47" s="54">
        <v>-4.1299464400424597</v>
      </c>
      <c r="K47" s="54"/>
      <c r="L47" s="54">
        <v>-4.1299464400424597</v>
      </c>
    </row>
    <row r="48" spans="6:12" x14ac:dyDescent="0.3">
      <c r="F48" s="50">
        <v>38473</v>
      </c>
      <c r="G48" s="53">
        <v>91.1</v>
      </c>
      <c r="J48" s="54">
        <v>-3.2788720290383822E-2</v>
      </c>
      <c r="K48" s="54"/>
      <c r="L48" s="54">
        <v>-3.2788720290383822E-2</v>
      </c>
    </row>
    <row r="49" spans="6:12" x14ac:dyDescent="0.3">
      <c r="F49" s="50">
        <v>38504</v>
      </c>
      <c r="G49" s="53">
        <v>91.4</v>
      </c>
      <c r="J49" s="54">
        <v>0.2643689994616949</v>
      </c>
      <c r="K49" s="54"/>
      <c r="L49" s="54">
        <v>0.2643689994616949</v>
      </c>
    </row>
    <row r="50" spans="6:12" x14ac:dyDescent="0.3">
      <c r="F50" s="50">
        <v>38534</v>
      </c>
      <c r="G50" s="53">
        <v>90.5</v>
      </c>
      <c r="J50" s="54">
        <v>-0.63847328078622922</v>
      </c>
      <c r="K50" s="54"/>
      <c r="L50" s="54">
        <v>-0.63847328078622922</v>
      </c>
    </row>
    <row r="51" spans="6:12" x14ac:dyDescent="0.3">
      <c r="F51" s="50">
        <v>38565</v>
      </c>
      <c r="G51" s="53">
        <v>95.6</v>
      </c>
      <c r="J51" s="54">
        <v>4.4586844389658467</v>
      </c>
      <c r="K51" s="54"/>
      <c r="L51" s="54">
        <v>4.4586844389658467</v>
      </c>
    </row>
    <row r="52" spans="6:12" x14ac:dyDescent="0.3">
      <c r="F52" s="50">
        <v>38596</v>
      </c>
      <c r="G52" s="53">
        <v>92</v>
      </c>
      <c r="J52" s="54">
        <v>0.8558421587179339</v>
      </c>
      <c r="K52" s="54"/>
      <c r="L52" s="54">
        <v>0.8558421587179339</v>
      </c>
    </row>
    <row r="53" spans="6:12" x14ac:dyDescent="0.3">
      <c r="F53" s="50">
        <v>38626</v>
      </c>
      <c r="G53" s="53">
        <v>93.7</v>
      </c>
      <c r="J53" s="54">
        <v>2.5529998784700183</v>
      </c>
      <c r="K53" s="54"/>
      <c r="L53" s="54">
        <v>2.5529998784700183</v>
      </c>
    </row>
    <row r="54" spans="6:12" x14ac:dyDescent="0.3">
      <c r="F54" s="50">
        <v>38657</v>
      </c>
      <c r="G54" s="53">
        <v>92.4</v>
      </c>
      <c r="J54" s="54">
        <v>1.2501575982221027</v>
      </c>
      <c r="K54" s="54"/>
      <c r="L54" s="54">
        <v>1.2501575982221027</v>
      </c>
    </row>
    <row r="55" spans="6:12" x14ac:dyDescent="0.3">
      <c r="F55" s="50">
        <v>38687</v>
      </c>
      <c r="G55" s="53">
        <v>86.6</v>
      </c>
      <c r="J55" s="54">
        <v>-4.5526846820258413</v>
      </c>
      <c r="K55" s="54"/>
      <c r="L55" s="54">
        <v>-4.5526846820258413</v>
      </c>
    </row>
    <row r="56" spans="6:12" x14ac:dyDescent="0.3">
      <c r="F56" s="50">
        <v>38718</v>
      </c>
      <c r="G56" s="53">
        <v>83.7</v>
      </c>
      <c r="J56" s="54">
        <v>-7.4555269622737512</v>
      </c>
      <c r="K56" s="54"/>
      <c r="L56" s="54">
        <v>-7.4555269622737512</v>
      </c>
    </row>
    <row r="57" spans="6:12" x14ac:dyDescent="0.3">
      <c r="F57" s="50">
        <v>38749</v>
      </c>
      <c r="G57" s="53">
        <v>80.2</v>
      </c>
      <c r="J57" s="54">
        <v>-10.95836924252167</v>
      </c>
      <c r="K57" s="54"/>
      <c r="L57" s="54">
        <v>-10.95836924252167</v>
      </c>
    </row>
    <row r="58" spans="6:12" x14ac:dyDescent="0.3">
      <c r="F58" s="50">
        <v>38777</v>
      </c>
      <c r="G58" s="53">
        <v>92.4</v>
      </c>
      <c r="J58" s="54">
        <v>1.2387884772304147</v>
      </c>
      <c r="K58" s="54"/>
      <c r="L58" s="54">
        <v>1.2387884772304147</v>
      </c>
    </row>
    <row r="59" spans="6:12" x14ac:dyDescent="0.3">
      <c r="F59" s="50">
        <v>38808</v>
      </c>
      <c r="G59" s="53">
        <v>85.7</v>
      </c>
      <c r="J59" s="54">
        <v>-5.4640538030175065</v>
      </c>
      <c r="K59" s="54"/>
      <c r="L59" s="54">
        <v>-5.4640538030175065</v>
      </c>
    </row>
    <row r="60" spans="6:12" x14ac:dyDescent="0.3">
      <c r="F60" s="50">
        <v>38838</v>
      </c>
      <c r="G60" s="53">
        <v>95.4</v>
      </c>
      <c r="J60" s="54">
        <v>4.2331039167345779</v>
      </c>
      <c r="K60" s="54"/>
      <c r="L60" s="54">
        <v>4.2331039167345779</v>
      </c>
    </row>
    <row r="61" spans="6:12" x14ac:dyDescent="0.3">
      <c r="F61" s="50">
        <v>38869</v>
      </c>
      <c r="G61" s="53">
        <v>91.1</v>
      </c>
      <c r="J61" s="54">
        <v>-6.9738363513351942E-2</v>
      </c>
      <c r="K61" s="54"/>
      <c r="L61" s="54">
        <v>-6.9738363513351942E-2</v>
      </c>
    </row>
    <row r="62" spans="6:12" x14ac:dyDescent="0.3">
      <c r="F62" s="50">
        <v>38899</v>
      </c>
      <c r="G62" s="53">
        <v>93.8</v>
      </c>
      <c r="J62" s="54">
        <v>2.6274193562387183</v>
      </c>
      <c r="K62" s="54"/>
      <c r="L62" s="54">
        <v>2.6274193562387183</v>
      </c>
    </row>
    <row r="63" spans="6:12" x14ac:dyDescent="0.3">
      <c r="F63" s="50">
        <v>38930</v>
      </c>
      <c r="G63" s="53">
        <v>98.6</v>
      </c>
      <c r="J63" s="54">
        <v>7.424577075990797</v>
      </c>
      <c r="K63" s="54"/>
      <c r="L63" s="54">
        <v>7.424577075990797</v>
      </c>
    </row>
    <row r="64" spans="6:12" x14ac:dyDescent="0.3">
      <c r="F64" s="50">
        <v>38961</v>
      </c>
      <c r="G64" s="53">
        <v>93.2</v>
      </c>
      <c r="J64" s="54">
        <v>2.0217347957428871</v>
      </c>
      <c r="K64" s="54"/>
      <c r="L64" s="54">
        <v>2.0217347957428871</v>
      </c>
    </row>
    <row r="65" spans="6:12" x14ac:dyDescent="0.3">
      <c r="F65" s="50">
        <v>38991</v>
      </c>
      <c r="G65" s="53">
        <v>97.5</v>
      </c>
      <c r="J65" s="54">
        <v>6.3188925154949658</v>
      </c>
      <c r="K65" s="54"/>
      <c r="L65" s="54">
        <v>6.3188925154949658</v>
      </c>
    </row>
    <row r="66" spans="6:12" x14ac:dyDescent="0.3">
      <c r="F66" s="50">
        <v>39022</v>
      </c>
      <c r="G66" s="53">
        <v>95.9</v>
      </c>
      <c r="J66" s="54">
        <v>4.716050235247053</v>
      </c>
      <c r="K66" s="54"/>
      <c r="L66" s="54">
        <v>4.716050235247053</v>
      </c>
    </row>
    <row r="67" spans="6:12" x14ac:dyDescent="0.3">
      <c r="F67" s="50">
        <v>39052</v>
      </c>
      <c r="G67" s="53">
        <v>87</v>
      </c>
      <c r="J67" s="54">
        <v>-4.1867920450008711</v>
      </c>
      <c r="K67" s="54"/>
      <c r="L67" s="54">
        <v>-4.1867920450008711</v>
      </c>
    </row>
    <row r="68" spans="6:12" x14ac:dyDescent="0.3">
      <c r="F68" s="50">
        <v>39083</v>
      </c>
      <c r="G68" s="53">
        <v>87</v>
      </c>
      <c r="J68" s="54">
        <v>-4.1896343252488037</v>
      </c>
      <c r="K68" s="54"/>
      <c r="L68" s="54">
        <v>-4.1896343252488037</v>
      </c>
    </row>
    <row r="69" spans="6:12" x14ac:dyDescent="0.3">
      <c r="F69" s="50">
        <v>39114</v>
      </c>
      <c r="G69" s="53">
        <v>82.6</v>
      </c>
      <c r="J69" s="54">
        <v>-8.5924766054967279</v>
      </c>
      <c r="K69" s="54"/>
      <c r="L69" s="54">
        <v>-8.5924766054967279</v>
      </c>
    </row>
    <row r="70" spans="6:12" x14ac:dyDescent="0.3">
      <c r="F70" s="50">
        <v>39142</v>
      </c>
      <c r="G70" s="53">
        <v>96.4</v>
      </c>
      <c r="J70" s="54">
        <v>5.2046811142553651</v>
      </c>
      <c r="K70" s="54"/>
      <c r="L70" s="54">
        <v>5.2046811142553651</v>
      </c>
    </row>
    <row r="71" spans="6:12" x14ac:dyDescent="0.3">
      <c r="F71" s="50">
        <v>39173</v>
      </c>
      <c r="G71" s="53">
        <v>90.6</v>
      </c>
      <c r="J71" s="54">
        <v>-0.59816116599256475</v>
      </c>
      <c r="K71" s="54"/>
      <c r="L71" s="54">
        <v>-0.59816116599256475</v>
      </c>
    </row>
    <row r="72" spans="6:12" x14ac:dyDescent="0.3">
      <c r="F72" s="50">
        <v>39203</v>
      </c>
      <c r="G72" s="53">
        <v>99.9</v>
      </c>
      <c r="J72" s="54">
        <v>8.6989965537595282</v>
      </c>
      <c r="K72" s="54"/>
      <c r="L72" s="54">
        <v>8.6989965537595282</v>
      </c>
    </row>
    <row r="73" spans="6:12" x14ac:dyDescent="0.3">
      <c r="F73" s="50">
        <v>39234</v>
      </c>
      <c r="G73" s="53">
        <v>96.9</v>
      </c>
      <c r="J73" s="54">
        <v>5.6961542735116097</v>
      </c>
      <c r="K73" s="54"/>
      <c r="L73" s="54">
        <v>5.6961542735116097</v>
      </c>
    </row>
    <row r="74" spans="6:12" x14ac:dyDescent="0.3">
      <c r="F74" s="50">
        <v>39264</v>
      </c>
      <c r="G74" s="53">
        <v>99.8</v>
      </c>
      <c r="J74" s="54">
        <v>8.5933119932636828</v>
      </c>
      <c r="K74" s="54"/>
      <c r="L74" s="54">
        <v>8.5933119932636828</v>
      </c>
    </row>
    <row r="75" spans="6:12" x14ac:dyDescent="0.3">
      <c r="F75" s="50">
        <v>39295</v>
      </c>
      <c r="G75" s="53">
        <v>104.9</v>
      </c>
      <c r="J75" s="54">
        <v>13.690469713015759</v>
      </c>
      <c r="K75" s="54"/>
      <c r="L75" s="54">
        <v>13.690469713015759</v>
      </c>
    </row>
    <row r="76" spans="6:12" x14ac:dyDescent="0.3">
      <c r="F76" s="50">
        <v>39326</v>
      </c>
      <c r="G76" s="53">
        <v>98.4</v>
      </c>
      <c r="J76" s="54">
        <v>7.1876274327678402</v>
      </c>
      <c r="K76" s="54"/>
      <c r="L76" s="54">
        <v>7.1876274327678402</v>
      </c>
    </row>
    <row r="77" spans="6:12" x14ac:dyDescent="0.3">
      <c r="F77" s="50">
        <v>39356</v>
      </c>
      <c r="G77" s="53">
        <v>107.8</v>
      </c>
      <c r="J77" s="54">
        <v>16.584785152519913</v>
      </c>
      <c r="K77" s="54"/>
      <c r="L77" s="54">
        <v>16.584785152519913</v>
      </c>
    </row>
    <row r="78" spans="6:12" x14ac:dyDescent="0.3">
      <c r="F78" s="50">
        <v>39387</v>
      </c>
      <c r="G78" s="53">
        <v>102.4</v>
      </c>
      <c r="J78" s="54">
        <v>11.181942872272003</v>
      </c>
      <c r="K78" s="54"/>
      <c r="L78" s="54">
        <v>11.181942872272003</v>
      </c>
    </row>
    <row r="79" spans="6:12" x14ac:dyDescent="0.3">
      <c r="F79" s="50">
        <v>39417</v>
      </c>
      <c r="G79" s="53">
        <v>92.6</v>
      </c>
      <c r="J79" s="54">
        <v>1.3791005920240735</v>
      </c>
      <c r="K79" s="54"/>
      <c r="L79" s="54">
        <v>1.3791005920240735</v>
      </c>
    </row>
    <row r="80" spans="6:12" x14ac:dyDescent="0.3">
      <c r="F80" s="50">
        <v>39448</v>
      </c>
      <c r="G80" s="53">
        <v>94.8</v>
      </c>
      <c r="J80" s="54">
        <v>3.5762583117761579</v>
      </c>
      <c r="K80" s="54"/>
      <c r="L80" s="54">
        <v>3.5762583117761579</v>
      </c>
    </row>
    <row r="81" spans="6:12" x14ac:dyDescent="0.3">
      <c r="F81" s="50">
        <v>39479</v>
      </c>
      <c r="G81" s="53">
        <v>91.1</v>
      </c>
      <c r="J81" s="54">
        <v>-0.12658396847177755</v>
      </c>
      <c r="K81" s="54"/>
      <c r="L81" s="54">
        <v>-0.12658396847177755</v>
      </c>
    </row>
    <row r="82" spans="6:12" x14ac:dyDescent="0.3">
      <c r="F82" s="50">
        <v>39508</v>
      </c>
      <c r="G82" s="53">
        <v>97.7</v>
      </c>
      <c r="J82" s="54">
        <v>6.4705737512803125</v>
      </c>
      <c r="K82" s="54"/>
      <c r="L82" s="54">
        <v>6.4705737512803125</v>
      </c>
    </row>
    <row r="83" spans="6:12" x14ac:dyDescent="0.3">
      <c r="F83" s="50">
        <v>39539</v>
      </c>
      <c r="G83" s="53">
        <v>99.2</v>
      </c>
      <c r="J83" s="54">
        <v>7.9677314710323941</v>
      </c>
      <c r="K83" s="54"/>
      <c r="L83" s="54">
        <v>7.9677314710323941</v>
      </c>
    </row>
    <row r="84" spans="6:12" x14ac:dyDescent="0.3">
      <c r="F84" s="50">
        <v>39569</v>
      </c>
      <c r="G84" s="53">
        <v>102.5</v>
      </c>
      <c r="J84" s="54">
        <v>11.264889190784473</v>
      </c>
      <c r="K84" s="54"/>
      <c r="L84" s="54">
        <v>11.264889190784473</v>
      </c>
    </row>
    <row r="85" spans="6:12" x14ac:dyDescent="0.3">
      <c r="F85" s="50">
        <v>39600</v>
      </c>
      <c r="G85" s="53">
        <v>103.3</v>
      </c>
      <c r="J85" s="54">
        <v>12.062046910536552</v>
      </c>
      <c r="K85" s="54"/>
      <c r="L85" s="54">
        <v>12.062046910536552</v>
      </c>
    </row>
    <row r="86" spans="6:12" x14ac:dyDescent="0.3">
      <c r="F86" s="50">
        <v>39630</v>
      </c>
      <c r="G86" s="53">
        <v>108.5</v>
      </c>
      <c r="J86" s="54">
        <v>17.259204630288636</v>
      </c>
      <c r="K86" s="54"/>
      <c r="L86" s="54">
        <v>17.259204630288636</v>
      </c>
    </row>
    <row r="87" spans="6:12" x14ac:dyDescent="0.3">
      <c r="F87" s="50">
        <v>39661</v>
      </c>
      <c r="G87" s="53">
        <v>106.9</v>
      </c>
      <c r="J87" s="54">
        <v>15.656362350040723</v>
      </c>
      <c r="K87" s="54"/>
      <c r="L87" s="54">
        <v>15.656362350040723</v>
      </c>
    </row>
    <row r="88" spans="6:12" x14ac:dyDescent="0.3">
      <c r="F88" s="50">
        <v>39692</v>
      </c>
      <c r="G88" s="53">
        <v>107.3</v>
      </c>
      <c r="J88" s="54">
        <v>16.053520069792782</v>
      </c>
      <c r="K88" s="54"/>
      <c r="L88" s="54">
        <v>16.053520069792782</v>
      </c>
    </row>
    <row r="89" spans="6:12" x14ac:dyDescent="0.3">
      <c r="F89" s="50">
        <v>39722</v>
      </c>
      <c r="G89" s="53">
        <v>108.4</v>
      </c>
      <c r="J89" s="54">
        <v>17.150677789544872</v>
      </c>
      <c r="K89" s="54"/>
      <c r="L89" s="54">
        <v>17.150677789544872</v>
      </c>
    </row>
    <row r="90" spans="6:12" x14ac:dyDescent="0.3">
      <c r="F90" s="50">
        <v>39753</v>
      </c>
      <c r="G90" s="53">
        <v>96.2</v>
      </c>
      <c r="J90" s="54">
        <v>4.9478355092969508</v>
      </c>
      <c r="K90" s="54"/>
      <c r="L90" s="54">
        <v>4.9478355092969508</v>
      </c>
    </row>
    <row r="91" spans="6:12" x14ac:dyDescent="0.3">
      <c r="F91" s="50">
        <v>39783</v>
      </c>
      <c r="G91" s="53">
        <v>79.099999999999994</v>
      </c>
      <c r="J91" s="54">
        <v>-12.155006770950976</v>
      </c>
      <c r="K91" s="54"/>
      <c r="L91" s="54">
        <v>-12.155006770950976</v>
      </c>
    </row>
    <row r="92" spans="6:12" x14ac:dyDescent="0.3">
      <c r="F92" s="50">
        <v>39814</v>
      </c>
      <c r="G92" s="53">
        <v>78.7</v>
      </c>
      <c r="J92" s="54">
        <v>-12.557849051198886</v>
      </c>
      <c r="K92" s="54"/>
      <c r="L92" s="54">
        <v>-12.557849051198886</v>
      </c>
    </row>
    <row r="93" spans="6:12" x14ac:dyDescent="0.3">
      <c r="F93" s="50">
        <v>39845</v>
      </c>
      <c r="G93" s="53">
        <v>76.099999999999994</v>
      </c>
      <c r="J93" s="54">
        <v>-15.160691331446813</v>
      </c>
      <c r="K93" s="54"/>
      <c r="L93" s="54">
        <v>-15.160691331446813</v>
      </c>
    </row>
    <row r="94" spans="6:12" x14ac:dyDescent="0.3">
      <c r="F94" s="50">
        <v>39873</v>
      </c>
      <c r="G94" s="53">
        <v>88.6</v>
      </c>
      <c r="J94" s="54">
        <v>-2.6635336116947457</v>
      </c>
      <c r="K94" s="54"/>
      <c r="L94" s="54">
        <v>-2.6635336116947457</v>
      </c>
    </row>
    <row r="95" spans="6:12" x14ac:dyDescent="0.3">
      <c r="F95" s="50">
        <v>39904</v>
      </c>
      <c r="G95" s="53">
        <v>85.2</v>
      </c>
      <c r="J95" s="54">
        <v>-6.0663758919426556</v>
      </c>
      <c r="K95" s="54"/>
      <c r="L95" s="54">
        <v>-6.0663758919426556</v>
      </c>
    </row>
    <row r="96" spans="6:12" x14ac:dyDescent="0.3">
      <c r="F96" s="50">
        <v>39934</v>
      </c>
      <c r="G96" s="53">
        <v>91.3</v>
      </c>
      <c r="J96" s="54">
        <v>3.0781827809420292E-2</v>
      </c>
      <c r="K96" s="54"/>
      <c r="L96" s="54">
        <v>3.0781827809420292E-2</v>
      </c>
    </row>
    <row r="97" spans="6:12" x14ac:dyDescent="0.3">
      <c r="F97" s="50">
        <v>39965</v>
      </c>
      <c r="G97" s="53">
        <v>92.2</v>
      </c>
      <c r="J97" s="54">
        <v>0.92793954756150754</v>
      </c>
      <c r="K97" s="54"/>
      <c r="L97" s="54">
        <v>0.92793954756150754</v>
      </c>
    </row>
    <row r="98" spans="6:12" x14ac:dyDescent="0.3">
      <c r="F98" s="50">
        <v>39995</v>
      </c>
      <c r="G98" s="53">
        <v>97.7</v>
      </c>
      <c r="J98" s="54">
        <v>6.4250972673135891</v>
      </c>
      <c r="K98" s="54"/>
      <c r="L98" s="54">
        <v>6.4250972673135891</v>
      </c>
    </row>
    <row r="99" spans="6:12" x14ac:dyDescent="0.3">
      <c r="F99" s="50">
        <v>40026</v>
      </c>
      <c r="G99" s="53">
        <v>99.6</v>
      </c>
      <c r="J99" s="54">
        <v>8.3222549870656621</v>
      </c>
      <c r="K99" s="54"/>
      <c r="L99" s="54">
        <v>8.3222549870656621</v>
      </c>
    </row>
    <row r="100" spans="6:12" x14ac:dyDescent="0.3">
      <c r="F100" s="50">
        <v>40057</v>
      </c>
      <c r="G100" s="53">
        <v>99.4</v>
      </c>
      <c r="J100" s="54">
        <v>8.1194127068177409</v>
      </c>
      <c r="K100" s="54"/>
      <c r="L100" s="54">
        <v>8.1194127068177409</v>
      </c>
    </row>
    <row r="101" spans="6:12" x14ac:dyDescent="0.3">
      <c r="F101" s="50">
        <v>40087</v>
      </c>
      <c r="G101" s="53">
        <v>105.6</v>
      </c>
      <c r="J101" s="54">
        <v>14.316570426569811</v>
      </c>
      <c r="K101" s="54"/>
      <c r="L101" s="54">
        <v>14.316570426569811</v>
      </c>
    </row>
    <row r="102" spans="6:12" x14ac:dyDescent="0.3">
      <c r="F102" s="50">
        <v>40118</v>
      </c>
      <c r="G102" s="53">
        <v>101.4</v>
      </c>
      <c r="J102" s="54">
        <v>10.113728146321904</v>
      </c>
      <c r="K102" s="54"/>
      <c r="L102" s="54">
        <v>10.113728146321904</v>
      </c>
    </row>
    <row r="103" spans="6:12" x14ac:dyDescent="0.3">
      <c r="F103" s="50">
        <v>40148</v>
      </c>
      <c r="G103" s="53">
        <v>94.1</v>
      </c>
      <c r="J103" s="54">
        <v>2.8108858660739742</v>
      </c>
      <c r="K103" s="54"/>
      <c r="L103" s="54">
        <v>2.8108858660739742</v>
      </c>
    </row>
    <row r="104" spans="6:12" x14ac:dyDescent="0.3">
      <c r="F104" s="50">
        <v>40179</v>
      </c>
      <c r="G104" s="53">
        <v>91.2</v>
      </c>
      <c r="J104" s="54">
        <v>-9.1956414173935741E-2</v>
      </c>
      <c r="K104" s="54"/>
      <c r="L104" s="54">
        <v>-9.1956414173935741E-2</v>
      </c>
    </row>
    <row r="105" spans="6:12" x14ac:dyDescent="0.3">
      <c r="F105" s="50">
        <v>40210</v>
      </c>
      <c r="G105" s="53">
        <v>89</v>
      </c>
      <c r="J105" s="54">
        <v>-2.294798694421857</v>
      </c>
      <c r="K105" s="54"/>
      <c r="L105" s="54">
        <v>-2.294798694421857</v>
      </c>
    </row>
    <row r="106" spans="6:12" x14ac:dyDescent="0.3">
      <c r="F106" s="50">
        <v>40238</v>
      </c>
      <c r="G106" s="53">
        <v>105.1</v>
      </c>
      <c r="J106" s="54">
        <v>13.802359025330219</v>
      </c>
      <c r="K106" s="54"/>
      <c r="L106" s="54">
        <v>13.802359025330219</v>
      </c>
    </row>
    <row r="107" spans="6:12" x14ac:dyDescent="0.3">
      <c r="F107" s="50">
        <v>40269</v>
      </c>
      <c r="G107" s="53">
        <v>99.3</v>
      </c>
      <c r="J107" s="54">
        <v>7.999516745082289</v>
      </c>
      <c r="K107" s="54"/>
      <c r="L107" s="54">
        <v>7.999516745082289</v>
      </c>
    </row>
    <row r="108" spans="6:12" x14ac:dyDescent="0.3">
      <c r="F108" s="50">
        <v>40299</v>
      </c>
      <c r="G108" s="53">
        <v>104.3</v>
      </c>
      <c r="J108" s="54">
        <v>12.996674464834371</v>
      </c>
      <c r="K108" s="54"/>
      <c r="L108" s="54">
        <v>12.996674464834371</v>
      </c>
    </row>
    <row r="109" spans="6:12" x14ac:dyDescent="0.3">
      <c r="F109" s="50">
        <v>40330</v>
      </c>
      <c r="G109" s="53">
        <v>102.5</v>
      </c>
      <c r="J109" s="54">
        <v>11.193832184586455</v>
      </c>
      <c r="K109" s="54"/>
      <c r="L109" s="54">
        <v>11.193832184586455</v>
      </c>
    </row>
    <row r="110" spans="6:12" x14ac:dyDescent="0.3">
      <c r="F110" s="50">
        <v>40360</v>
      </c>
      <c r="G110" s="53">
        <v>106.9</v>
      </c>
      <c r="J110" s="54">
        <v>15.590989904338542</v>
      </c>
      <c r="K110" s="54"/>
      <c r="L110" s="54">
        <v>15.590989904338542</v>
      </c>
    </row>
    <row r="111" spans="6:12" x14ac:dyDescent="0.3">
      <c r="F111" s="50">
        <v>40391</v>
      </c>
      <c r="G111" s="53">
        <v>108.1</v>
      </c>
      <c r="J111" s="54">
        <v>16.788147624090612</v>
      </c>
      <c r="K111" s="54"/>
      <c r="L111" s="54">
        <v>16.788147624090612</v>
      </c>
    </row>
    <row r="112" spans="6:12" x14ac:dyDescent="0.3">
      <c r="F112" s="50">
        <v>40422</v>
      </c>
      <c r="G112" s="53">
        <v>105.8</v>
      </c>
      <c r="J112" s="54">
        <v>14.485305343842697</v>
      </c>
      <c r="K112" s="54"/>
      <c r="L112" s="54">
        <v>14.485305343842697</v>
      </c>
    </row>
    <row r="113" spans="6:12" x14ac:dyDescent="0.3">
      <c r="F113" s="50">
        <v>40452</v>
      </c>
      <c r="G113" s="53">
        <v>107.7</v>
      </c>
      <c r="J113" s="54">
        <v>16.38246306359477</v>
      </c>
      <c r="K113" s="54"/>
      <c r="L113" s="54">
        <v>16.38246306359477</v>
      </c>
    </row>
    <row r="114" spans="6:12" x14ac:dyDescent="0.3">
      <c r="F114" s="50">
        <v>40483</v>
      </c>
      <c r="G114" s="53">
        <v>106.8</v>
      </c>
      <c r="J114" s="54">
        <v>15.479620783346846</v>
      </c>
      <c r="K114" s="54"/>
      <c r="L114" s="54">
        <v>15.479620783346846</v>
      </c>
    </row>
    <row r="115" spans="6:12" x14ac:dyDescent="0.3">
      <c r="F115" s="50">
        <v>40513</v>
      </c>
      <c r="G115" s="53">
        <v>96.6</v>
      </c>
      <c r="J115" s="54">
        <v>5.2767785030989245</v>
      </c>
      <c r="K115" s="54"/>
      <c r="L115" s="54">
        <v>5.2767785030989245</v>
      </c>
    </row>
    <row r="116" spans="6:12" x14ac:dyDescent="0.3">
      <c r="F116" s="50">
        <v>40544</v>
      </c>
      <c r="G116" s="53">
        <v>93.2</v>
      </c>
      <c r="J116" s="54">
        <v>1.8739362228510146</v>
      </c>
      <c r="K116" s="54"/>
      <c r="L116" s="54">
        <v>1.8739362228510146</v>
      </c>
    </row>
    <row r="117" spans="6:12" x14ac:dyDescent="0.3">
      <c r="F117" s="50">
        <v>40575</v>
      </c>
      <c r="G117" s="53">
        <v>95.4</v>
      </c>
      <c r="J117" s="54">
        <v>4.071093942603099</v>
      </c>
      <c r="K117" s="54"/>
      <c r="L117" s="54">
        <v>4.071093942603099</v>
      </c>
    </row>
    <row r="118" spans="6:12" x14ac:dyDescent="0.3">
      <c r="F118" s="50">
        <v>40603</v>
      </c>
      <c r="G118" s="53">
        <v>104.4</v>
      </c>
      <c r="J118" s="54">
        <v>13.068251662355181</v>
      </c>
      <c r="K118" s="54"/>
      <c r="L118" s="54">
        <v>13.068251662355181</v>
      </c>
    </row>
    <row r="119" spans="6:12" x14ac:dyDescent="0.3">
      <c r="F119" s="50">
        <v>40634</v>
      </c>
      <c r="G119" s="53">
        <v>97.5</v>
      </c>
      <c r="J119" s="54">
        <v>6.1654093821072422</v>
      </c>
      <c r="K119" s="54"/>
      <c r="L119" s="54">
        <v>6.1654093821072422</v>
      </c>
    </row>
    <row r="120" spans="6:12" x14ac:dyDescent="0.3">
      <c r="F120" s="50">
        <v>40664</v>
      </c>
      <c r="G120" s="53">
        <v>107.1</v>
      </c>
      <c r="J120" s="54">
        <v>15.762567101859318</v>
      </c>
      <c r="K120" s="54"/>
      <c r="L120" s="54">
        <v>15.762567101859318</v>
      </c>
    </row>
    <row r="121" spans="6:12" x14ac:dyDescent="0.3">
      <c r="F121" s="50">
        <v>40695</v>
      </c>
      <c r="G121" s="53">
        <v>102.8</v>
      </c>
      <c r="J121" s="54">
        <v>11.459724821611402</v>
      </c>
      <c r="K121" s="54"/>
      <c r="L121" s="54">
        <v>11.459724821611402</v>
      </c>
    </row>
    <row r="122" spans="6:12" x14ac:dyDescent="0.3">
      <c r="F122" s="50">
        <v>40725</v>
      </c>
      <c r="G122" s="53">
        <v>106.1</v>
      </c>
      <c r="J122" s="54">
        <v>14.756882541363481</v>
      </c>
      <c r="K122" s="54"/>
      <c r="L122" s="54">
        <v>14.756882541363481</v>
      </c>
    </row>
    <row r="123" spans="6:12" x14ac:dyDescent="0.3">
      <c r="F123" s="50">
        <v>40756</v>
      </c>
      <c r="G123" s="53">
        <v>110.8</v>
      </c>
      <c r="J123" s="54">
        <v>19.454040261115566</v>
      </c>
      <c r="K123" s="54"/>
      <c r="L123" s="54">
        <v>19.454040261115566</v>
      </c>
    </row>
    <row r="124" spans="6:12" x14ac:dyDescent="0.3">
      <c r="F124" s="50">
        <v>40787</v>
      </c>
      <c r="G124" s="53">
        <v>104.8</v>
      </c>
      <c r="J124" s="54">
        <v>13.451197980867647</v>
      </c>
      <c r="K124" s="54"/>
      <c r="L124" s="54">
        <v>13.451197980867647</v>
      </c>
    </row>
    <row r="125" spans="6:12" x14ac:dyDescent="0.3">
      <c r="F125" s="50">
        <v>40817</v>
      </c>
      <c r="G125" s="53">
        <v>106.3</v>
      </c>
      <c r="J125" s="54">
        <v>14.948355700619729</v>
      </c>
      <c r="K125" s="54"/>
      <c r="L125" s="54">
        <v>14.948355700619729</v>
      </c>
    </row>
    <row r="126" spans="6:12" x14ac:dyDescent="0.3">
      <c r="F126" s="50">
        <v>40848</v>
      </c>
      <c r="G126" s="53">
        <v>104.2</v>
      </c>
      <c r="J126" s="54">
        <v>12.845513420371802</v>
      </c>
      <c r="K126" s="54"/>
      <c r="L126" s="54">
        <v>12.845513420371802</v>
      </c>
    </row>
    <row r="127" spans="6:12" x14ac:dyDescent="0.3">
      <c r="F127" s="50">
        <v>40878</v>
      </c>
      <c r="G127" s="53">
        <v>95.7</v>
      </c>
      <c r="J127" s="54">
        <v>4.3426711401238833</v>
      </c>
      <c r="K127" s="54"/>
      <c r="L127" s="54">
        <v>4.3426711401238833</v>
      </c>
    </row>
    <row r="128" spans="6:12" x14ac:dyDescent="0.3">
      <c r="F128" s="50">
        <v>40909</v>
      </c>
      <c r="G128" s="53">
        <v>88.7</v>
      </c>
      <c r="J128" s="54">
        <v>-2.6601711401240351</v>
      </c>
      <c r="K128" s="54"/>
      <c r="L128" s="54">
        <v>-2.6601711401240351</v>
      </c>
    </row>
    <row r="129" spans="6:12" x14ac:dyDescent="0.3">
      <c r="F129" s="50">
        <v>40940</v>
      </c>
      <c r="G129" s="53">
        <v>89.8</v>
      </c>
      <c r="J129" s="54">
        <v>-1.5630134203719592</v>
      </c>
      <c r="K129" s="54"/>
      <c r="L129" s="54">
        <v>-1.5630134203719592</v>
      </c>
    </row>
    <row r="130" spans="6:12" x14ac:dyDescent="0.3">
      <c r="F130" s="50">
        <v>40969</v>
      </c>
      <c r="G130" s="53">
        <v>99.7</v>
      </c>
      <c r="J130" s="54">
        <v>8.334144299380128</v>
      </c>
      <c r="K130" s="54"/>
      <c r="L130" s="54">
        <v>8.334144299380128</v>
      </c>
    </row>
    <row r="131" spans="6:12" x14ac:dyDescent="0.3">
      <c r="F131" s="50">
        <v>41000</v>
      </c>
      <c r="G131" s="53">
        <v>92.8</v>
      </c>
      <c r="J131" s="54">
        <v>1.4313020191322039</v>
      </c>
      <c r="K131" s="54"/>
      <c r="L131" s="54">
        <v>1.4313020191322039</v>
      </c>
    </row>
    <row r="132" spans="6:12" x14ac:dyDescent="0.3">
      <c r="F132" s="50">
        <v>41030</v>
      </c>
      <c r="G132" s="53">
        <v>102.5</v>
      </c>
      <c r="J132" s="54">
        <v>11.128459738884274</v>
      </c>
      <c r="K132" s="54"/>
      <c r="L132" s="54">
        <v>11.128459738884274</v>
      </c>
    </row>
    <row r="133" spans="6:12" x14ac:dyDescent="0.3">
      <c r="F133" s="50">
        <v>41061</v>
      </c>
      <c r="G133" s="53">
        <v>98.3</v>
      </c>
      <c r="J133" s="54">
        <v>6.9256174586363528</v>
      </c>
      <c r="K133" s="54"/>
      <c r="L133" s="54">
        <v>6.9256174586363528</v>
      </c>
    </row>
    <row r="134" spans="6:12" x14ac:dyDescent="0.3">
      <c r="F134" s="50">
        <v>41091</v>
      </c>
      <c r="G134" s="53">
        <v>104.5</v>
      </c>
      <c r="J134" s="54">
        <v>13.122775178388437</v>
      </c>
      <c r="K134" s="54"/>
      <c r="L134" s="54">
        <v>13.122775178388437</v>
      </c>
    </row>
    <row r="135" spans="6:12" x14ac:dyDescent="0.3">
      <c r="F135" s="50">
        <v>41122</v>
      </c>
      <c r="G135" s="53">
        <v>111.5</v>
      </c>
      <c r="J135" s="54">
        <v>20.119932898140519</v>
      </c>
      <c r="K135" s="54"/>
      <c r="L135" s="54">
        <v>20.119932898140519</v>
      </c>
    </row>
    <row r="136" spans="6:12" x14ac:dyDescent="0.3">
      <c r="F136" s="50">
        <v>41153</v>
      </c>
      <c r="G136" s="53">
        <v>103.4</v>
      </c>
      <c r="J136" s="54">
        <v>12.017090617892606</v>
      </c>
      <c r="K136" s="54"/>
      <c r="L136" s="54">
        <v>12.017090617892606</v>
      </c>
    </row>
    <row r="137" spans="6:12" x14ac:dyDescent="0.3">
      <c r="F137" s="50">
        <v>41183</v>
      </c>
      <c r="G137" s="53">
        <v>111.8</v>
      </c>
      <c r="J137" s="54">
        <v>20.414248337644679</v>
      </c>
      <c r="K137" s="54"/>
      <c r="L137" s="54">
        <v>20.414248337644679</v>
      </c>
    </row>
    <row r="138" spans="6:12" x14ac:dyDescent="0.3">
      <c r="F138" s="50">
        <v>41214</v>
      </c>
      <c r="G138" s="53">
        <v>104.8</v>
      </c>
      <c r="J138" s="54">
        <v>13.411406057396761</v>
      </c>
      <c r="K138" s="54"/>
      <c r="L138" s="54">
        <v>13.411406057396761</v>
      </c>
    </row>
    <row r="139" spans="6:12" x14ac:dyDescent="0.3">
      <c r="F139" s="50">
        <v>41244</v>
      </c>
      <c r="G139" s="53">
        <v>92.2</v>
      </c>
      <c r="J139" s="54">
        <v>0.80856377714883365</v>
      </c>
      <c r="K139" s="54"/>
      <c r="L139" s="54">
        <v>0.80856377714883365</v>
      </c>
    </row>
    <row r="140" spans="6:12" x14ac:dyDescent="0.3">
      <c r="F140" s="50">
        <v>41275</v>
      </c>
      <c r="G140" s="53">
        <v>94.5</v>
      </c>
      <c r="J140" s="54">
        <v>3.1057214969009124</v>
      </c>
      <c r="K140" s="54"/>
      <c r="L140" s="54">
        <v>3.1057214969009124</v>
      </c>
    </row>
    <row r="141" spans="6:12" x14ac:dyDescent="0.3">
      <c r="F141" s="50">
        <v>41306</v>
      </c>
      <c r="G141" s="53">
        <v>88.1</v>
      </c>
      <c r="J141" s="54">
        <v>-3.2971207833470118</v>
      </c>
      <c r="K141" s="54"/>
      <c r="L141" s="54">
        <v>-3.2971207833470118</v>
      </c>
    </row>
    <row r="142" spans="6:12" x14ac:dyDescent="0.3">
      <c r="F142" s="50">
        <v>41334</v>
      </c>
      <c r="G142" s="53">
        <v>97.7</v>
      </c>
      <c r="J142" s="54">
        <v>6.3000369364050783</v>
      </c>
      <c r="K142" s="54"/>
      <c r="L142" s="54">
        <v>6.3000369364050783</v>
      </c>
    </row>
    <row r="143" spans="6:12" x14ac:dyDescent="0.3">
      <c r="F143" s="50">
        <v>41365</v>
      </c>
      <c r="G143" s="53">
        <v>101.8</v>
      </c>
      <c r="J143" s="54">
        <v>10.397194656157154</v>
      </c>
      <c r="K143" s="54"/>
      <c r="L143" s="54">
        <v>10.397194656157154</v>
      </c>
    </row>
    <row r="144" spans="6:12" x14ac:dyDescent="0.3">
      <c r="F144" s="50">
        <v>41395</v>
      </c>
      <c r="G144" s="53">
        <v>105</v>
      </c>
      <c r="J144" s="54">
        <v>13.594352375909239</v>
      </c>
      <c r="K144" s="54"/>
      <c r="L144" s="54">
        <v>13.594352375909239</v>
      </c>
    </row>
    <row r="145" spans="6:12" x14ac:dyDescent="0.3">
      <c r="F145" s="50">
        <v>41426</v>
      </c>
      <c r="G145" s="53">
        <v>101.7</v>
      </c>
      <c r="J145" s="54">
        <v>10.291510095661309</v>
      </c>
      <c r="K145" s="54"/>
      <c r="L145" s="54">
        <v>10.291510095661309</v>
      </c>
    </row>
    <row r="146" spans="6:12" x14ac:dyDescent="0.3">
      <c r="F146" s="50">
        <v>41456</v>
      </c>
      <c r="G146" s="53">
        <v>108</v>
      </c>
      <c r="J146" s="54">
        <v>16.588667815413388</v>
      </c>
      <c r="K146" s="54"/>
      <c r="L146" s="54">
        <v>16.588667815413388</v>
      </c>
    </row>
    <row r="147" spans="6:12" x14ac:dyDescent="0.3">
      <c r="F147" s="50">
        <v>41487</v>
      </c>
      <c r="G147" s="53">
        <v>112</v>
      </c>
      <c r="J147" s="54">
        <v>20.585825535165469</v>
      </c>
      <c r="K147" s="54"/>
      <c r="L147" s="54">
        <v>20.585825535165469</v>
      </c>
    </row>
    <row r="148" spans="6:12" x14ac:dyDescent="0.3">
      <c r="F148" s="50">
        <v>41518</v>
      </c>
      <c r="G148" s="53">
        <v>107.3</v>
      </c>
      <c r="J148" s="54">
        <v>15.882983254917548</v>
      </c>
      <c r="K148" s="54"/>
      <c r="L148" s="54">
        <v>15.882983254917548</v>
      </c>
    </row>
    <row r="149" spans="6:12" x14ac:dyDescent="0.3">
      <c r="F149" s="50">
        <v>41548</v>
      </c>
      <c r="G149" s="53">
        <v>112.6</v>
      </c>
      <c r="J149" s="54">
        <v>21.180140974669627</v>
      </c>
      <c r="K149" s="54"/>
      <c r="L149" s="54">
        <v>21.180140974669627</v>
      </c>
    </row>
    <row r="150" spans="6:12" x14ac:dyDescent="0.3">
      <c r="F150" s="50">
        <v>41579</v>
      </c>
      <c r="G150" s="53">
        <v>106.1</v>
      </c>
      <c r="J150" s="54">
        <v>14.677298694421708</v>
      </c>
      <c r="K150" s="54"/>
      <c r="L150" s="54">
        <v>14.677298694421708</v>
      </c>
    </row>
    <row r="151" spans="6:12" x14ac:dyDescent="0.3">
      <c r="F151" s="50">
        <v>41609</v>
      </c>
      <c r="G151" s="53">
        <v>90.1</v>
      </c>
      <c r="J151" s="54">
        <v>-1.3255435858262103</v>
      </c>
      <c r="K151" s="54"/>
      <c r="L151" s="54">
        <v>-1.3255435858262103</v>
      </c>
    </row>
    <row r="152" spans="6:12" x14ac:dyDescent="0.3">
      <c r="F152" s="50">
        <v>41640</v>
      </c>
      <c r="G152" s="53">
        <v>92.6</v>
      </c>
      <c r="J152" s="54">
        <v>1.171614133925857</v>
      </c>
      <c r="K152" s="54"/>
      <c r="L152" s="54">
        <v>1.171614133925857</v>
      </c>
    </row>
    <row r="153" spans="6:12" x14ac:dyDescent="0.3">
      <c r="F153" s="50">
        <v>41671</v>
      </c>
      <c r="G153" s="53">
        <v>92.3</v>
      </c>
      <c r="J153" s="54">
        <v>0.86877185367794141</v>
      </c>
      <c r="K153" s="54"/>
      <c r="L153" s="54">
        <v>0.86877185367794141</v>
      </c>
    </row>
    <row r="154" spans="6:12" x14ac:dyDescent="0.3">
      <c r="F154" s="50">
        <v>41699</v>
      </c>
      <c r="G154" s="53">
        <v>97.3</v>
      </c>
      <c r="J154" s="54">
        <v>5.865929573430023</v>
      </c>
      <c r="K154" s="54"/>
      <c r="L154" s="54">
        <v>5.865929573430023</v>
      </c>
    </row>
    <row r="155" spans="6:12" x14ac:dyDescent="0.3">
      <c r="F155" s="50">
        <v>41730</v>
      </c>
      <c r="G155" s="53">
        <v>96</v>
      </c>
      <c r="J155" s="54">
        <v>4.5630872931821074</v>
      </c>
      <c r="K155" s="54"/>
      <c r="L155" s="54">
        <v>4.5630872931821074</v>
      </c>
    </row>
    <row r="156" spans="6:12" x14ac:dyDescent="0.3">
      <c r="F156" s="50">
        <v>41760</v>
      </c>
      <c r="G156" s="53">
        <v>101.7</v>
      </c>
      <c r="J156" s="54">
        <v>10.260245012934192</v>
      </c>
      <c r="K156" s="54"/>
      <c r="L156" s="54">
        <v>10.260245012934192</v>
      </c>
    </row>
    <row r="157" spans="6:12" x14ac:dyDescent="0.3">
      <c r="F157" s="50">
        <v>41791</v>
      </c>
      <c r="G157" s="53">
        <v>94.9</v>
      </c>
      <c r="J157" s="54">
        <v>3.4574027326862762</v>
      </c>
      <c r="K157" s="54"/>
      <c r="L157" s="54">
        <v>3.4574027326862762</v>
      </c>
    </row>
    <row r="158" spans="6:12" x14ac:dyDescent="0.3">
      <c r="F158" s="50">
        <v>41821</v>
      </c>
      <c r="G158" s="53">
        <v>104.4</v>
      </c>
      <c r="J158" s="54">
        <v>12.954560452438344</v>
      </c>
      <c r="K158" s="54"/>
      <c r="L158" s="54">
        <v>12.954560452438344</v>
      </c>
    </row>
    <row r="159" spans="6:12" x14ac:dyDescent="0.3">
      <c r="F159" s="50">
        <v>41852</v>
      </c>
      <c r="G159" s="53">
        <v>106.3</v>
      </c>
      <c r="J159" s="54">
        <v>14.851718172190417</v>
      </c>
      <c r="K159" s="54"/>
      <c r="L159" s="54">
        <v>14.851718172190417</v>
      </c>
    </row>
    <row r="160" spans="6:12" x14ac:dyDescent="0.3">
      <c r="F160" s="50">
        <v>41883</v>
      </c>
      <c r="G160" s="53">
        <v>105.6</v>
      </c>
      <c r="J160" s="54">
        <v>14.148875891942495</v>
      </c>
      <c r="K160" s="54"/>
      <c r="L160" s="54">
        <v>14.148875891942495</v>
      </c>
    </row>
    <row r="161" spans="6:12" x14ac:dyDescent="0.3">
      <c r="F161" s="50">
        <v>41913</v>
      </c>
      <c r="G161" s="53">
        <v>109.3</v>
      </c>
      <c r="J161" s="54">
        <v>17.84603361169458</v>
      </c>
      <c r="K161" s="54"/>
      <c r="L161" s="54">
        <v>17.84603361169458</v>
      </c>
    </row>
    <row r="162" spans="6:12" x14ac:dyDescent="0.3">
      <c r="F162" s="50">
        <v>41944</v>
      </c>
      <c r="G162" s="53">
        <v>99.8</v>
      </c>
      <c r="J162" s="54">
        <v>8.3431913314466613</v>
      </c>
      <c r="K162" s="54"/>
      <c r="L162" s="54">
        <v>8.3431913314466613</v>
      </c>
    </row>
    <row r="163" spans="6:12" x14ac:dyDescent="0.3">
      <c r="F163" s="50">
        <v>41974</v>
      </c>
      <c r="G163" s="53">
        <v>87.7</v>
      </c>
      <c r="J163" s="54">
        <v>-3.7596509488012515</v>
      </c>
      <c r="K163" s="54"/>
      <c r="L163" s="54">
        <v>-3.7596509488012515</v>
      </c>
    </row>
    <row r="164" spans="6:12" x14ac:dyDescent="0.3">
      <c r="F164" s="50">
        <v>42005</v>
      </c>
      <c r="G164" s="53">
        <v>88.1</v>
      </c>
      <c r="J164" s="54">
        <v>-3.3624932290491927</v>
      </c>
      <c r="K164" s="54"/>
      <c r="L164" s="54">
        <v>-3.3624932290491927</v>
      </c>
    </row>
    <row r="165" spans="6:12" x14ac:dyDescent="0.3">
      <c r="F165" s="50">
        <v>42036</v>
      </c>
      <c r="G165" s="53">
        <v>83.7</v>
      </c>
      <c r="J165" s="54">
        <v>-7.7653355092971026</v>
      </c>
      <c r="K165" s="54"/>
      <c r="L165" s="54">
        <v>-7.7653355092971026</v>
      </c>
    </row>
    <row r="166" spans="6:12" x14ac:dyDescent="0.3">
      <c r="F166" s="50">
        <v>42064</v>
      </c>
      <c r="G166" s="53">
        <v>94.3</v>
      </c>
      <c r="J166" s="54">
        <v>2.8318222104549733</v>
      </c>
      <c r="K166" s="54"/>
      <c r="L166" s="54">
        <v>2.8318222104549733</v>
      </c>
    </row>
    <row r="167" spans="6:12" x14ac:dyDescent="0.3">
      <c r="F167" s="50">
        <v>42095</v>
      </c>
      <c r="G167" s="53">
        <v>88.8</v>
      </c>
      <c r="J167" s="54">
        <v>-2.6710200697929452</v>
      </c>
      <c r="K167" s="54"/>
      <c r="L167" s="54">
        <v>-2.6710200697929452</v>
      </c>
    </row>
    <row r="168" spans="6:12" x14ac:dyDescent="0.3">
      <c r="F168" s="50">
        <v>42125</v>
      </c>
      <c r="G168" s="53">
        <v>93.1</v>
      </c>
      <c r="J168" s="54">
        <v>1.6261376499591336</v>
      </c>
      <c r="K168" s="54"/>
      <c r="L168" s="54">
        <v>1.6261376499591336</v>
      </c>
    </row>
    <row r="169" spans="6:12" x14ac:dyDescent="0.3">
      <c r="F169" s="50">
        <v>42156</v>
      </c>
      <c r="G169" s="53">
        <v>92.5</v>
      </c>
      <c r="J169" s="54">
        <v>1.0232953697112208</v>
      </c>
      <c r="K169" s="54"/>
      <c r="L169" s="54">
        <v>1.0232953697112208</v>
      </c>
    </row>
    <row r="170" spans="6:12" x14ac:dyDescent="0.3">
      <c r="F170" s="50">
        <v>42186</v>
      </c>
      <c r="G170" s="53">
        <v>95.5</v>
      </c>
      <c r="J170" s="54">
        <v>4.0204530894633024</v>
      </c>
      <c r="K170" s="54"/>
      <c r="L170" s="54">
        <v>4.0204530894633024</v>
      </c>
    </row>
    <row r="171" spans="6:12" x14ac:dyDescent="0.3">
      <c r="F171" s="50">
        <v>42217</v>
      </c>
      <c r="G171" s="53">
        <v>97.6</v>
      </c>
      <c r="J171" s="54">
        <v>6.117610809215364</v>
      </c>
      <c r="K171" s="54"/>
      <c r="L171" s="54">
        <v>6.117610809215364</v>
      </c>
    </row>
    <row r="172" spans="6:12" x14ac:dyDescent="0.3">
      <c r="F172" s="50">
        <v>42248</v>
      </c>
      <c r="G172" s="53">
        <v>94.3</v>
      </c>
      <c r="J172" s="54">
        <v>2.8147685289674484</v>
      </c>
      <c r="K172" s="54"/>
      <c r="L172" s="54">
        <v>2.8147685289674484</v>
      </c>
    </row>
    <row r="173" spans="6:12" x14ac:dyDescent="0.3">
      <c r="F173" s="50">
        <v>42278</v>
      </c>
      <c r="G173" s="53">
        <v>97.2</v>
      </c>
      <c r="J173" s="54">
        <v>5.7119262487195357</v>
      </c>
      <c r="K173" s="54"/>
      <c r="L173" s="54">
        <v>5.7119262487195357</v>
      </c>
    </row>
    <row r="174" spans="6:12" x14ac:dyDescent="0.3">
      <c r="F174" s="50">
        <v>42309</v>
      </c>
      <c r="G174" s="53">
        <v>87.6</v>
      </c>
      <c r="J174" s="54">
        <v>-3.8909160315283913</v>
      </c>
      <c r="K174" s="54"/>
      <c r="L174" s="54">
        <v>-3.8909160315283913</v>
      </c>
    </row>
    <row r="175" spans="6:12" x14ac:dyDescent="0.3">
      <c r="F175" s="50">
        <v>42339</v>
      </c>
      <c r="G175" s="53">
        <v>77.2</v>
      </c>
      <c r="J175" s="54">
        <v>-14.293758311776301</v>
      </c>
      <c r="K175" s="54"/>
      <c r="L175" s="54">
        <v>-14.293758311776301</v>
      </c>
    </row>
    <row r="176" spans="6:12" x14ac:dyDescent="0.3">
      <c r="F176" s="50">
        <v>42370</v>
      </c>
      <c r="G176" s="53">
        <v>76.3</v>
      </c>
      <c r="J176" s="54">
        <v>-15.196600592024225</v>
      </c>
      <c r="K176" s="54"/>
      <c r="L176" s="54">
        <v>-15.196600592024225</v>
      </c>
    </row>
    <row r="177" spans="6:12" x14ac:dyDescent="0.3">
      <c r="F177" s="50">
        <v>42401</v>
      </c>
      <c r="G177" s="53">
        <v>75.8</v>
      </c>
      <c r="J177" s="54">
        <v>-15.699442872272158</v>
      </c>
      <c r="K177" s="54"/>
      <c r="L177" s="54">
        <v>-15.699442872272158</v>
      </c>
    </row>
    <row r="178" spans="6:12" x14ac:dyDescent="0.3">
      <c r="F178" s="50">
        <v>42430</v>
      </c>
      <c r="G178" s="53">
        <v>83.7</v>
      </c>
      <c r="J178" s="54">
        <v>-7.8022851525200707</v>
      </c>
      <c r="K178" s="54"/>
      <c r="L178" s="54">
        <v>-7.8022851525200707</v>
      </c>
    </row>
    <row r="179" spans="6:12" x14ac:dyDescent="0.3">
      <c r="F179" s="50">
        <v>42461</v>
      </c>
      <c r="G179" s="53">
        <v>83</v>
      </c>
      <c r="J179" s="54">
        <v>-8.505127432767992</v>
      </c>
      <c r="K179" s="54"/>
      <c r="L179" s="54">
        <v>-8.505127432767992</v>
      </c>
    </row>
    <row r="180" spans="6:12" x14ac:dyDescent="0.3">
      <c r="F180" s="50">
        <v>42491</v>
      </c>
      <c r="G180" s="53">
        <v>86.3</v>
      </c>
      <c r="J180" s="54">
        <v>-5.2079697130159133</v>
      </c>
      <c r="K180" s="54"/>
      <c r="L180" s="54">
        <v>-5.2079697130159133</v>
      </c>
    </row>
    <row r="181" spans="6:12" x14ac:dyDescent="0.3">
      <c r="F181" s="50">
        <v>42522</v>
      </c>
      <c r="G181" s="53">
        <v>87.7</v>
      </c>
      <c r="J181" s="54">
        <v>-3.810811993263826</v>
      </c>
      <c r="K181" s="54"/>
      <c r="L181" s="54">
        <v>-3.810811993263826</v>
      </c>
    </row>
    <row r="182" spans="6:12" x14ac:dyDescent="0.3">
      <c r="F182" s="50">
        <v>42552</v>
      </c>
      <c r="G182" s="53">
        <v>89.6</v>
      </c>
      <c r="J182" s="54">
        <v>-1.913654273511753</v>
      </c>
      <c r="K182" s="54"/>
      <c r="L182" s="54">
        <v>-1.913654273511753</v>
      </c>
    </row>
    <row r="183" spans="6:12" x14ac:dyDescent="0.3">
      <c r="F183" s="50">
        <v>42583</v>
      </c>
      <c r="G183" s="53">
        <v>93</v>
      </c>
      <c r="J183" s="54">
        <v>1.48350344624032</v>
      </c>
      <c r="K183" s="54"/>
      <c r="L183" s="54">
        <v>1.48350344624032</v>
      </c>
    </row>
    <row r="184" spans="6:12" x14ac:dyDescent="0.3">
      <c r="F184" s="50">
        <v>42614</v>
      </c>
      <c r="G184" s="53">
        <v>90.7</v>
      </c>
      <c r="J184" s="54">
        <v>-0.81933883400759555</v>
      </c>
      <c r="K184" s="54"/>
      <c r="L184" s="54">
        <v>-0.81933883400759555</v>
      </c>
    </row>
    <row r="185" spans="6:12" x14ac:dyDescent="0.3">
      <c r="F185" s="50">
        <v>42644</v>
      </c>
      <c r="G185" s="53">
        <v>90.2</v>
      </c>
      <c r="J185" s="54">
        <v>-1.322181114255514</v>
      </c>
      <c r="K185" s="54"/>
      <c r="L185" s="54">
        <v>-1.322181114255514</v>
      </c>
    </row>
    <row r="186" spans="6:12" x14ac:dyDescent="0.3">
      <c r="F186" s="50">
        <v>42675</v>
      </c>
      <c r="G186" s="53">
        <v>86.5</v>
      </c>
      <c r="J186" s="54">
        <v>-5.0250233945034353</v>
      </c>
      <c r="K186" s="54"/>
      <c r="L186" s="54">
        <v>-5.0250233945034353</v>
      </c>
    </row>
    <row r="187" spans="6:12" x14ac:dyDescent="0.3">
      <c r="F187" s="50">
        <v>42705</v>
      </c>
      <c r="G187" s="53">
        <v>77.2</v>
      </c>
      <c r="J187" s="54">
        <v>-14.327865674751351</v>
      </c>
      <c r="K187" s="54"/>
      <c r="L187" s="54">
        <v>-14.327865674751351</v>
      </c>
    </row>
    <row r="188" spans="6:12" x14ac:dyDescent="0.3">
      <c r="F188" s="50">
        <v>42736</v>
      </c>
      <c r="G188" s="53">
        <v>77.900000000000006</v>
      </c>
      <c r="J188" s="54">
        <v>-13.630707954999266</v>
      </c>
      <c r="K188" s="54"/>
      <c r="L188" s="54">
        <v>-13.630707954999266</v>
      </c>
    </row>
    <row r="189" spans="6:12" x14ac:dyDescent="0.3">
      <c r="F189" s="50">
        <v>42767</v>
      </c>
      <c r="G189" s="53">
        <v>75.900000000000006</v>
      </c>
      <c r="J189" s="54">
        <v>-15.633550235247185</v>
      </c>
      <c r="K189" s="54"/>
      <c r="L189" s="54">
        <v>-15.633550235247185</v>
      </c>
    </row>
    <row r="190" spans="6:12" x14ac:dyDescent="0.3">
      <c r="F190" s="50">
        <v>42795</v>
      </c>
      <c r="G190" s="53">
        <v>85.4</v>
      </c>
      <c r="J190" s="54">
        <v>-6.1363925154951176</v>
      </c>
      <c r="K190" s="54"/>
      <c r="L190" s="54">
        <v>-6.1363925154951176</v>
      </c>
    </row>
    <row r="191" spans="6:12" x14ac:dyDescent="0.3">
      <c r="F191" s="50">
        <v>42826</v>
      </c>
      <c r="G191" s="53">
        <v>79.3</v>
      </c>
      <c r="J191" s="54">
        <v>-12.239234795743045</v>
      </c>
      <c r="K191" s="54"/>
      <c r="L191" s="54">
        <v>-12.239234795743045</v>
      </c>
    </row>
    <row r="192" spans="6:12" x14ac:dyDescent="0.3">
      <c r="F192" s="50">
        <v>42856</v>
      </c>
      <c r="G192" s="53">
        <v>90.1</v>
      </c>
      <c r="J192" s="54">
        <v>-1.4420770759909658</v>
      </c>
      <c r="K192" s="54"/>
      <c r="L192" s="54">
        <v>-1.4420770759909658</v>
      </c>
    </row>
    <row r="193" spans="6:12" x14ac:dyDescent="0.3">
      <c r="F193" s="50">
        <v>42887</v>
      </c>
      <c r="G193" s="53">
        <v>88.4</v>
      </c>
      <c r="J193" s="54">
        <v>-3.1449193562388729</v>
      </c>
      <c r="K193" s="54"/>
      <c r="L193" s="54">
        <v>-3.1449193562388729</v>
      </c>
    </row>
    <row r="194" spans="6:12" x14ac:dyDescent="0.3">
      <c r="F194" s="50">
        <v>42917</v>
      </c>
      <c r="G194" s="53">
        <v>92.1</v>
      </c>
      <c r="J194" s="54">
        <v>0.55223836351319733</v>
      </c>
      <c r="K194" s="54"/>
      <c r="L194" s="54">
        <v>0.55223836351319733</v>
      </c>
    </row>
    <row r="195" spans="6:12" x14ac:dyDescent="0.3">
      <c r="F195" s="50">
        <v>42948</v>
      </c>
      <c r="G195" s="53">
        <v>96.7</v>
      </c>
      <c r="J195" s="54">
        <v>5.1493960832652874</v>
      </c>
      <c r="K195" s="54"/>
      <c r="L195" s="54">
        <v>5.1493960832652874</v>
      </c>
    </row>
    <row r="196" spans="6:12" x14ac:dyDescent="0.3">
      <c r="F196" s="50">
        <v>42979</v>
      </c>
      <c r="G196" s="53">
        <v>93</v>
      </c>
      <c r="J196" s="54">
        <v>1.4465538030173519</v>
      </c>
      <c r="K196" s="54"/>
      <c r="L196" s="54">
        <v>1.4465538030173519</v>
      </c>
    </row>
    <row r="197" spans="6:12" x14ac:dyDescent="0.3">
      <c r="F197" s="50">
        <v>43009</v>
      </c>
      <c r="G197" s="53">
        <v>95.1</v>
      </c>
      <c r="J197" s="54">
        <v>3.5437115227694278</v>
      </c>
      <c r="K197" s="54"/>
      <c r="L197" s="54">
        <v>3.5437115227694278</v>
      </c>
    </row>
    <row r="198" spans="6:12" x14ac:dyDescent="0.3">
      <c r="F198" s="50">
        <v>43040</v>
      </c>
      <c r="G198" s="53">
        <v>90.6</v>
      </c>
      <c r="J198" s="54">
        <v>-0.95913075747849064</v>
      </c>
      <c r="K198" s="54"/>
      <c r="L198" s="54">
        <v>-0.95913075747849064</v>
      </c>
    </row>
    <row r="199" spans="6:12" x14ac:dyDescent="0.3">
      <c r="F199" s="50">
        <v>43070</v>
      </c>
      <c r="G199" s="53">
        <v>81</v>
      </c>
      <c r="J199" s="54">
        <v>-10.561973037726403</v>
      </c>
      <c r="K199" s="54"/>
      <c r="L199" s="54">
        <v>-10.561973037726403</v>
      </c>
    </row>
    <row r="200" spans="6:12" x14ac:dyDescent="0.3">
      <c r="F200" s="50">
        <v>43101</v>
      </c>
      <c r="G200" s="53">
        <v>82.3</v>
      </c>
      <c r="J200" s="54">
        <v>-9.2648153179743247</v>
      </c>
      <c r="K200" s="54"/>
      <c r="L200" s="54">
        <v>-9.2648153179743247</v>
      </c>
    </row>
    <row r="201" spans="6:12" x14ac:dyDescent="0.3">
      <c r="F201" s="50">
        <v>43132</v>
      </c>
      <c r="G201" s="53">
        <v>77.3</v>
      </c>
      <c r="J201" s="54">
        <v>-14.267657598222243</v>
      </c>
      <c r="K201" s="54"/>
      <c r="L201" s="54">
        <v>-14.267657598222243</v>
      </c>
    </row>
    <row r="202" spans="6:12" x14ac:dyDescent="0.3">
      <c r="F202" s="50">
        <v>43160</v>
      </c>
      <c r="G202" s="53">
        <v>86.2</v>
      </c>
      <c r="J202" s="54">
        <v>-5.3704998784701559</v>
      </c>
      <c r="K202" s="54"/>
      <c r="L202" s="54">
        <v>-5.3704998784701559</v>
      </c>
    </row>
    <row r="203" spans="6:12" x14ac:dyDescent="0.3">
      <c r="F203" s="50">
        <v>43191</v>
      </c>
      <c r="G203" s="53">
        <v>86.5</v>
      </c>
      <c r="J203" s="54">
        <v>-5.0733421587180914</v>
      </c>
      <c r="K203" s="54"/>
      <c r="L203" s="54">
        <v>-5.0733421587180914</v>
      </c>
    </row>
    <row r="204" spans="6:12" x14ac:dyDescent="0.3">
      <c r="F204" s="50">
        <v>43221</v>
      </c>
      <c r="G204" s="53">
        <v>84.4</v>
      </c>
      <c r="J204" s="54">
        <v>-7.1761844389660041</v>
      </c>
      <c r="K204" s="54"/>
      <c r="L204" s="54">
        <v>-7.1761844389660041</v>
      </c>
    </row>
    <row r="205" spans="6:12" x14ac:dyDescent="0.3">
      <c r="F205" s="50">
        <v>43252</v>
      </c>
      <c r="G205" s="53">
        <v>91.1</v>
      </c>
      <c r="J205" s="54">
        <v>-0.47902671921393392</v>
      </c>
      <c r="K205" s="54"/>
      <c r="L205" s="54">
        <v>-0.47902671921393392</v>
      </c>
    </row>
    <row r="206" spans="6:12" x14ac:dyDescent="0.3">
      <c r="F206" s="50">
        <v>43282</v>
      </c>
      <c r="G206" s="53">
        <v>95.8</v>
      </c>
      <c r="J206" s="54">
        <v>4.2181310005381505</v>
      </c>
      <c r="K206" s="54"/>
      <c r="L206" s="54">
        <v>4.2181310005381505</v>
      </c>
    </row>
    <row r="207" spans="6:12" x14ac:dyDescent="0.3">
      <c r="F207" s="50">
        <v>43313</v>
      </c>
      <c r="G207" s="53">
        <v>98.2</v>
      </c>
      <c r="J207" s="54">
        <v>6.6152887202902377</v>
      </c>
      <c r="K207" s="54"/>
      <c r="L207" s="54">
        <v>6.6152887202902377</v>
      </c>
    </row>
    <row r="208" spans="6:12" x14ac:dyDescent="0.3">
      <c r="F208" s="50">
        <v>43344</v>
      </c>
      <c r="G208" s="53">
        <v>90.7</v>
      </c>
      <c r="J208" s="54">
        <v>-0.8875535599576807</v>
      </c>
      <c r="K208" s="54"/>
      <c r="L208" s="54">
        <v>-0.8875535599576807</v>
      </c>
    </row>
    <row r="209" spans="6:12" x14ac:dyDescent="0.3">
      <c r="F209" s="50">
        <v>43374</v>
      </c>
      <c r="G209" s="53">
        <v>95.8</v>
      </c>
      <c r="J209" s="54">
        <v>4.209604159794381</v>
      </c>
      <c r="K209" s="54"/>
      <c r="L209" s="54">
        <v>4.209604159794381</v>
      </c>
    </row>
    <row r="210" spans="6:12" x14ac:dyDescent="0.3">
      <c r="F210" s="50">
        <v>43405</v>
      </c>
      <c r="G210" s="53">
        <v>89.5</v>
      </c>
      <c r="J210" s="54">
        <v>-2.0932381204535346</v>
      </c>
      <c r="K210" s="54"/>
      <c r="L210" s="54">
        <v>-2.0932381204535346</v>
      </c>
    </row>
    <row r="211" spans="6:12" x14ac:dyDescent="0.3">
      <c r="F211" s="50">
        <v>43435</v>
      </c>
      <c r="G211" s="53">
        <v>78</v>
      </c>
      <c r="J211" s="54">
        <v>-13.596080400701453</v>
      </c>
      <c r="K211" s="54"/>
      <c r="L211" s="54">
        <v>-13.596080400701453</v>
      </c>
    </row>
    <row r="212" spans="6:12" x14ac:dyDescent="0.3">
      <c r="F212" s="50">
        <v>43466</v>
      </c>
      <c r="G212" s="53">
        <v>80.7</v>
      </c>
      <c r="J212" s="54">
        <v>-10.898922680949369</v>
      </c>
      <c r="K212" s="54"/>
      <c r="L212" s="54">
        <v>-10.898922680949369</v>
      </c>
    </row>
    <row r="213" spans="6:12" x14ac:dyDescent="0.3">
      <c r="F213" s="50">
        <v>43497</v>
      </c>
      <c r="G213" s="53">
        <v>79.099999999999994</v>
      </c>
      <c r="J213" s="54">
        <v>-12.501764961197296</v>
      </c>
      <c r="K213" s="54"/>
      <c r="L213" s="54">
        <v>-12.501764961197296</v>
      </c>
    </row>
    <row r="214" spans="6:12" x14ac:dyDescent="0.3">
      <c r="F214" s="50">
        <v>43525</v>
      </c>
      <c r="G214" s="53">
        <v>81</v>
      </c>
      <c r="J214" s="54">
        <v>-10.604607241445208</v>
      </c>
      <c r="K214" s="54"/>
      <c r="L214" s="54">
        <v>-10.604607241445208</v>
      </c>
    </row>
    <row r="215" spans="6:12" x14ac:dyDescent="0.3">
      <c r="F215" s="50">
        <v>43556</v>
      </c>
      <c r="G215" s="53">
        <v>83.3</v>
      </c>
      <c r="J215" s="54">
        <v>-8.3074495216931297</v>
      </c>
      <c r="K215" s="54"/>
      <c r="L215" s="54">
        <v>-8.3074495216931297</v>
      </c>
    </row>
    <row r="216" spans="6:12" x14ac:dyDescent="0.3">
      <c r="F216" s="50">
        <v>43586</v>
      </c>
      <c r="G216" s="53">
        <v>91</v>
      </c>
      <c r="J216" s="54">
        <v>-0.61029180194105948</v>
      </c>
      <c r="K216" s="54"/>
      <c r="L216" s="54">
        <v>-0.61029180194105948</v>
      </c>
    </row>
    <row r="217" spans="6:12" x14ac:dyDescent="0.3">
      <c r="F217" s="50">
        <v>43617</v>
      </c>
      <c r="G217" s="53">
        <v>85.8</v>
      </c>
      <c r="J217" s="54">
        <v>-5.8131340821889808</v>
      </c>
      <c r="K217" s="54"/>
      <c r="L217" s="54">
        <v>-5.8131340821889808</v>
      </c>
    </row>
    <row r="218" spans="6:12" x14ac:dyDescent="0.3">
      <c r="F218" s="50">
        <v>43647</v>
      </c>
      <c r="G218" s="53">
        <v>93.4</v>
      </c>
      <c r="J218" s="54">
        <v>1.7840236375631093</v>
      </c>
      <c r="K218" s="54"/>
      <c r="L218" s="54">
        <v>1.7840236375631093</v>
      </c>
    </row>
    <row r="219" spans="6:12" x14ac:dyDescent="0.3">
      <c r="F219" s="50">
        <v>43678</v>
      </c>
      <c r="G219" s="53">
        <v>96.2</v>
      </c>
      <c r="J219" s="54">
        <v>4.5811813573151881</v>
      </c>
      <c r="K219" s="54"/>
      <c r="L219" s="54">
        <v>4.5811813573151881</v>
      </c>
    </row>
    <row r="220" spans="6:12" x14ac:dyDescent="0.3">
      <c r="F220" s="50">
        <v>43709</v>
      </c>
      <c r="G220" s="53">
        <v>91.8</v>
      </c>
      <c r="J220" s="54">
        <v>0.17833907706726393</v>
      </c>
      <c r="K220" s="54"/>
      <c r="L220" s="54">
        <v>0.17833907706726393</v>
      </c>
    </row>
    <row r="221" spans="6:12" x14ac:dyDescent="0.3">
      <c r="F221" s="50">
        <v>43739</v>
      </c>
      <c r="G221" s="53">
        <v>97</v>
      </c>
      <c r="J221" s="54">
        <v>5.3754967968193483</v>
      </c>
      <c r="K221" s="54"/>
      <c r="L221" s="54">
        <v>5.3754967968193483</v>
      </c>
    </row>
    <row r="222" spans="6:12" x14ac:dyDescent="0.3">
      <c r="F222" s="50">
        <v>43770</v>
      </c>
      <c r="G222" s="53">
        <v>88</v>
      </c>
      <c r="J222" s="54">
        <v>-3.6273454834285843</v>
      </c>
      <c r="K222" s="54"/>
      <c r="L222" s="54">
        <v>-3.6273454834285843</v>
      </c>
    </row>
    <row r="223" spans="6:12" x14ac:dyDescent="0.3">
      <c r="F223" s="50">
        <v>43800</v>
      </c>
      <c r="G223" s="53">
        <v>76.900000000000006</v>
      </c>
      <c r="J223" s="54">
        <v>-14.730187763676497</v>
      </c>
      <c r="K223" s="54"/>
      <c r="L223" s="54">
        <v>-14.730187763676497</v>
      </c>
    </row>
    <row r="224" spans="6:12" x14ac:dyDescent="0.3">
      <c r="F224" s="50">
        <v>43831</v>
      </c>
      <c r="G224" s="53">
        <v>80</v>
      </c>
      <c r="J224" s="54">
        <v>-11.633030043924421</v>
      </c>
      <c r="K224" s="54"/>
      <c r="L224" s="54">
        <v>-11.633030043924421</v>
      </c>
    </row>
    <row r="225" spans="6:12" x14ac:dyDescent="0.3">
      <c r="F225" s="50">
        <v>43862</v>
      </c>
      <c r="G225" s="53">
        <v>78.900000000000006</v>
      </c>
      <c r="J225" s="54">
        <v>-12.735872324172334</v>
      </c>
      <c r="K225" s="54"/>
      <c r="L225" s="54">
        <v>-12.735872324172334</v>
      </c>
    </row>
    <row r="226" spans="6:12" x14ac:dyDescent="0.3">
      <c r="F226" s="50">
        <v>43891</v>
      </c>
      <c r="G226" s="53">
        <v>77.900000000000006</v>
      </c>
      <c r="J226" s="54">
        <v>-13.738714604420252</v>
      </c>
      <c r="K226" s="54"/>
      <c r="L226" s="54">
        <v>-13.738714604420252</v>
      </c>
    </row>
    <row r="227" spans="6:12" x14ac:dyDescent="0.3">
      <c r="F227" s="50">
        <v>43922</v>
      </c>
      <c r="G227" s="53">
        <v>60.3</v>
      </c>
      <c r="J227" s="54">
        <v>-31.341556884668179</v>
      </c>
      <c r="K227" s="54"/>
      <c r="L227" s="54">
        <v>-31.341556884668179</v>
      </c>
    </row>
    <row r="228" spans="6:12" x14ac:dyDescent="0.3">
      <c r="F228" s="50">
        <v>43952</v>
      </c>
      <c r="G228" s="53">
        <v>71.2</v>
      </c>
      <c r="J228" s="54">
        <v>-20.444399164916106</v>
      </c>
      <c r="K228" s="54"/>
      <c r="L228" s="54">
        <v>-20.444399164916106</v>
      </c>
    </row>
    <row r="229" spans="6:12" x14ac:dyDescent="0.3">
      <c r="F229" s="50">
        <v>43983</v>
      </c>
      <c r="G229" s="53">
        <v>78.400000000000006</v>
      </c>
      <c r="J229" s="54">
        <v>-13.247241445164022</v>
      </c>
      <c r="K229" s="54"/>
      <c r="L229" s="54">
        <v>-13.247241445164022</v>
      </c>
    </row>
    <row r="230" spans="6:12" x14ac:dyDescent="0.3">
      <c r="F230" s="50">
        <v>44013</v>
      </c>
      <c r="G230" s="53">
        <v>91</v>
      </c>
      <c r="J230" s="54">
        <v>-0.65008372541194603</v>
      </c>
      <c r="K230" s="54"/>
      <c r="L230" s="54">
        <v>-0.65008372541194603</v>
      </c>
    </row>
    <row r="231" spans="6:12" x14ac:dyDescent="0.3">
      <c r="F231" s="50">
        <v>44044</v>
      </c>
      <c r="G231" s="53">
        <v>93.9</v>
      </c>
      <c r="J231" s="54">
        <v>2.2470739943401412</v>
      </c>
      <c r="K231" s="54"/>
      <c r="L231" s="54">
        <v>2.2470739943401412</v>
      </c>
    </row>
    <row r="232" spans="6:12" x14ac:dyDescent="0.3">
      <c r="F232" s="50">
        <v>44075</v>
      </c>
      <c r="G232" s="53">
        <v>95.4</v>
      </c>
      <c r="J232" s="54">
        <v>3.7442317140922228</v>
      </c>
      <c r="K232" s="54"/>
      <c r="L232" s="54">
        <v>3.7442317140922228</v>
      </c>
    </row>
    <row r="233" spans="6:12" x14ac:dyDescent="0.3">
      <c r="F233" s="50">
        <v>44105</v>
      </c>
      <c r="G233" s="53">
        <v>97.3</v>
      </c>
      <c r="J233" s="54">
        <v>5.6413894338442958</v>
      </c>
      <c r="K233" s="54"/>
      <c r="L233" s="54">
        <v>5.6413894338442958</v>
      </c>
    </row>
    <row r="234" spans="6:12" x14ac:dyDescent="0.3">
      <c r="F234" s="50">
        <v>44136</v>
      </c>
      <c r="G234" s="53">
        <v>90.2</v>
      </c>
      <c r="J234" s="54">
        <v>-1.4614528464036169</v>
      </c>
      <c r="K234" s="54"/>
      <c r="L234" s="54">
        <v>-1.4614528464036169</v>
      </c>
    </row>
    <row r="235" spans="6:12" x14ac:dyDescent="0.3">
      <c r="F235" s="50">
        <v>44166</v>
      </c>
      <c r="G235" s="53">
        <v>83.3</v>
      </c>
      <c r="J235" s="54">
        <v>-8.3642951266515553</v>
      </c>
      <c r="K235" s="54"/>
      <c r="L235" s="54">
        <v>-8.3642951266515553</v>
      </c>
    </row>
    <row r="236" spans="6:12" x14ac:dyDescent="0.3">
      <c r="F236" s="50">
        <v>44197</v>
      </c>
      <c r="G236" s="53">
        <v>81.900000000000006</v>
      </c>
      <c r="J236" s="54">
        <v>-9.7671374068994652</v>
      </c>
      <c r="K236" s="54"/>
      <c r="L236" s="54">
        <v>-9.7671374068994652</v>
      </c>
    </row>
    <row r="237" spans="6:12" x14ac:dyDescent="0.3">
      <c r="F237" s="50">
        <v>44228</v>
      </c>
      <c r="G237" s="53">
        <v>79.099999999999994</v>
      </c>
      <c r="J237" s="54">
        <v>-12.569979687147395</v>
      </c>
      <c r="K237" s="54"/>
      <c r="L237" s="54">
        <v>-12.569979687147395</v>
      </c>
    </row>
    <row r="238" spans="6:12" x14ac:dyDescent="0.3">
      <c r="F238" s="50">
        <v>44256</v>
      </c>
      <c r="G238" s="53">
        <v>86.1</v>
      </c>
      <c r="J238" s="54">
        <v>-5.5728219673953134</v>
      </c>
      <c r="K238" s="54"/>
      <c r="L238" s="54">
        <v>-5.5728219673953134</v>
      </c>
    </row>
    <row r="239" spans="6:12" x14ac:dyDescent="0.3">
      <c r="F239" s="50">
        <v>44287</v>
      </c>
      <c r="G239" s="53">
        <v>81.3</v>
      </c>
      <c r="J239" s="54">
        <v>-10.375664247643229</v>
      </c>
      <c r="K239" s="54"/>
      <c r="L239" s="54">
        <v>-10.375664247643229</v>
      </c>
    </row>
    <row r="240" spans="6:12" x14ac:dyDescent="0.3">
      <c r="F240" s="50">
        <v>44317</v>
      </c>
      <c r="G240" s="53">
        <v>88.4</v>
      </c>
      <c r="J240" s="54">
        <v>-3.2785065278911389</v>
      </c>
      <c r="K240" s="54"/>
      <c r="L240" s="54">
        <v>-3.2785065278911389</v>
      </c>
    </row>
    <row r="241" spans="6:12" x14ac:dyDescent="0.3">
      <c r="F241" s="50">
        <v>44348</v>
      </c>
      <c r="G241" s="53">
        <v>87.9</v>
      </c>
      <c r="J241" s="54">
        <v>-3.7813488081390716</v>
      </c>
      <c r="K241" s="54"/>
      <c r="L241" s="54">
        <v>-3.7813488081390716</v>
      </c>
    </row>
    <row r="242" spans="6:12" x14ac:dyDescent="0.3">
      <c r="F242" s="50">
        <v>44378</v>
      </c>
      <c r="G242" s="53">
        <v>92.2</v>
      </c>
      <c r="J242" s="54">
        <v>0.51580891161300713</v>
      </c>
      <c r="K242" s="54"/>
      <c r="L242" s="54">
        <v>0.51580891161300713</v>
      </c>
    </row>
    <row r="243" spans="6:12" x14ac:dyDescent="0.3">
      <c r="F243" s="50">
        <v>44409</v>
      </c>
      <c r="G243" s="53">
        <v>93.4</v>
      </c>
      <c r="J243" s="54">
        <v>1.7129666313650915</v>
      </c>
      <c r="K243" s="54"/>
      <c r="L243" s="54">
        <v>1.7129666313650915</v>
      </c>
    </row>
    <row r="244" spans="6:12" x14ac:dyDescent="0.3">
      <c r="F244" s="50">
        <v>44440</v>
      </c>
      <c r="G244" s="53">
        <v>91.5</v>
      </c>
      <c r="J244" s="54">
        <v>-0.18987564888283259</v>
      </c>
      <c r="K244" s="54"/>
      <c r="L244" s="54">
        <v>-0.18987564888283259</v>
      </c>
    </row>
    <row r="245" spans="6:12" x14ac:dyDescent="0.3">
      <c r="F245" s="50">
        <v>44470</v>
      </c>
      <c r="G245" s="53">
        <v>89.7</v>
      </c>
      <c r="J245" s="54">
        <v>-1.9927179291307482</v>
      </c>
      <c r="K245" s="54"/>
      <c r="L245" s="54">
        <v>-1.9927179291307482</v>
      </c>
    </row>
    <row r="246" spans="6:12" x14ac:dyDescent="0.3">
      <c r="F246" s="50">
        <v>44501</v>
      </c>
      <c r="G246" s="53">
        <v>86.3</v>
      </c>
      <c r="J246" s="54">
        <v>-5.3955602093786723</v>
      </c>
      <c r="K246" s="54"/>
      <c r="L246" s="54">
        <v>-5.3955602093786723</v>
      </c>
    </row>
    <row r="247" spans="6:12" x14ac:dyDescent="0.3">
      <c r="F247" s="50">
        <v>44531</v>
      </c>
      <c r="G247" s="53">
        <v>79.2</v>
      </c>
      <c r="J247" s="54">
        <v>-12.498402489626599</v>
      </c>
      <c r="K247" s="54"/>
      <c r="L247" s="54">
        <v>-12.498402489626599</v>
      </c>
    </row>
    <row r="248" spans="6:12" x14ac:dyDescent="0.3">
      <c r="J248" s="27"/>
      <c r="K248" s="27"/>
      <c r="L248" s="27"/>
    </row>
    <row r="249" spans="6:12" x14ac:dyDescent="0.3">
      <c r="J249" s="27"/>
      <c r="K249" s="27"/>
      <c r="L249" s="27"/>
    </row>
    <row r="250" spans="6:12" x14ac:dyDescent="0.3">
      <c r="J250" s="27"/>
      <c r="K250" s="27"/>
      <c r="L250" s="27"/>
    </row>
    <row r="251" spans="6:12" x14ac:dyDescent="0.3">
      <c r="J251" s="27"/>
      <c r="K251" s="27"/>
      <c r="L251" s="27"/>
    </row>
    <row r="252" spans="6:12" x14ac:dyDescent="0.3">
      <c r="J252" s="27"/>
      <c r="K252" s="27"/>
      <c r="L252" s="27"/>
    </row>
    <row r="253" spans="6:12" x14ac:dyDescent="0.3">
      <c r="J253" s="27"/>
      <c r="K253" s="27"/>
      <c r="L253" s="27"/>
    </row>
    <row r="254" spans="6:12" x14ac:dyDescent="0.3">
      <c r="J254" s="27"/>
      <c r="K254" s="27"/>
      <c r="L254" s="27"/>
    </row>
    <row r="255" spans="6:12" x14ac:dyDescent="0.3">
      <c r="J255" s="27"/>
      <c r="K255" s="27"/>
      <c r="L255" s="27"/>
    </row>
    <row r="256" spans="6:12" x14ac:dyDescent="0.3">
      <c r="J256" s="27"/>
      <c r="K256" s="27"/>
      <c r="L256" s="27"/>
    </row>
    <row r="257" spans="10:12" x14ac:dyDescent="0.3">
      <c r="J257" s="27"/>
      <c r="K257" s="27"/>
      <c r="L257" s="27"/>
    </row>
    <row r="258" spans="10:12" x14ac:dyDescent="0.3">
      <c r="J258" s="27"/>
      <c r="K258" s="27"/>
      <c r="L258" s="27"/>
    </row>
    <row r="259" spans="10:12" x14ac:dyDescent="0.3">
      <c r="J259" s="27"/>
      <c r="K259" s="27"/>
      <c r="L259" s="27"/>
    </row>
    <row r="260" spans="10:12" x14ac:dyDescent="0.3">
      <c r="J260" s="27"/>
      <c r="K260" s="27"/>
      <c r="L260" s="27"/>
    </row>
    <row r="261" spans="10:12" x14ac:dyDescent="0.3">
      <c r="J261" s="27"/>
      <c r="K261" s="27"/>
      <c r="L261" s="27"/>
    </row>
    <row r="262" spans="10:12" x14ac:dyDescent="0.3">
      <c r="J262" s="27"/>
      <c r="K262" s="27"/>
      <c r="L262" s="27"/>
    </row>
    <row r="263" spans="10:12" x14ac:dyDescent="0.3">
      <c r="J263" s="27"/>
      <c r="K263" s="27"/>
      <c r="L263" s="27"/>
    </row>
    <row r="264" spans="10:12" x14ac:dyDescent="0.3">
      <c r="J264" s="27"/>
      <c r="K264" s="27"/>
      <c r="L264" s="27"/>
    </row>
    <row r="265" spans="10:12" x14ac:dyDescent="0.3">
      <c r="J265" s="27"/>
      <c r="K265" s="27"/>
      <c r="L265" s="27"/>
    </row>
    <row r="266" spans="10:12" x14ac:dyDescent="0.3">
      <c r="J266" s="27"/>
      <c r="K266" s="27"/>
      <c r="L266" s="27"/>
    </row>
    <row r="267" spans="10:12" x14ac:dyDescent="0.3">
      <c r="J267" s="27"/>
      <c r="K267" s="27"/>
      <c r="L267" s="27"/>
    </row>
    <row r="268" spans="10:12" x14ac:dyDescent="0.3">
      <c r="J268" s="27"/>
      <c r="K268" s="27"/>
      <c r="L268" s="27"/>
    </row>
    <row r="269" spans="10:12" x14ac:dyDescent="0.3">
      <c r="J269" s="27"/>
      <c r="K269" s="27"/>
      <c r="L269" s="27"/>
    </row>
    <row r="270" spans="10:12" x14ac:dyDescent="0.3">
      <c r="J270" s="27"/>
      <c r="K270" s="27"/>
      <c r="L270" s="27"/>
    </row>
    <row r="271" spans="10:12" x14ac:dyDescent="0.3">
      <c r="J271" s="27"/>
      <c r="K271" s="27"/>
      <c r="L271" s="27"/>
    </row>
    <row r="272" spans="10:12" x14ac:dyDescent="0.3">
      <c r="J272" s="27"/>
      <c r="K272" s="27"/>
      <c r="L272" s="27"/>
    </row>
    <row r="273" spans="10:12" x14ac:dyDescent="0.3">
      <c r="J273" s="27"/>
      <c r="K273" s="27"/>
      <c r="L273" s="27"/>
    </row>
    <row r="274" spans="10:12" x14ac:dyDescent="0.3">
      <c r="J274" s="27"/>
      <c r="K274" s="27"/>
      <c r="L274" s="27"/>
    </row>
    <row r="275" spans="10:12" x14ac:dyDescent="0.3">
      <c r="J275" s="27"/>
      <c r="K275" s="27"/>
      <c r="L275" s="27"/>
    </row>
    <row r="276" spans="10:12" x14ac:dyDescent="0.3">
      <c r="J276" s="27"/>
      <c r="K276" s="27"/>
      <c r="L276" s="27"/>
    </row>
    <row r="277" spans="10:12" x14ac:dyDescent="0.3">
      <c r="J277" s="27"/>
      <c r="K277" s="27"/>
      <c r="L277" s="27"/>
    </row>
    <row r="278" spans="10:12" x14ac:dyDescent="0.3">
      <c r="J278" s="27"/>
      <c r="K278" s="27"/>
      <c r="L278" s="27"/>
    </row>
    <row r="279" spans="10:12" x14ac:dyDescent="0.3">
      <c r="J279" s="27"/>
      <c r="K279" s="27"/>
      <c r="L279" s="27"/>
    </row>
    <row r="280" spans="10:12" x14ac:dyDescent="0.3">
      <c r="J280" s="27"/>
      <c r="K280" s="27"/>
      <c r="L280" s="27"/>
    </row>
    <row r="281" spans="10:12" x14ac:dyDescent="0.3">
      <c r="J281" s="27"/>
      <c r="K281" s="27"/>
      <c r="L281" s="27"/>
    </row>
    <row r="282" spans="10:12" x14ac:dyDescent="0.3">
      <c r="J282" s="27"/>
      <c r="K282" s="27"/>
      <c r="L282" s="27"/>
    </row>
    <row r="283" spans="10:12" x14ac:dyDescent="0.3">
      <c r="J283" s="27"/>
      <c r="K283" s="27"/>
      <c r="L283" s="27"/>
    </row>
    <row r="284" spans="10:12" x14ac:dyDescent="0.3">
      <c r="J284" s="27"/>
      <c r="K284" s="27"/>
      <c r="L284" s="27"/>
    </row>
    <row r="285" spans="10:12" x14ac:dyDescent="0.3">
      <c r="J285" s="27"/>
      <c r="K285" s="27"/>
      <c r="L285" s="27"/>
    </row>
    <row r="286" spans="10:12" x14ac:dyDescent="0.3">
      <c r="J286" s="27"/>
      <c r="K286" s="27"/>
      <c r="L286" s="27"/>
    </row>
    <row r="287" spans="10:12" x14ac:dyDescent="0.3">
      <c r="J287" s="27"/>
      <c r="K287" s="27"/>
      <c r="L287" s="27"/>
    </row>
    <row r="288" spans="10:12" x14ac:dyDescent="0.3">
      <c r="J288" s="27"/>
      <c r="K288" s="27"/>
      <c r="L288" s="27"/>
    </row>
    <row r="289" spans="10:12" x14ac:dyDescent="0.3">
      <c r="J289" s="27"/>
      <c r="K289" s="27"/>
      <c r="L289" s="27"/>
    </row>
    <row r="290" spans="10:12" x14ac:dyDescent="0.3">
      <c r="J290" s="27"/>
      <c r="K290" s="27"/>
      <c r="L290" s="27"/>
    </row>
    <row r="291" spans="10:12" x14ac:dyDescent="0.3">
      <c r="J291" s="27"/>
      <c r="K291" s="27"/>
      <c r="L291" s="27"/>
    </row>
    <row r="292" spans="10:12" x14ac:dyDescent="0.3">
      <c r="J292" s="27"/>
      <c r="K292" s="27"/>
      <c r="L292" s="27"/>
    </row>
    <row r="293" spans="10:12" x14ac:dyDescent="0.3">
      <c r="J293" s="27"/>
      <c r="K293" s="27"/>
      <c r="L293" s="27"/>
    </row>
    <row r="294" spans="10:12" x14ac:dyDescent="0.3">
      <c r="J294" s="27"/>
      <c r="K294" s="27"/>
      <c r="L294" s="27"/>
    </row>
    <row r="295" spans="10:12" x14ac:dyDescent="0.3">
      <c r="J295" s="27"/>
      <c r="K295" s="27"/>
      <c r="L295" s="27"/>
    </row>
    <row r="296" spans="10:12" x14ac:dyDescent="0.3">
      <c r="J296" s="27"/>
      <c r="K296" s="27"/>
      <c r="L296" s="27"/>
    </row>
    <row r="297" spans="10:12" x14ac:dyDescent="0.3">
      <c r="J297" s="27"/>
      <c r="K297" s="27"/>
      <c r="L297" s="27"/>
    </row>
  </sheetData>
  <mergeCells count="1">
    <mergeCell ref="D11:D12"/>
  </mergeCells>
  <pageMargins left="0.511811024" right="0.511811024" top="0.78740157499999996" bottom="0.78740157499999996" header="0.31496062000000002" footer="0.31496062000000002"/>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95E39-402B-4B04-88B6-894551AF152C}">
  <sheetPr codeName="Planilha12">
    <tabColor theme="9" tint="0.59999389629810485"/>
  </sheetPr>
  <dimension ref="A1:V297"/>
  <sheetViews>
    <sheetView showGridLines="0" workbookViewId="0">
      <selection activeCell="K9" sqref="K9"/>
    </sheetView>
  </sheetViews>
  <sheetFormatPr defaultColWidth="8.85546875" defaultRowHeight="18.75" x14ac:dyDescent="0.3"/>
  <cols>
    <col min="1" max="1" width="12.7109375" style="17" customWidth="1"/>
    <col min="2" max="2" width="24.85546875" bestFit="1" customWidth="1"/>
    <col min="4" max="4" width="44.28515625" bestFit="1" customWidth="1"/>
    <col min="5" max="5" width="4.5703125" customWidth="1"/>
    <col min="6" max="7" width="7.140625" bestFit="1" customWidth="1"/>
    <col min="8" max="8" width="9.28515625" bestFit="1" customWidth="1"/>
    <col min="11" max="12" width="8.85546875" style="15"/>
    <col min="13" max="13" width="5.5703125" style="15" bestFit="1" customWidth="1"/>
    <col min="14" max="22" width="8.85546875" style="15"/>
  </cols>
  <sheetData>
    <row r="1" spans="1:22" x14ac:dyDescent="0.3">
      <c r="A1" s="16" t="s">
        <v>157</v>
      </c>
      <c r="K1" s="14"/>
      <c r="L1" s="14"/>
      <c r="M1" s="14"/>
      <c r="N1" s="14"/>
      <c r="O1" s="14"/>
      <c r="P1" s="14"/>
      <c r="Q1" s="14"/>
      <c r="R1" s="14"/>
      <c r="S1" s="14"/>
      <c r="T1" s="14"/>
      <c r="U1" s="14"/>
      <c r="V1" s="14"/>
    </row>
    <row r="2" spans="1:22" x14ac:dyDescent="0.3">
      <c r="A2" s="17" t="s">
        <v>172</v>
      </c>
      <c r="K2" s="14"/>
      <c r="L2" s="14"/>
      <c r="M2" s="14"/>
      <c r="N2" s="14"/>
      <c r="O2" s="14"/>
      <c r="P2" s="14"/>
      <c r="Q2" s="14"/>
      <c r="R2" s="14"/>
      <c r="S2" s="14"/>
      <c r="T2" s="14"/>
      <c r="U2" s="14"/>
      <c r="V2" s="14"/>
    </row>
    <row r="4" spans="1:22" ht="15.75" x14ac:dyDescent="0.25">
      <c r="A4" s="2" t="s">
        <v>15</v>
      </c>
      <c r="B4" s="2" t="s">
        <v>16</v>
      </c>
    </row>
    <row r="5" spans="1:22" ht="15.75" x14ac:dyDescent="0.25">
      <c r="A5" s="23" t="s">
        <v>160</v>
      </c>
      <c r="B5" s="24" t="s">
        <v>170</v>
      </c>
    </row>
    <row r="6" spans="1:22" ht="15.75" x14ac:dyDescent="0.25">
      <c r="A6" s="23" t="s">
        <v>169</v>
      </c>
      <c r="B6" s="24" t="s">
        <v>171</v>
      </c>
    </row>
    <row r="7" spans="1:22" x14ac:dyDescent="0.3">
      <c r="D7" s="1" t="s">
        <v>17</v>
      </c>
      <c r="F7" s="13" t="s">
        <v>160</v>
      </c>
      <c r="G7" s="13" t="s">
        <v>169</v>
      </c>
      <c r="H7" s="13" t="s">
        <v>181</v>
      </c>
      <c r="I7" s="13" t="s">
        <v>158</v>
      </c>
    </row>
    <row r="8" spans="1:22" x14ac:dyDescent="0.3">
      <c r="D8" t="s">
        <v>182</v>
      </c>
      <c r="F8" s="50">
        <v>37257</v>
      </c>
      <c r="G8" s="46"/>
      <c r="H8" s="46">
        <v>72.400000000000006</v>
      </c>
      <c r="I8" s="46">
        <v>77.7</v>
      </c>
      <c r="K8" s="27"/>
      <c r="M8" s="27"/>
    </row>
    <row r="9" spans="1:22" x14ac:dyDescent="0.3">
      <c r="D9" t="s">
        <v>183</v>
      </c>
      <c r="F9" s="45">
        <v>37288</v>
      </c>
      <c r="G9" s="53">
        <f>LN(H9/H8)*100</f>
        <v>-3.8005981625192522</v>
      </c>
      <c r="H9" s="46">
        <v>69.7</v>
      </c>
      <c r="I9" s="46">
        <v>80.2</v>
      </c>
      <c r="K9" s="54" cm="1">
        <f t="array" ref="K9:K247">_xlfn.LAMBDA(_xlpm.dates,_xlpm.values, _xlfn.LET(_xlpm.dummies, DUMMYVAR( MONTH(_xlpm.dates), FALSE),  AVERAGE(_xlpm.values) + OLS_RESIDUALS(_xlpm.values, _xlpm.dummies  ) ) )($F$9:$F$247,$G$9:$G$247)</f>
        <v>-0.71753883388702944</v>
      </c>
      <c r="L9" s="54"/>
      <c r="M9" s="54" cm="1">
        <f t="array" ref="M9:M247">SEASADJ($F$9:$F$247,$G$9:$G$247)</f>
        <v>-0.71753883388702944</v>
      </c>
    </row>
    <row r="10" spans="1:22" x14ac:dyDescent="0.3">
      <c r="D10" t="s">
        <v>159</v>
      </c>
      <c r="F10" s="45">
        <v>37316</v>
      </c>
      <c r="G10" s="53">
        <f t="shared" ref="G10:G73" si="0">LN(H10/H9)*100</f>
        <v>10.478646282920332</v>
      </c>
      <c r="H10" s="46">
        <v>77.400000000000006</v>
      </c>
      <c r="I10" s="46">
        <v>79.8</v>
      </c>
      <c r="K10" s="54">
        <v>0.22460287827182232</v>
      </c>
      <c r="L10" s="54"/>
      <c r="M10" s="54">
        <v>0.22460287827182232</v>
      </c>
    </row>
    <row r="11" spans="1:22" ht="18.75" customHeight="1" x14ac:dyDescent="0.3">
      <c r="D11" s="111"/>
      <c r="F11" s="45">
        <v>37347</v>
      </c>
      <c r="G11" s="53">
        <f t="shared" si="0"/>
        <v>2.8027312254655659</v>
      </c>
      <c r="H11" s="46">
        <v>79.599999999999994</v>
      </c>
      <c r="I11" s="46">
        <v>79.599999999999994</v>
      </c>
      <c r="K11" s="54">
        <v>6.8688421574020353</v>
      </c>
      <c r="L11" s="54"/>
      <c r="M11" s="54">
        <v>6.8688421574020353</v>
      </c>
    </row>
    <row r="12" spans="1:22" x14ac:dyDescent="0.3">
      <c r="D12" s="111"/>
      <c r="F12" s="45">
        <v>37377</v>
      </c>
      <c r="G12" s="53">
        <f t="shared" si="0"/>
        <v>1.0000083334583398</v>
      </c>
      <c r="H12" s="46">
        <v>80.400000000000006</v>
      </c>
      <c r="I12" s="46">
        <v>79.099999999999994</v>
      </c>
      <c r="K12" s="54">
        <v>-5.5188277653232447</v>
      </c>
      <c r="L12" s="54"/>
      <c r="M12" s="54">
        <v>-5.5188277653232447</v>
      </c>
    </row>
    <row r="13" spans="1:22" x14ac:dyDescent="0.3">
      <c r="D13" s="47"/>
      <c r="F13" s="45">
        <v>37408</v>
      </c>
      <c r="G13" s="53">
        <f t="shared" si="0"/>
        <v>-3.6736239825619466</v>
      </c>
      <c r="H13" s="46">
        <v>77.5</v>
      </c>
      <c r="I13" s="46">
        <v>79.400000000000006</v>
      </c>
      <c r="K13" s="54">
        <v>-2.4312302589565311</v>
      </c>
      <c r="L13" s="54"/>
      <c r="M13" s="54">
        <v>-2.4312302589565311</v>
      </c>
    </row>
    <row r="14" spans="1:22" x14ac:dyDescent="0.3">
      <c r="F14" s="45">
        <v>37438</v>
      </c>
      <c r="G14" s="53">
        <f t="shared" si="0"/>
        <v>7.2170612813495589</v>
      </c>
      <c r="H14" s="46">
        <v>83.3</v>
      </c>
      <c r="I14" s="46">
        <v>79.7</v>
      </c>
      <c r="K14" s="54">
        <v>1.9869393011204659</v>
      </c>
      <c r="L14" s="54"/>
      <c r="M14" s="54">
        <v>1.9869393011204659</v>
      </c>
    </row>
    <row r="15" spans="1:22" x14ac:dyDescent="0.3">
      <c r="F15" s="45">
        <v>37469</v>
      </c>
      <c r="G15" s="53">
        <f t="shared" si="0"/>
        <v>0.3594970917858793</v>
      </c>
      <c r="H15" s="46">
        <v>83.6</v>
      </c>
      <c r="I15" s="46">
        <v>78.599999999999994</v>
      </c>
      <c r="K15" s="54">
        <v>-2.4443016238566138</v>
      </c>
      <c r="L15" s="54"/>
      <c r="M15" s="54">
        <v>-2.4443016238566138</v>
      </c>
    </row>
    <row r="16" spans="1:22" x14ac:dyDescent="0.3">
      <c r="F16" s="45">
        <v>37500</v>
      </c>
      <c r="G16" s="53">
        <f t="shared" si="0"/>
        <v>-1.8105503632273354</v>
      </c>
      <c r="H16" s="46">
        <v>82.1</v>
      </c>
      <c r="I16" s="46">
        <v>79.7</v>
      </c>
      <c r="K16" s="54">
        <v>1.0146606755559135</v>
      </c>
      <c r="L16" s="54"/>
      <c r="M16" s="54">
        <v>1.0146606755559135</v>
      </c>
    </row>
    <row r="17" spans="6:13" x14ac:dyDescent="0.3">
      <c r="F17" s="45">
        <v>37530</v>
      </c>
      <c r="G17" s="53">
        <f t="shared" si="0"/>
        <v>8.2943023127581306</v>
      </c>
      <c r="H17" s="46">
        <v>89.2</v>
      </c>
      <c r="I17" s="46">
        <v>80.2</v>
      </c>
      <c r="K17" s="54">
        <v>4.7225693217673861</v>
      </c>
      <c r="L17" s="54"/>
      <c r="M17" s="54">
        <v>4.7225693217673861</v>
      </c>
    </row>
    <row r="18" spans="6:13" x14ac:dyDescent="0.3">
      <c r="F18" s="45">
        <v>37561</v>
      </c>
      <c r="G18" s="53">
        <f t="shared" si="0"/>
        <v>-6.1255426112803208</v>
      </c>
      <c r="H18" s="46">
        <v>83.9</v>
      </c>
      <c r="I18" s="46">
        <v>80.2</v>
      </c>
      <c r="K18" s="54">
        <v>-0.58337465728584181</v>
      </c>
      <c r="L18" s="54"/>
      <c r="M18" s="54">
        <v>-0.58337465728584181</v>
      </c>
    </row>
    <row r="19" spans="6:13" x14ac:dyDescent="0.3">
      <c r="F19" s="45">
        <v>37591</v>
      </c>
      <c r="G19" s="53">
        <f t="shared" si="0"/>
        <v>-11.748510626344547</v>
      </c>
      <c r="H19" s="46">
        <v>74.599999999999994</v>
      </c>
      <c r="I19" s="46">
        <v>79.599999999999994</v>
      </c>
      <c r="K19" s="54">
        <v>-0.66122229185945081</v>
      </c>
      <c r="L19" s="54"/>
      <c r="M19" s="54">
        <v>-0.66122229185945081</v>
      </c>
    </row>
    <row r="20" spans="6:13" x14ac:dyDescent="0.3">
      <c r="F20" s="45">
        <v>37622</v>
      </c>
      <c r="G20" s="53">
        <f t="shared" si="0"/>
        <v>-0.80754140055453072</v>
      </c>
      <c r="H20" s="46">
        <v>74</v>
      </c>
      <c r="I20" s="46">
        <v>79.7</v>
      </c>
      <c r="K20" s="54">
        <v>-0.24722363333822142</v>
      </c>
      <c r="L20" s="54"/>
      <c r="M20" s="54">
        <v>-0.24722363333822142</v>
      </c>
    </row>
    <row r="21" spans="6:13" x14ac:dyDescent="0.3">
      <c r="F21" s="45">
        <v>37653</v>
      </c>
      <c r="G21" s="53">
        <f t="shared" si="0"/>
        <v>-3.0180617149991287</v>
      </c>
      <c r="H21" s="46">
        <v>71.8</v>
      </c>
      <c r="I21" s="46">
        <v>79.7</v>
      </c>
      <c r="K21" s="54">
        <v>6.4997613633094059E-2</v>
      </c>
      <c r="L21" s="54"/>
      <c r="M21" s="54">
        <v>6.4997613633094059E-2</v>
      </c>
    </row>
    <row r="22" spans="6:13" x14ac:dyDescent="0.3">
      <c r="F22" s="45">
        <v>37681</v>
      </c>
      <c r="G22" s="53">
        <f t="shared" si="0"/>
        <v>7.5102304541503075</v>
      </c>
      <c r="H22" s="46">
        <v>77.400000000000006</v>
      </c>
      <c r="I22" s="46">
        <v>79.8</v>
      </c>
      <c r="K22" s="54">
        <v>-2.7438129504982021</v>
      </c>
      <c r="L22" s="54"/>
      <c r="M22" s="54">
        <v>-2.7438129504982021</v>
      </c>
    </row>
    <row r="23" spans="6:13" x14ac:dyDescent="0.3">
      <c r="F23" s="45">
        <v>37712</v>
      </c>
      <c r="G23" s="53">
        <f t="shared" si="0"/>
        <v>-1.1696039763191299</v>
      </c>
      <c r="H23" s="46">
        <v>76.5</v>
      </c>
      <c r="I23" s="46">
        <v>79.400000000000006</v>
      </c>
      <c r="K23" s="54">
        <v>2.8965069556173395</v>
      </c>
      <c r="L23" s="54"/>
      <c r="M23" s="54">
        <v>2.8965069556173395</v>
      </c>
    </row>
    <row r="24" spans="6:13" x14ac:dyDescent="0.3">
      <c r="F24" s="45">
        <v>37742</v>
      </c>
      <c r="G24" s="53">
        <f t="shared" si="0"/>
        <v>4.0978844963679268</v>
      </c>
      <c r="H24" s="46">
        <v>79.7</v>
      </c>
      <c r="I24" s="46">
        <v>77.8</v>
      </c>
      <c r="K24" s="54">
        <v>-2.4209516024136573</v>
      </c>
      <c r="L24" s="54"/>
      <c r="M24" s="54">
        <v>-2.4209516024136573</v>
      </c>
    </row>
    <row r="25" spans="6:13" x14ac:dyDescent="0.3">
      <c r="F25" s="45">
        <v>37773</v>
      </c>
      <c r="G25" s="53">
        <f t="shared" si="0"/>
        <v>-4.3596647505758162</v>
      </c>
      <c r="H25" s="46">
        <v>76.3</v>
      </c>
      <c r="I25" s="46">
        <v>78.2</v>
      </c>
      <c r="K25" s="54">
        <v>-3.1172710269704007</v>
      </c>
      <c r="L25" s="54"/>
      <c r="M25" s="54">
        <v>-3.1172710269704007</v>
      </c>
    </row>
    <row r="26" spans="6:13" x14ac:dyDescent="0.3">
      <c r="F26" s="45">
        <v>37803</v>
      </c>
      <c r="G26" s="53">
        <f t="shared" si="0"/>
        <v>6.3473078263353662</v>
      </c>
      <c r="H26" s="46">
        <v>81.3</v>
      </c>
      <c r="I26" s="46">
        <v>77.400000000000006</v>
      </c>
      <c r="K26" s="54">
        <v>1.1171858461062731</v>
      </c>
      <c r="L26" s="54"/>
      <c r="M26" s="54">
        <v>1.1171858461062731</v>
      </c>
    </row>
    <row r="27" spans="6:13" x14ac:dyDescent="0.3">
      <c r="F27" s="45">
        <v>37834</v>
      </c>
      <c r="G27" s="53">
        <f t="shared" si="0"/>
        <v>0.36832454162963679</v>
      </c>
      <c r="H27" s="46">
        <v>81.599999999999994</v>
      </c>
      <c r="I27" s="46">
        <v>78.5</v>
      </c>
      <c r="K27" s="54">
        <v>-2.4354741740128558</v>
      </c>
      <c r="L27" s="54"/>
      <c r="M27" s="54">
        <v>-2.4354741740128558</v>
      </c>
    </row>
    <row r="28" spans="6:13" x14ac:dyDescent="0.3">
      <c r="F28" s="45">
        <v>37865</v>
      </c>
      <c r="G28" s="53">
        <f t="shared" si="0"/>
        <v>4.9023563633672822</v>
      </c>
      <c r="H28" s="46">
        <v>85.7</v>
      </c>
      <c r="I28" s="46">
        <v>81.3</v>
      </c>
      <c r="K28" s="54">
        <v>7.7275674021505312</v>
      </c>
      <c r="L28" s="54"/>
      <c r="M28" s="54">
        <v>7.7275674021505312</v>
      </c>
    </row>
    <row r="29" spans="6:13" x14ac:dyDescent="0.3">
      <c r="F29" s="45">
        <v>37895</v>
      </c>
      <c r="G29" s="53">
        <f t="shared" si="0"/>
        <v>4.8956844726530981</v>
      </c>
      <c r="H29" s="46">
        <v>90</v>
      </c>
      <c r="I29" s="46">
        <v>81.599999999999994</v>
      </c>
      <c r="K29" s="54">
        <v>1.3239514816623537</v>
      </c>
      <c r="L29" s="54"/>
      <c r="M29" s="54">
        <v>1.3239514816623537</v>
      </c>
    </row>
    <row r="30" spans="6:13" x14ac:dyDescent="0.3">
      <c r="F30" s="45">
        <v>37926</v>
      </c>
      <c r="G30" s="53">
        <f t="shared" si="0"/>
        <v>-6.1875403718087529</v>
      </c>
      <c r="H30" s="46">
        <v>84.6</v>
      </c>
      <c r="I30" s="46">
        <v>82.6</v>
      </c>
      <c r="K30" s="54">
        <v>-0.6453724178142739</v>
      </c>
      <c r="L30" s="54"/>
      <c r="M30" s="54">
        <v>-0.6453724178142739</v>
      </c>
    </row>
    <row r="31" spans="6:13" x14ac:dyDescent="0.3">
      <c r="F31" s="45">
        <v>37956</v>
      </c>
      <c r="G31" s="53">
        <f t="shared" si="0"/>
        <v>-8.2508313735474825</v>
      </c>
      <c r="H31" s="46">
        <v>77.900000000000006</v>
      </c>
      <c r="I31" s="46">
        <v>81.2</v>
      </c>
      <c r="K31" s="54">
        <v>2.836456960937614</v>
      </c>
      <c r="L31" s="54"/>
      <c r="M31" s="54">
        <v>2.836456960937614</v>
      </c>
    </row>
    <row r="32" spans="6:13" x14ac:dyDescent="0.3">
      <c r="F32" s="45">
        <v>37987</v>
      </c>
      <c r="G32" s="53">
        <f t="shared" si="0"/>
        <v>-1.4221312723076169</v>
      </c>
      <c r="H32" s="46">
        <v>76.8</v>
      </c>
      <c r="I32" s="46">
        <v>82.7</v>
      </c>
      <c r="K32" s="54">
        <v>-0.86181350509130761</v>
      </c>
      <c r="L32" s="54"/>
      <c r="M32" s="54">
        <v>-0.86181350509130761</v>
      </c>
    </row>
    <row r="33" spans="6:13" x14ac:dyDescent="0.3">
      <c r="F33" s="45">
        <v>38018</v>
      </c>
      <c r="G33" s="53">
        <f t="shared" si="0"/>
        <v>-3.7139546949456657</v>
      </c>
      <c r="H33" s="46">
        <v>74</v>
      </c>
      <c r="I33" s="46">
        <v>84</v>
      </c>
      <c r="K33" s="54">
        <v>-0.6308953663134429</v>
      </c>
      <c r="L33" s="54"/>
      <c r="M33" s="54">
        <v>-0.6308953663134429</v>
      </c>
    </row>
    <row r="34" spans="6:13" x14ac:dyDescent="0.3">
      <c r="F34" s="45">
        <v>38047</v>
      </c>
      <c r="G34" s="53">
        <f t="shared" si="0"/>
        <v>16.069293906717668</v>
      </c>
      <c r="H34" s="46">
        <v>86.9</v>
      </c>
      <c r="I34" s="46">
        <v>84.5</v>
      </c>
      <c r="K34" s="54">
        <v>5.8152505020691585</v>
      </c>
      <c r="L34" s="54"/>
      <c r="M34" s="54">
        <v>5.8152505020691585</v>
      </c>
    </row>
    <row r="35" spans="6:13" x14ac:dyDescent="0.3">
      <c r="F35" s="45">
        <v>38078</v>
      </c>
      <c r="G35" s="53">
        <f t="shared" si="0"/>
        <v>-5.5602730209212119</v>
      </c>
      <c r="H35" s="46">
        <v>82.2</v>
      </c>
      <c r="I35" s="46">
        <v>85.1</v>
      </c>
      <c r="K35" s="54">
        <v>-1.4941620889847425</v>
      </c>
      <c r="L35" s="54"/>
      <c r="M35" s="54">
        <v>-1.4941620889847425</v>
      </c>
    </row>
    <row r="36" spans="6:13" x14ac:dyDescent="0.3">
      <c r="F36" s="45">
        <v>38108</v>
      </c>
      <c r="G36" s="53">
        <f t="shared" si="0"/>
        <v>4.8674296027248021</v>
      </c>
      <c r="H36" s="46">
        <v>86.3</v>
      </c>
      <c r="I36" s="46">
        <v>85.9</v>
      </c>
      <c r="K36" s="54">
        <v>-1.651406496056782</v>
      </c>
      <c r="L36" s="54"/>
      <c r="M36" s="54">
        <v>-1.651406496056782</v>
      </c>
    </row>
    <row r="37" spans="6:13" x14ac:dyDescent="0.3">
      <c r="F37" s="45">
        <v>38139</v>
      </c>
      <c r="G37" s="53">
        <f t="shared" si="0"/>
        <v>-0.23201866556971981</v>
      </c>
      <c r="H37" s="46">
        <v>86.1</v>
      </c>
      <c r="I37" s="46">
        <v>86.1</v>
      </c>
      <c r="K37" s="54">
        <v>1.0103750580356954</v>
      </c>
      <c r="L37" s="54"/>
      <c r="M37" s="54">
        <v>1.0103750580356954</v>
      </c>
    </row>
    <row r="38" spans="6:13" x14ac:dyDescent="0.3">
      <c r="F38" s="45">
        <v>38169</v>
      </c>
      <c r="G38" s="53">
        <f t="shared" si="0"/>
        <v>4.5410753180607175</v>
      </c>
      <c r="H38" s="46">
        <v>90.1</v>
      </c>
      <c r="I38" s="46">
        <v>86.7</v>
      </c>
      <c r="K38" s="54">
        <v>-0.68904666216837551</v>
      </c>
      <c r="L38" s="54"/>
      <c r="M38" s="54">
        <v>-0.68904666216837551</v>
      </c>
    </row>
    <row r="39" spans="6:13" x14ac:dyDescent="0.3">
      <c r="F39" s="45">
        <v>38200</v>
      </c>
      <c r="G39" s="53">
        <f t="shared" si="0"/>
        <v>2.1954778646968967</v>
      </c>
      <c r="H39" s="46">
        <v>92.1</v>
      </c>
      <c r="I39" s="46">
        <v>87.6</v>
      </c>
      <c r="K39" s="54">
        <v>-0.60832085094559618</v>
      </c>
      <c r="L39" s="54"/>
      <c r="M39" s="54">
        <v>-0.60832085094559618</v>
      </c>
    </row>
    <row r="40" spans="6:13" x14ac:dyDescent="0.3">
      <c r="F40" s="45">
        <v>38231</v>
      </c>
      <c r="G40" s="53">
        <f t="shared" si="0"/>
        <v>0</v>
      </c>
      <c r="H40" s="46">
        <v>92.1</v>
      </c>
      <c r="I40" s="46">
        <v>88.2</v>
      </c>
      <c r="K40" s="54">
        <v>2.825211038783249</v>
      </c>
      <c r="L40" s="54"/>
      <c r="M40" s="54">
        <v>2.825211038783249</v>
      </c>
    </row>
    <row r="41" spans="6:13" x14ac:dyDescent="0.3">
      <c r="F41" s="45">
        <v>38261</v>
      </c>
      <c r="G41" s="53">
        <f t="shared" si="0"/>
        <v>1.5086493033380162</v>
      </c>
      <c r="H41" s="46">
        <v>93.5</v>
      </c>
      <c r="I41" s="46">
        <v>87.5</v>
      </c>
      <c r="K41" s="54">
        <v>-2.0630836876527283</v>
      </c>
      <c r="L41" s="54"/>
      <c r="M41" s="54">
        <v>-2.0630836876527283</v>
      </c>
    </row>
    <row r="42" spans="6:13" x14ac:dyDescent="0.3">
      <c r="F42" s="45">
        <v>38292</v>
      </c>
      <c r="G42" s="53">
        <f t="shared" si="0"/>
        <v>-1.8349138668196541</v>
      </c>
      <c r="H42" s="46">
        <v>91.8</v>
      </c>
      <c r="I42" s="46">
        <v>87.5</v>
      </c>
      <c r="K42" s="54">
        <v>3.707254087174825</v>
      </c>
      <c r="L42" s="54"/>
      <c r="M42" s="54">
        <v>3.707254087174825</v>
      </c>
    </row>
    <row r="43" spans="6:13" x14ac:dyDescent="0.3">
      <c r="F43" s="45">
        <v>38322</v>
      </c>
      <c r="G43" s="53">
        <f t="shared" si="0"/>
        <v>-8.0496695968436054</v>
      </c>
      <c r="H43" s="46">
        <v>84.7</v>
      </c>
      <c r="I43" s="46">
        <v>88.3</v>
      </c>
      <c r="K43" s="54">
        <v>3.0376187376414912</v>
      </c>
      <c r="L43" s="54"/>
      <c r="M43" s="54">
        <v>3.0376187376414912</v>
      </c>
    </row>
    <row r="44" spans="6:13" x14ac:dyDescent="0.3">
      <c r="F44" s="45">
        <v>38353</v>
      </c>
      <c r="G44" s="53">
        <f t="shared" si="0"/>
        <v>-4.4666446985569994</v>
      </c>
      <c r="H44" s="46">
        <v>81</v>
      </c>
      <c r="I44" s="46">
        <v>88.7</v>
      </c>
      <c r="K44" s="54">
        <v>-3.9063269313406899</v>
      </c>
      <c r="L44" s="54"/>
      <c r="M44" s="54">
        <v>-3.9063269313406899</v>
      </c>
    </row>
    <row r="45" spans="6:13" x14ac:dyDescent="0.3">
      <c r="F45" s="45">
        <v>38384</v>
      </c>
      <c r="G45" s="53">
        <f t="shared" si="0"/>
        <v>-5.8466458499963849</v>
      </c>
      <c r="H45" s="46">
        <v>76.400000000000006</v>
      </c>
      <c r="I45" s="46">
        <v>87.3</v>
      </c>
      <c r="K45" s="54">
        <v>-2.7635865213641622</v>
      </c>
      <c r="L45" s="54"/>
      <c r="M45" s="54">
        <v>-2.7635865213641622</v>
      </c>
    </row>
    <row r="46" spans="6:13" x14ac:dyDescent="0.3">
      <c r="F46" s="45">
        <v>38412</v>
      </c>
      <c r="G46" s="53">
        <f t="shared" si="0"/>
        <v>14.135411830573155</v>
      </c>
      <c r="H46" s="46">
        <v>88</v>
      </c>
      <c r="I46" s="46">
        <v>88.2</v>
      </c>
      <c r="K46" s="54">
        <v>3.881368425924645</v>
      </c>
      <c r="L46" s="54"/>
      <c r="M46" s="54">
        <v>3.881368425924645</v>
      </c>
    </row>
    <row r="47" spans="6:13" x14ac:dyDescent="0.3">
      <c r="F47" s="45">
        <v>38443</v>
      </c>
      <c r="G47" s="53">
        <f t="shared" si="0"/>
        <v>-1.1428695823622743</v>
      </c>
      <c r="H47" s="46">
        <v>87</v>
      </c>
      <c r="I47" s="46">
        <v>88.3</v>
      </c>
      <c r="K47" s="54">
        <v>2.9232413495741953</v>
      </c>
      <c r="L47" s="54"/>
      <c r="M47" s="54">
        <v>2.9232413495741953</v>
      </c>
    </row>
    <row r="48" spans="6:13" x14ac:dyDescent="0.3">
      <c r="F48" s="45">
        <v>38473</v>
      </c>
      <c r="G48" s="53">
        <f t="shared" si="0"/>
        <v>4.6049685611328837</v>
      </c>
      <c r="H48" s="46">
        <v>91.1</v>
      </c>
      <c r="I48" s="46">
        <v>91.3</v>
      </c>
      <c r="K48" s="54">
        <v>-1.9138675376487004</v>
      </c>
      <c r="L48" s="54"/>
      <c r="M48" s="54">
        <v>-1.9138675376487004</v>
      </c>
    </row>
    <row r="49" spans="6:13" x14ac:dyDescent="0.3">
      <c r="F49" s="45">
        <v>38504</v>
      </c>
      <c r="G49" s="53">
        <f t="shared" si="0"/>
        <v>0.32876741941917081</v>
      </c>
      <c r="H49" s="46">
        <v>91.4</v>
      </c>
      <c r="I49" s="46">
        <v>89.5</v>
      </c>
      <c r="K49" s="54">
        <v>1.571161143024586</v>
      </c>
      <c r="L49" s="54"/>
      <c r="M49" s="54">
        <v>1.571161143024586</v>
      </c>
    </row>
    <row r="50" spans="6:13" x14ac:dyDescent="0.3">
      <c r="F50" s="45">
        <v>38534</v>
      </c>
      <c r="G50" s="53">
        <f t="shared" si="0"/>
        <v>-0.98956277542239612</v>
      </c>
      <c r="H50" s="46">
        <v>90.5</v>
      </c>
      <c r="I50" s="46">
        <v>88.9</v>
      </c>
      <c r="K50" s="54">
        <v>-6.2196847556514889</v>
      </c>
      <c r="L50" s="54"/>
      <c r="M50" s="54">
        <v>-6.2196847556514889</v>
      </c>
    </row>
    <row r="51" spans="6:13" x14ac:dyDescent="0.3">
      <c r="F51" s="45">
        <v>38565</v>
      </c>
      <c r="G51" s="53">
        <f t="shared" si="0"/>
        <v>5.482296935147505</v>
      </c>
      <c r="H51" s="46">
        <v>95.6</v>
      </c>
      <c r="I51" s="46">
        <v>89.1</v>
      </c>
      <c r="K51" s="54">
        <v>2.6784982195050122</v>
      </c>
      <c r="L51" s="54"/>
      <c r="M51" s="54">
        <v>2.6784982195050122</v>
      </c>
    </row>
    <row r="52" spans="6:13" x14ac:dyDescent="0.3">
      <c r="F52" s="45">
        <v>38596</v>
      </c>
      <c r="G52" s="53">
        <f t="shared" si="0"/>
        <v>-3.8384243008315222</v>
      </c>
      <c r="H52" s="46">
        <v>92</v>
      </c>
      <c r="I52" s="46">
        <v>88.3</v>
      </c>
      <c r="K52" s="54">
        <v>-1.0132132620482732</v>
      </c>
      <c r="L52" s="54"/>
      <c r="M52" s="54">
        <v>-1.0132132620482732</v>
      </c>
    </row>
    <row r="53" spans="6:13" x14ac:dyDescent="0.3">
      <c r="F53" s="45">
        <v>38626</v>
      </c>
      <c r="G53" s="53">
        <f t="shared" si="0"/>
        <v>1.8309612195336253</v>
      </c>
      <c r="H53" s="46">
        <v>93.7</v>
      </c>
      <c r="I53" s="46">
        <v>87.6</v>
      </c>
      <c r="K53" s="54">
        <v>-1.7407717714571191</v>
      </c>
      <c r="L53" s="54"/>
      <c r="M53" s="54">
        <v>-1.7407717714571191</v>
      </c>
    </row>
    <row r="54" spans="6:13" x14ac:dyDescent="0.3">
      <c r="F54" s="45">
        <v>38657</v>
      </c>
      <c r="G54" s="53">
        <f t="shared" si="0"/>
        <v>-1.3971210596737951</v>
      </c>
      <c r="H54" s="46">
        <v>92.4</v>
      </c>
      <c r="I54" s="46">
        <v>88.6</v>
      </c>
      <c r="K54" s="54">
        <v>4.145046894320684</v>
      </c>
      <c r="L54" s="54"/>
      <c r="M54" s="54">
        <v>4.145046894320684</v>
      </c>
    </row>
    <row r="55" spans="6:13" x14ac:dyDescent="0.3">
      <c r="F55" s="45">
        <v>38687</v>
      </c>
      <c r="G55" s="53">
        <f t="shared" si="0"/>
        <v>-6.4827163079249166</v>
      </c>
      <c r="H55" s="46">
        <v>86.6</v>
      </c>
      <c r="I55" s="46">
        <v>90.5</v>
      </c>
      <c r="K55" s="54">
        <v>4.6045720265601799</v>
      </c>
      <c r="L55" s="54"/>
      <c r="M55" s="54">
        <v>4.6045720265601799</v>
      </c>
    </row>
    <row r="56" spans="6:13" x14ac:dyDescent="0.3">
      <c r="F56" s="45">
        <v>38718</v>
      </c>
      <c r="G56" s="53">
        <f t="shared" si="0"/>
        <v>-3.4060838072959752</v>
      </c>
      <c r="H56" s="46">
        <v>83.7</v>
      </c>
      <c r="I56" s="46">
        <v>90.8</v>
      </c>
      <c r="K56" s="54">
        <v>-2.845766040079666</v>
      </c>
      <c r="L56" s="54"/>
      <c r="M56" s="54">
        <v>-2.845766040079666</v>
      </c>
    </row>
    <row r="57" spans="6:13" x14ac:dyDescent="0.3">
      <c r="F57" s="45">
        <v>38749</v>
      </c>
      <c r="G57" s="53">
        <f t="shared" si="0"/>
        <v>-4.2715462622960851</v>
      </c>
      <c r="H57" s="46">
        <v>80.2</v>
      </c>
      <c r="I57" s="46">
        <v>91.4</v>
      </c>
      <c r="K57" s="54">
        <v>-1.1884869336638624</v>
      </c>
      <c r="L57" s="54"/>
      <c r="M57" s="54">
        <v>-1.1884869336638624</v>
      </c>
    </row>
    <row r="58" spans="6:13" x14ac:dyDescent="0.3">
      <c r="F58" s="45">
        <v>38777</v>
      </c>
      <c r="G58" s="53">
        <f t="shared" si="0"/>
        <v>14.160346377516964</v>
      </c>
      <c r="H58" s="46">
        <v>92.4</v>
      </c>
      <c r="I58" s="46">
        <v>90.7</v>
      </c>
      <c r="K58" s="54">
        <v>3.9063029728684544</v>
      </c>
      <c r="L58" s="54"/>
      <c r="M58" s="54">
        <v>3.9063029728684544</v>
      </c>
    </row>
    <row r="59" spans="6:13" x14ac:dyDescent="0.3">
      <c r="F59" s="45">
        <v>38808</v>
      </c>
      <c r="G59" s="53">
        <f t="shared" si="0"/>
        <v>-7.5274153043904395</v>
      </c>
      <c r="H59" s="46">
        <v>85.7</v>
      </c>
      <c r="I59" s="46">
        <v>91.4</v>
      </c>
      <c r="K59" s="54">
        <v>-3.46130437245397</v>
      </c>
      <c r="L59" s="54"/>
      <c r="M59" s="54">
        <v>-3.46130437245397</v>
      </c>
    </row>
    <row r="60" spans="6:13" x14ac:dyDescent="0.3">
      <c r="F60" s="45">
        <v>38838</v>
      </c>
      <c r="G60" s="53">
        <f t="shared" si="0"/>
        <v>10.722575285050679</v>
      </c>
      <c r="H60" s="46">
        <v>95.4</v>
      </c>
      <c r="I60" s="46">
        <v>92.2</v>
      </c>
      <c r="K60" s="54">
        <v>4.2037391862690949</v>
      </c>
      <c r="L60" s="54"/>
      <c r="M60" s="54">
        <v>4.2037391862690949</v>
      </c>
    </row>
    <row r="61" spans="6:13" x14ac:dyDescent="0.3">
      <c r="F61" s="45">
        <v>38869</v>
      </c>
      <c r="G61" s="53">
        <f t="shared" si="0"/>
        <v>-4.6120774188328273</v>
      </c>
      <c r="H61" s="46">
        <v>91.1</v>
      </c>
      <c r="I61" s="46">
        <v>90.6</v>
      </c>
      <c r="K61" s="54">
        <v>-3.3696836952274118</v>
      </c>
      <c r="L61" s="54"/>
      <c r="M61" s="54">
        <v>-3.3696836952274118</v>
      </c>
    </row>
    <row r="62" spans="6:13" x14ac:dyDescent="0.3">
      <c r="F62" s="45">
        <v>38899</v>
      </c>
      <c r="G62" s="53">
        <f t="shared" si="0"/>
        <v>2.9207051746266317</v>
      </c>
      <c r="H62" s="46">
        <v>93.8</v>
      </c>
      <c r="I62" s="46">
        <v>91.6</v>
      </c>
      <c r="K62" s="54">
        <v>-2.3094168056024613</v>
      </c>
      <c r="L62" s="54"/>
      <c r="M62" s="54">
        <v>-2.3094168056024613</v>
      </c>
    </row>
    <row r="63" spans="6:13" x14ac:dyDescent="0.3">
      <c r="F63" s="45">
        <v>38930</v>
      </c>
      <c r="G63" s="53">
        <f t="shared" si="0"/>
        <v>4.9906405596410703</v>
      </c>
      <c r="H63" s="46">
        <v>98.6</v>
      </c>
      <c r="I63" s="46">
        <v>91.4</v>
      </c>
      <c r="K63" s="54">
        <v>2.1868418439985775</v>
      </c>
      <c r="L63" s="54"/>
      <c r="M63" s="54">
        <v>2.1868418439985775</v>
      </c>
    </row>
    <row r="64" spans="6:13" x14ac:dyDescent="0.3">
      <c r="F64" s="45">
        <v>38961</v>
      </c>
      <c r="G64" s="53">
        <f t="shared" si="0"/>
        <v>-5.6323539917044103</v>
      </c>
      <c r="H64" s="46">
        <v>93.2</v>
      </c>
      <c r="I64" s="46">
        <v>90.4</v>
      </c>
      <c r="K64" s="54">
        <v>-2.8071429529211613</v>
      </c>
      <c r="L64" s="54"/>
      <c r="M64" s="54">
        <v>-2.8071429529211613</v>
      </c>
    </row>
    <row r="65" spans="6:13" x14ac:dyDescent="0.3">
      <c r="F65" s="45">
        <v>38991</v>
      </c>
      <c r="G65" s="53">
        <f t="shared" si="0"/>
        <v>4.5104656312255988</v>
      </c>
      <c r="H65" s="46">
        <v>97.5</v>
      </c>
      <c r="I65" s="46">
        <v>90.8</v>
      </c>
      <c r="K65" s="54">
        <v>0.93873264023485437</v>
      </c>
      <c r="L65" s="54"/>
      <c r="M65" s="54">
        <v>0.93873264023485437</v>
      </c>
    </row>
    <row r="66" spans="6:13" x14ac:dyDescent="0.3">
      <c r="F66" s="45">
        <v>39022</v>
      </c>
      <c r="G66" s="53">
        <f t="shared" si="0"/>
        <v>-1.6546396114408941</v>
      </c>
      <c r="H66" s="46">
        <v>95.9</v>
      </c>
      <c r="I66" s="46">
        <v>92.1</v>
      </c>
      <c r="K66" s="54">
        <v>3.8875283425535851</v>
      </c>
      <c r="L66" s="54"/>
      <c r="M66" s="54">
        <v>3.8875283425535851</v>
      </c>
    </row>
    <row r="67" spans="6:13" x14ac:dyDescent="0.3">
      <c r="F67" s="45">
        <v>39052</v>
      </c>
      <c r="G67" s="53">
        <f t="shared" si="0"/>
        <v>-9.7397863234808941</v>
      </c>
      <c r="H67" s="46">
        <v>87</v>
      </c>
      <c r="I67" s="46">
        <v>93.3</v>
      </c>
      <c r="K67" s="54">
        <v>1.3475020110042024</v>
      </c>
      <c r="L67" s="54"/>
      <c r="M67" s="54">
        <v>1.3475020110042024</v>
      </c>
    </row>
    <row r="68" spans="6:13" x14ac:dyDescent="0.3">
      <c r="F68" s="45">
        <v>39083</v>
      </c>
      <c r="G68" s="53">
        <f t="shared" si="0"/>
        <v>0</v>
      </c>
      <c r="H68" s="46">
        <v>87</v>
      </c>
      <c r="I68" s="46">
        <v>92.7</v>
      </c>
      <c r="K68" s="54">
        <v>0.56031776721630933</v>
      </c>
      <c r="L68" s="54"/>
      <c r="M68" s="54">
        <v>0.56031776721630933</v>
      </c>
    </row>
    <row r="69" spans="6:13" x14ac:dyDescent="0.3">
      <c r="F69" s="45">
        <v>39114</v>
      </c>
      <c r="G69" s="53">
        <f t="shared" si="0"/>
        <v>-5.1898438127651367</v>
      </c>
      <c r="H69" s="46">
        <v>82.6</v>
      </c>
      <c r="I69" s="46">
        <v>93.9</v>
      </c>
      <c r="K69" s="54">
        <v>-2.106784484132914</v>
      </c>
      <c r="L69" s="54"/>
      <c r="M69" s="54">
        <v>-2.106784484132914</v>
      </c>
    </row>
    <row r="70" spans="6:13" x14ac:dyDescent="0.3">
      <c r="F70" s="45">
        <v>39142</v>
      </c>
      <c r="G70" s="53">
        <f t="shared" si="0"/>
        <v>15.449652108956771</v>
      </c>
      <c r="H70" s="46">
        <v>96.4</v>
      </c>
      <c r="I70" s="46">
        <v>94.9</v>
      </c>
      <c r="K70" s="54">
        <v>5.1956087043082615</v>
      </c>
      <c r="L70" s="54"/>
      <c r="M70" s="54">
        <v>5.1956087043082615</v>
      </c>
    </row>
    <row r="71" spans="6:13" x14ac:dyDescent="0.3">
      <c r="F71" s="45">
        <v>39173</v>
      </c>
      <c r="G71" s="53">
        <f t="shared" si="0"/>
        <v>-6.205198856756641</v>
      </c>
      <c r="H71" s="46">
        <v>90.6</v>
      </c>
      <c r="I71" s="46">
        <v>96</v>
      </c>
      <c r="K71" s="54">
        <v>-2.1390879248201715</v>
      </c>
      <c r="L71" s="54"/>
      <c r="M71" s="54">
        <v>-2.1390879248201715</v>
      </c>
    </row>
    <row r="72" spans="6:13" x14ac:dyDescent="0.3">
      <c r="F72" s="45">
        <v>39203</v>
      </c>
      <c r="G72" s="53">
        <f t="shared" si="0"/>
        <v>9.7715472605574369</v>
      </c>
      <c r="H72" s="46">
        <v>99.9</v>
      </c>
      <c r="I72" s="46">
        <v>96.3</v>
      </c>
      <c r="K72" s="54">
        <v>3.2527111617758528</v>
      </c>
      <c r="L72" s="54"/>
      <c r="M72" s="54">
        <v>3.2527111617758528</v>
      </c>
    </row>
    <row r="73" spans="6:13" x14ac:dyDescent="0.3">
      <c r="F73" s="45">
        <v>39234</v>
      </c>
      <c r="G73" s="53">
        <f t="shared" si="0"/>
        <v>-3.0490166757787276</v>
      </c>
      <c r="H73" s="46">
        <v>96.9</v>
      </c>
      <c r="I73" s="46">
        <v>97</v>
      </c>
      <c r="K73" s="54">
        <v>-1.8066229521733124</v>
      </c>
      <c r="L73" s="54"/>
      <c r="M73" s="54">
        <v>-1.8066229521733124</v>
      </c>
    </row>
    <row r="74" spans="6:13" x14ac:dyDescent="0.3">
      <c r="F74" s="45">
        <v>39264</v>
      </c>
      <c r="G74" s="53">
        <f t="shared" ref="G74:G137" si="1">LN(H74/H73)*100</f>
        <v>2.9488664420697721</v>
      </c>
      <c r="H74" s="46">
        <v>99.8</v>
      </c>
      <c r="I74" s="46">
        <v>96.5</v>
      </c>
      <c r="K74" s="54">
        <v>-2.2812555381593209</v>
      </c>
      <c r="L74" s="54"/>
      <c r="M74" s="54">
        <v>-2.2812555381593209</v>
      </c>
    </row>
    <row r="75" spans="6:13" x14ac:dyDescent="0.3">
      <c r="F75" s="45">
        <v>39295</v>
      </c>
      <c r="G75" s="53">
        <f t="shared" si="1"/>
        <v>4.9839332084833199</v>
      </c>
      <c r="H75" s="46">
        <v>104.9</v>
      </c>
      <c r="I75" s="46">
        <v>97.9</v>
      </c>
      <c r="K75" s="54">
        <v>2.1801344928408271</v>
      </c>
      <c r="L75" s="54"/>
      <c r="M75" s="54">
        <v>2.1801344928408271</v>
      </c>
    </row>
    <row r="76" spans="6:13" x14ac:dyDescent="0.3">
      <c r="F76" s="45">
        <v>39326</v>
      </c>
      <c r="G76" s="53">
        <f t="shared" si="1"/>
        <v>-6.3966711344043752</v>
      </c>
      <c r="H76" s="46">
        <v>98.4</v>
      </c>
      <c r="I76" s="46">
        <v>97.2</v>
      </c>
      <c r="K76" s="54">
        <v>-3.5714600956211262</v>
      </c>
      <c r="L76" s="54"/>
      <c r="M76" s="54">
        <v>-3.5714600956211262</v>
      </c>
    </row>
    <row r="77" spans="6:13" x14ac:dyDescent="0.3">
      <c r="F77" s="45">
        <v>39356</v>
      </c>
      <c r="G77" s="53">
        <f t="shared" si="1"/>
        <v>9.1236854416688988</v>
      </c>
      <c r="H77" s="46">
        <v>107.8</v>
      </c>
      <c r="I77" s="46">
        <v>99.5</v>
      </c>
      <c r="K77" s="54">
        <v>5.5519524506781543</v>
      </c>
      <c r="L77" s="54"/>
      <c r="M77" s="54">
        <v>5.5519524506781543</v>
      </c>
    </row>
    <row r="78" spans="6:13" x14ac:dyDescent="0.3">
      <c r="F78" s="45">
        <v>39387</v>
      </c>
      <c r="G78" s="53">
        <f t="shared" si="1"/>
        <v>-5.1390945869489242</v>
      </c>
      <c r="H78" s="46">
        <v>102.4</v>
      </c>
      <c r="I78" s="46">
        <v>98.5</v>
      </c>
      <c r="K78" s="54">
        <v>0.40307336704555485</v>
      </c>
      <c r="L78" s="54"/>
      <c r="M78" s="54">
        <v>0.40307336704555485</v>
      </c>
    </row>
    <row r="79" spans="6:13" x14ac:dyDescent="0.3">
      <c r="F79" s="45">
        <v>39417</v>
      </c>
      <c r="G79" s="53">
        <f t="shared" si="1"/>
        <v>-10.059757095327383</v>
      </c>
      <c r="H79" s="46">
        <v>92.6</v>
      </c>
      <c r="I79" s="46">
        <v>98.9</v>
      </c>
      <c r="K79" s="54">
        <v>1.0275312391577138</v>
      </c>
      <c r="L79" s="54"/>
      <c r="M79" s="54">
        <v>1.0275312391577138</v>
      </c>
    </row>
    <row r="80" spans="6:13" x14ac:dyDescent="0.3">
      <c r="F80" s="45">
        <v>39448</v>
      </c>
      <c r="G80" s="53">
        <f t="shared" si="1"/>
        <v>2.3480267608842449</v>
      </c>
      <c r="H80" s="46">
        <v>94.8</v>
      </c>
      <c r="I80" s="46">
        <v>100.6</v>
      </c>
      <c r="K80" s="54">
        <v>2.908344528100554</v>
      </c>
      <c r="L80" s="54"/>
      <c r="M80" s="54">
        <v>2.908344528100554</v>
      </c>
    </row>
    <row r="81" spans="6:13" x14ac:dyDescent="0.3">
      <c r="F81" s="45">
        <v>39479</v>
      </c>
      <c r="G81" s="53">
        <f t="shared" si="1"/>
        <v>-3.9811604995063505</v>
      </c>
      <c r="H81" s="46">
        <v>91.1</v>
      </c>
      <c r="I81" s="46">
        <v>100.2</v>
      </c>
      <c r="K81" s="54">
        <v>-0.89810117087412777</v>
      </c>
      <c r="L81" s="54"/>
      <c r="M81" s="54">
        <v>-0.89810117087412777</v>
      </c>
    </row>
    <row r="82" spans="6:13" x14ac:dyDescent="0.3">
      <c r="F82" s="45">
        <v>39508</v>
      </c>
      <c r="G82" s="53">
        <f t="shared" si="1"/>
        <v>6.9943754782824428</v>
      </c>
      <c r="H82" s="46">
        <v>97.7</v>
      </c>
      <c r="I82" s="46">
        <v>100.5</v>
      </c>
      <c r="K82" s="54">
        <v>-3.2596679263660668</v>
      </c>
      <c r="L82" s="54"/>
      <c r="M82" s="54">
        <v>-3.2596679263660668</v>
      </c>
    </row>
    <row r="83" spans="6:13" x14ac:dyDescent="0.3">
      <c r="F83" s="45">
        <v>39539</v>
      </c>
      <c r="G83" s="53">
        <f t="shared" si="1"/>
        <v>1.5236455242089986</v>
      </c>
      <c r="H83" s="46">
        <v>99.2</v>
      </c>
      <c r="I83" s="46">
        <v>100.4</v>
      </c>
      <c r="K83" s="54">
        <v>5.5897564561454676</v>
      </c>
      <c r="L83" s="54"/>
      <c r="M83" s="54">
        <v>5.5897564561454676</v>
      </c>
    </row>
    <row r="84" spans="6:13" x14ac:dyDescent="0.3">
      <c r="F84" s="45">
        <v>39569</v>
      </c>
      <c r="G84" s="53">
        <f t="shared" si="1"/>
        <v>3.2724784287635709</v>
      </c>
      <c r="H84" s="46">
        <v>102.5</v>
      </c>
      <c r="I84" s="46">
        <v>101.1</v>
      </c>
      <c r="K84" s="54">
        <v>-3.2463576700180132</v>
      </c>
      <c r="L84" s="54"/>
      <c r="M84" s="54">
        <v>-3.2463576700180132</v>
      </c>
    </row>
    <row r="85" spans="6:13" x14ac:dyDescent="0.3">
      <c r="F85" s="45">
        <v>39600</v>
      </c>
      <c r="G85" s="53">
        <f t="shared" si="1"/>
        <v>0.77745775471300005</v>
      </c>
      <c r="H85" s="46">
        <v>103.3</v>
      </c>
      <c r="I85" s="46">
        <v>102.9</v>
      </c>
      <c r="K85" s="54">
        <v>2.0198514783184152</v>
      </c>
      <c r="L85" s="54"/>
      <c r="M85" s="54">
        <v>2.0198514783184152</v>
      </c>
    </row>
    <row r="86" spans="6:13" x14ac:dyDescent="0.3">
      <c r="F86" s="45">
        <v>39630</v>
      </c>
      <c r="G86" s="53">
        <f t="shared" si="1"/>
        <v>4.9112796854921346</v>
      </c>
      <c r="H86" s="46">
        <v>108.5</v>
      </c>
      <c r="I86" s="46">
        <v>103.2</v>
      </c>
      <c r="K86" s="54">
        <v>-0.31884229473695846</v>
      </c>
      <c r="L86" s="54"/>
      <c r="M86" s="54">
        <v>-0.31884229473695846</v>
      </c>
    </row>
    <row r="87" spans="6:13" x14ac:dyDescent="0.3">
      <c r="F87" s="45">
        <v>39661</v>
      </c>
      <c r="G87" s="53">
        <f t="shared" si="1"/>
        <v>-1.4856354949514659</v>
      </c>
      <c r="H87" s="46">
        <v>106.9</v>
      </c>
      <c r="I87" s="46">
        <v>101.9</v>
      </c>
      <c r="K87" s="54">
        <v>-4.2894342105939582</v>
      </c>
      <c r="L87" s="54"/>
      <c r="M87" s="54">
        <v>-4.2894342105939582</v>
      </c>
    </row>
    <row r="88" spans="6:13" x14ac:dyDescent="0.3">
      <c r="F88" s="45">
        <v>39692</v>
      </c>
      <c r="G88" s="53">
        <f t="shared" si="1"/>
        <v>0.37348316056530828</v>
      </c>
      <c r="H88" s="46">
        <v>107.3</v>
      </c>
      <c r="I88" s="46">
        <v>103.4</v>
      </c>
      <c r="K88" s="54">
        <v>3.1986941993485574</v>
      </c>
      <c r="L88" s="54"/>
      <c r="M88" s="54">
        <v>3.1986941993485574</v>
      </c>
    </row>
    <row r="89" spans="6:13" x14ac:dyDescent="0.3">
      <c r="F89" s="45">
        <v>39722</v>
      </c>
      <c r="G89" s="53">
        <f t="shared" si="1"/>
        <v>1.0199439368893048</v>
      </c>
      <c r="H89" s="46">
        <v>108.4</v>
      </c>
      <c r="I89" s="46">
        <v>100.1</v>
      </c>
      <c r="K89" s="54">
        <v>-2.5517890541014396</v>
      </c>
      <c r="L89" s="54"/>
      <c r="M89" s="54">
        <v>-2.5517890541014396</v>
      </c>
    </row>
    <row r="90" spans="6:13" x14ac:dyDescent="0.3">
      <c r="F90" s="45">
        <v>39753</v>
      </c>
      <c r="G90" s="53">
        <f t="shared" si="1"/>
        <v>-11.939873133388506</v>
      </c>
      <c r="H90" s="46">
        <v>96.2</v>
      </c>
      <c r="I90" s="46">
        <v>94.4</v>
      </c>
      <c r="K90" s="54">
        <v>-6.3977051793940269</v>
      </c>
      <c r="L90" s="54"/>
      <c r="M90" s="54">
        <v>-6.3977051793940269</v>
      </c>
    </row>
    <row r="91" spans="6:13" x14ac:dyDescent="0.3">
      <c r="F91" s="45">
        <v>39783</v>
      </c>
      <c r="G91" s="53">
        <f t="shared" si="1"/>
        <v>-19.571648289805267</v>
      </c>
      <c r="H91" s="46">
        <v>79.099999999999994</v>
      </c>
      <c r="I91" s="46">
        <v>83.8</v>
      </c>
      <c r="K91" s="54">
        <v>-8.484359955320171</v>
      </c>
      <c r="L91" s="54"/>
      <c r="M91" s="54">
        <v>-8.484359955320171</v>
      </c>
    </row>
    <row r="92" spans="6:13" x14ac:dyDescent="0.3">
      <c r="F92" s="45">
        <v>39814</v>
      </c>
      <c r="G92" s="53">
        <f t="shared" si="1"/>
        <v>-0.50697193502505111</v>
      </c>
      <c r="H92" s="46">
        <v>78.7</v>
      </c>
      <c r="I92" s="46">
        <v>85.6</v>
      </c>
      <c r="K92" s="54">
        <v>5.3345832191258193E-2</v>
      </c>
      <c r="L92" s="54"/>
      <c r="M92" s="54">
        <v>5.3345832191258193E-2</v>
      </c>
    </row>
    <row r="93" spans="6:13" x14ac:dyDescent="0.3">
      <c r="F93" s="45">
        <v>39845</v>
      </c>
      <c r="G93" s="53">
        <f t="shared" si="1"/>
        <v>-3.3594890555717507</v>
      </c>
      <c r="H93" s="46">
        <v>76.099999999999994</v>
      </c>
      <c r="I93" s="46">
        <v>87.6</v>
      </c>
      <c r="K93" s="54">
        <v>-0.27642972693952794</v>
      </c>
      <c r="L93" s="54"/>
      <c r="M93" s="54">
        <v>-0.27642972693952794</v>
      </c>
    </row>
    <row r="94" spans="6:13" x14ac:dyDescent="0.3">
      <c r="F94" s="45">
        <v>39873</v>
      </c>
      <c r="G94" s="53">
        <f t="shared" si="1"/>
        <v>15.208359274339509</v>
      </c>
      <c r="H94" s="46">
        <v>88.6</v>
      </c>
      <c r="I94" s="46">
        <v>88</v>
      </c>
      <c r="K94" s="54">
        <v>4.9543158696909995</v>
      </c>
      <c r="L94" s="54"/>
      <c r="M94" s="54">
        <v>4.9543158696909995</v>
      </c>
    </row>
    <row r="95" spans="6:13" x14ac:dyDescent="0.3">
      <c r="F95" s="45">
        <v>39904</v>
      </c>
      <c r="G95" s="53">
        <f t="shared" si="1"/>
        <v>-3.9130423775765082</v>
      </c>
      <c r="H95" s="46">
        <v>85.2</v>
      </c>
      <c r="I95" s="46">
        <v>89</v>
      </c>
      <c r="K95" s="54">
        <v>0.15306855435996122</v>
      </c>
      <c r="L95" s="54"/>
      <c r="M95" s="54">
        <v>0.15306855435996122</v>
      </c>
    </row>
    <row r="96" spans="6:13" x14ac:dyDescent="0.3">
      <c r="F96" s="45">
        <v>39934</v>
      </c>
      <c r="G96" s="53">
        <f t="shared" si="1"/>
        <v>6.9149353765652606</v>
      </c>
      <c r="H96" s="46">
        <v>91.3</v>
      </c>
      <c r="I96" s="46">
        <v>90.3</v>
      </c>
      <c r="K96" s="54">
        <v>0.39609927778367648</v>
      </c>
      <c r="L96" s="54"/>
      <c r="M96" s="54">
        <v>0.39609927778367648</v>
      </c>
    </row>
    <row r="97" spans="6:13" x14ac:dyDescent="0.3">
      <c r="F97" s="45">
        <v>39965</v>
      </c>
      <c r="G97" s="53">
        <f t="shared" si="1"/>
        <v>0.98093429616254413</v>
      </c>
      <c r="H97" s="46">
        <v>92.2</v>
      </c>
      <c r="I97" s="46">
        <v>91.6</v>
      </c>
      <c r="K97" s="54">
        <v>2.2233280197679592</v>
      </c>
      <c r="L97" s="54"/>
      <c r="M97" s="54">
        <v>2.2233280197679592</v>
      </c>
    </row>
    <row r="98" spans="6:13" x14ac:dyDescent="0.3">
      <c r="F98" s="45">
        <v>39995</v>
      </c>
      <c r="G98" s="53">
        <f t="shared" si="1"/>
        <v>5.7941428486188959</v>
      </c>
      <c r="H98" s="46">
        <v>97.7</v>
      </c>
      <c r="I98" s="46">
        <v>92.6</v>
      </c>
      <c r="K98" s="54">
        <v>0.56402086838980292</v>
      </c>
      <c r="L98" s="54"/>
      <c r="M98" s="54">
        <v>0.56402086838980292</v>
      </c>
    </row>
    <row r="99" spans="6:13" x14ac:dyDescent="0.3">
      <c r="F99" s="45">
        <v>40026</v>
      </c>
      <c r="G99" s="53">
        <f t="shared" si="1"/>
        <v>1.9260605541815436</v>
      </c>
      <c r="H99" s="46">
        <v>99.6</v>
      </c>
      <c r="I99" s="46">
        <v>94</v>
      </c>
      <c r="K99" s="54">
        <v>-0.87773816146094918</v>
      </c>
      <c r="L99" s="54"/>
      <c r="M99" s="54">
        <v>-0.87773816146094918</v>
      </c>
    </row>
    <row r="100" spans="6:13" x14ac:dyDescent="0.3">
      <c r="F100" s="45">
        <v>40057</v>
      </c>
      <c r="G100" s="53">
        <f t="shared" si="1"/>
        <v>-0.20100509280241119</v>
      </c>
      <c r="H100" s="46">
        <v>99.4</v>
      </c>
      <c r="I100" s="46">
        <v>95.6</v>
      </c>
      <c r="K100" s="54">
        <v>2.6242059459808376</v>
      </c>
      <c r="L100" s="54"/>
      <c r="M100" s="54">
        <v>2.6242059459808376</v>
      </c>
    </row>
    <row r="101" spans="6:13" x14ac:dyDescent="0.3">
      <c r="F101" s="45">
        <v>40087</v>
      </c>
      <c r="G101" s="53">
        <f t="shared" si="1"/>
        <v>6.0506257609632605</v>
      </c>
      <c r="H101" s="46">
        <v>105.6</v>
      </c>
      <c r="I101" s="46">
        <v>97.3</v>
      </c>
      <c r="K101" s="54">
        <v>2.4788927699725161</v>
      </c>
      <c r="L101" s="54"/>
      <c r="M101" s="54">
        <v>2.4788927699725161</v>
      </c>
    </row>
    <row r="102" spans="6:13" x14ac:dyDescent="0.3">
      <c r="F102" s="45">
        <v>40118</v>
      </c>
      <c r="G102" s="53">
        <f t="shared" si="1"/>
        <v>-4.0585280115078213</v>
      </c>
      <c r="H102" s="46">
        <v>101.4</v>
      </c>
      <c r="I102" s="46">
        <v>98.9</v>
      </c>
      <c r="K102" s="54">
        <v>1.4836399424866578</v>
      </c>
      <c r="L102" s="54"/>
      <c r="M102" s="54">
        <v>1.4836399424866578</v>
      </c>
    </row>
    <row r="103" spans="6:13" x14ac:dyDescent="0.3">
      <c r="F103" s="45">
        <v>40148</v>
      </c>
      <c r="G103" s="53">
        <f t="shared" si="1"/>
        <v>-7.4715044565749</v>
      </c>
      <c r="H103" s="46">
        <v>94.1</v>
      </c>
      <c r="I103" s="46">
        <v>99.1</v>
      </c>
      <c r="K103" s="54">
        <v>3.6157838779101965</v>
      </c>
      <c r="L103" s="54"/>
      <c r="M103" s="54">
        <v>3.6157838779101965</v>
      </c>
    </row>
    <row r="104" spans="6:13" x14ac:dyDescent="0.3">
      <c r="F104" s="45">
        <v>40179</v>
      </c>
      <c r="G104" s="53">
        <f t="shared" si="1"/>
        <v>-3.1303149511048107</v>
      </c>
      <c r="H104" s="46">
        <v>91.2</v>
      </c>
      <c r="I104" s="46">
        <v>100.7</v>
      </c>
      <c r="K104" s="54">
        <v>-2.5699971838885016</v>
      </c>
      <c r="L104" s="54"/>
      <c r="M104" s="54">
        <v>-2.5699971838885016</v>
      </c>
    </row>
    <row r="105" spans="6:13" x14ac:dyDescent="0.3">
      <c r="F105" s="45">
        <v>40210</v>
      </c>
      <c r="G105" s="53">
        <f t="shared" si="1"/>
        <v>-2.4418527348145886</v>
      </c>
      <c r="H105" s="46">
        <v>89</v>
      </c>
      <c r="I105" s="46">
        <v>100.5</v>
      </c>
      <c r="K105" s="54">
        <v>0.64120659381763412</v>
      </c>
      <c r="L105" s="54"/>
      <c r="M105" s="54">
        <v>0.64120659381763412</v>
      </c>
    </row>
    <row r="106" spans="6:13" x14ac:dyDescent="0.3">
      <c r="F106" s="45">
        <v>40238</v>
      </c>
      <c r="G106" s="53">
        <f t="shared" si="1"/>
        <v>16.627590815076555</v>
      </c>
      <c r="H106" s="46">
        <v>105.1</v>
      </c>
      <c r="I106" s="46">
        <v>103</v>
      </c>
      <c r="K106" s="54">
        <v>6.3735474104280456</v>
      </c>
      <c r="L106" s="54"/>
      <c r="M106" s="54">
        <v>6.3735474104280456</v>
      </c>
    </row>
    <row r="107" spans="6:13" x14ac:dyDescent="0.3">
      <c r="F107" s="45">
        <v>40269</v>
      </c>
      <c r="G107" s="53">
        <f t="shared" si="1"/>
        <v>-5.6766706831778553</v>
      </c>
      <c r="H107" s="46">
        <v>99.3</v>
      </c>
      <c r="I107" s="46">
        <v>103.2</v>
      </c>
      <c r="K107" s="54">
        <v>-1.6105597512413858</v>
      </c>
      <c r="L107" s="54"/>
      <c r="M107" s="54">
        <v>-1.6105597512413858</v>
      </c>
    </row>
    <row r="108" spans="6:13" x14ac:dyDescent="0.3">
      <c r="F108" s="45">
        <v>40299</v>
      </c>
      <c r="G108" s="53">
        <f t="shared" si="1"/>
        <v>4.9125790955599946</v>
      </c>
      <c r="H108" s="46">
        <v>104.3</v>
      </c>
      <c r="I108" s="46">
        <v>103</v>
      </c>
      <c r="K108" s="54">
        <v>-1.6062570032215895</v>
      </c>
      <c r="L108" s="54"/>
      <c r="M108" s="54">
        <v>-1.6062570032215895</v>
      </c>
    </row>
    <row r="109" spans="6:13" x14ac:dyDescent="0.3">
      <c r="F109" s="45">
        <v>40330</v>
      </c>
      <c r="G109" s="53">
        <f t="shared" si="1"/>
        <v>-1.7408563428263819</v>
      </c>
      <c r="H109" s="46">
        <v>102.5</v>
      </c>
      <c r="I109" s="46">
        <v>102.3</v>
      </c>
      <c r="K109" s="54">
        <v>-0.49846261922096669</v>
      </c>
      <c r="L109" s="54"/>
      <c r="M109" s="54">
        <v>-0.49846261922096669</v>
      </c>
    </row>
    <row r="110" spans="6:13" x14ac:dyDescent="0.3">
      <c r="F110" s="45">
        <v>40360</v>
      </c>
      <c r="G110" s="53">
        <f t="shared" si="1"/>
        <v>4.2031019452536711</v>
      </c>
      <c r="H110" s="46">
        <v>106.9</v>
      </c>
      <c r="I110" s="46">
        <v>101.8</v>
      </c>
      <c r="K110" s="54">
        <v>-1.0270200349754219</v>
      </c>
      <c r="L110" s="54"/>
      <c r="M110" s="54">
        <v>-1.0270200349754219</v>
      </c>
    </row>
    <row r="111" spans="6:13" x14ac:dyDescent="0.3">
      <c r="F111" s="45">
        <v>40391</v>
      </c>
      <c r="G111" s="53">
        <f t="shared" si="1"/>
        <v>1.1162906614163006</v>
      </c>
      <c r="H111" s="46">
        <v>108.1</v>
      </c>
      <c r="I111" s="46">
        <v>101.4</v>
      </c>
      <c r="K111" s="54">
        <v>-1.6875080542261922</v>
      </c>
      <c r="L111" s="54"/>
      <c r="M111" s="54">
        <v>-1.6875080542261922</v>
      </c>
    </row>
    <row r="112" spans="6:13" x14ac:dyDescent="0.3">
      <c r="F112" s="45">
        <v>40422</v>
      </c>
      <c r="G112" s="53">
        <f t="shared" si="1"/>
        <v>-2.1506205220963506</v>
      </c>
      <c r="H112" s="46">
        <v>105.8</v>
      </c>
      <c r="I112" s="46">
        <v>101.6</v>
      </c>
      <c r="K112" s="54">
        <v>0.6745905166868984</v>
      </c>
      <c r="L112" s="54"/>
      <c r="M112" s="54">
        <v>0.6745905166868984</v>
      </c>
    </row>
    <row r="113" spans="6:13" x14ac:dyDescent="0.3">
      <c r="F113" s="45">
        <v>40452</v>
      </c>
      <c r="G113" s="53">
        <f t="shared" si="1"/>
        <v>1.779906473814393</v>
      </c>
      <c r="H113" s="46">
        <v>107.7</v>
      </c>
      <c r="I113" s="46">
        <v>101.3</v>
      </c>
      <c r="K113" s="54">
        <v>-1.7918265171763514</v>
      </c>
      <c r="L113" s="54"/>
      <c r="M113" s="54">
        <v>-1.7918265171763514</v>
      </c>
    </row>
    <row r="114" spans="6:13" x14ac:dyDescent="0.3">
      <c r="F114" s="45">
        <v>40483</v>
      </c>
      <c r="G114" s="53">
        <f t="shared" si="1"/>
        <v>-0.83916576362485129</v>
      </c>
      <c r="H114" s="46">
        <v>106.8</v>
      </c>
      <c r="I114" s="46">
        <v>102.2</v>
      </c>
      <c r="K114" s="54">
        <v>4.7030021903696273</v>
      </c>
      <c r="L114" s="54"/>
      <c r="M114" s="54">
        <v>4.7030021903696273</v>
      </c>
    </row>
    <row r="115" spans="6:13" x14ac:dyDescent="0.3">
      <c r="F115" s="45">
        <v>40513</v>
      </c>
      <c r="G115" s="53">
        <f t="shared" si="1"/>
        <v>-10.037918530762216</v>
      </c>
      <c r="H115" s="46">
        <v>96.6</v>
      </c>
      <c r="I115" s="46">
        <v>102.6</v>
      </c>
      <c r="K115" s="54">
        <v>1.0493698037228807</v>
      </c>
      <c r="L115" s="54"/>
      <c r="M115" s="54">
        <v>1.0493698037228807</v>
      </c>
    </row>
    <row r="116" spans="6:13" x14ac:dyDescent="0.3">
      <c r="F116" s="45">
        <v>40544</v>
      </c>
      <c r="G116" s="53">
        <f t="shared" si="1"/>
        <v>-3.5831019526926728</v>
      </c>
      <c r="H116" s="46">
        <v>93.2</v>
      </c>
      <c r="I116" s="46">
        <v>102.8</v>
      </c>
      <c r="K116" s="54">
        <v>-3.0227841854763637</v>
      </c>
      <c r="L116" s="54"/>
      <c r="M116" s="54">
        <v>-3.0227841854763637</v>
      </c>
    </row>
    <row r="117" spans="6:13" x14ac:dyDescent="0.3">
      <c r="F117" s="45">
        <v>40575</v>
      </c>
      <c r="G117" s="53">
        <f t="shared" si="1"/>
        <v>2.3330856762695267</v>
      </c>
      <c r="H117" s="46">
        <v>95.4</v>
      </c>
      <c r="I117" s="46">
        <v>104.2</v>
      </c>
      <c r="K117" s="54">
        <v>5.4161450049017494</v>
      </c>
      <c r="L117" s="54"/>
      <c r="M117" s="54">
        <v>5.4161450049017494</v>
      </c>
    </row>
    <row r="118" spans="6:13" x14ac:dyDescent="0.3">
      <c r="F118" s="45">
        <v>40603</v>
      </c>
      <c r="G118" s="53">
        <f t="shared" si="1"/>
        <v>9.0151096994297486</v>
      </c>
      <c r="H118" s="46">
        <v>104.4</v>
      </c>
      <c r="I118" s="46">
        <v>104.8</v>
      </c>
      <c r="K118" s="54">
        <v>-1.238933705218761</v>
      </c>
      <c r="L118" s="54"/>
      <c r="M118" s="54">
        <v>-1.238933705218761</v>
      </c>
    </row>
    <row r="119" spans="6:13" x14ac:dyDescent="0.3">
      <c r="F119" s="45">
        <v>40634</v>
      </c>
      <c r="G119" s="53">
        <f t="shared" si="1"/>
        <v>-6.8377297444736849</v>
      </c>
      <c r="H119" s="46">
        <v>97.5</v>
      </c>
      <c r="I119" s="46">
        <v>102.1</v>
      </c>
      <c r="K119" s="54">
        <v>-2.7716188125372154</v>
      </c>
      <c r="L119" s="54"/>
      <c r="M119" s="54">
        <v>-2.7716188125372154</v>
      </c>
    </row>
    <row r="120" spans="6:13" x14ac:dyDescent="0.3">
      <c r="F120" s="45">
        <v>40664</v>
      </c>
      <c r="G120" s="53">
        <f t="shared" si="1"/>
        <v>9.3910599449901522</v>
      </c>
      <c r="H120" s="46">
        <v>107.1</v>
      </c>
      <c r="I120" s="46">
        <v>105.2</v>
      </c>
      <c r="K120" s="54">
        <v>2.8722238462085681</v>
      </c>
      <c r="L120" s="54"/>
      <c r="M120" s="54">
        <v>2.8722238462085681</v>
      </c>
    </row>
    <row r="121" spans="6:13" x14ac:dyDescent="0.3">
      <c r="F121" s="45">
        <v>40695</v>
      </c>
      <c r="G121" s="53">
        <f t="shared" si="1"/>
        <v>-4.0977624432638322</v>
      </c>
      <c r="H121" s="46">
        <v>102.8</v>
      </c>
      <c r="I121" s="46">
        <v>102.7</v>
      </c>
      <c r="K121" s="54">
        <v>-2.8553687196584168</v>
      </c>
      <c r="L121" s="54"/>
      <c r="M121" s="54">
        <v>-2.8553687196584168</v>
      </c>
    </row>
    <row r="122" spans="6:13" x14ac:dyDescent="0.3">
      <c r="F122" s="45">
        <v>40725</v>
      </c>
      <c r="G122" s="53">
        <f t="shared" si="1"/>
        <v>3.1596692598872607</v>
      </c>
      <c r="H122" s="46">
        <v>106.1</v>
      </c>
      <c r="I122" s="46">
        <v>103.1</v>
      </c>
      <c r="K122" s="54">
        <v>-2.0704527203418324</v>
      </c>
      <c r="L122" s="54"/>
      <c r="M122" s="54">
        <v>-2.0704527203418324</v>
      </c>
    </row>
    <row r="123" spans="6:13" x14ac:dyDescent="0.3">
      <c r="F123" s="45">
        <v>40756</v>
      </c>
      <c r="G123" s="53">
        <f t="shared" si="1"/>
        <v>4.3344728693245962</v>
      </c>
      <c r="H123" s="46">
        <v>110.8</v>
      </c>
      <c r="I123" s="46">
        <v>102.1</v>
      </c>
      <c r="K123" s="54">
        <v>1.5306741536821034</v>
      </c>
      <c r="L123" s="54"/>
      <c r="M123" s="54">
        <v>1.5306741536821034</v>
      </c>
    </row>
    <row r="124" spans="6:13" x14ac:dyDescent="0.3">
      <c r="F124" s="45">
        <v>40787</v>
      </c>
      <c r="G124" s="53">
        <f t="shared" si="1"/>
        <v>-5.5673002426241638</v>
      </c>
      <c r="H124" s="46">
        <v>104.8</v>
      </c>
      <c r="I124" s="46">
        <v>100.2</v>
      </c>
      <c r="K124" s="54">
        <v>-2.7420892038409148</v>
      </c>
      <c r="L124" s="54"/>
      <c r="M124" s="54">
        <v>-2.7420892038409148</v>
      </c>
    </row>
    <row r="125" spans="6:13" x14ac:dyDescent="0.3">
      <c r="F125" s="45">
        <v>40817</v>
      </c>
      <c r="G125" s="53">
        <f t="shared" si="1"/>
        <v>1.4211513460960548</v>
      </c>
      <c r="H125" s="46">
        <v>106.3</v>
      </c>
      <c r="I125" s="46">
        <v>99.2</v>
      </c>
      <c r="K125" s="54">
        <v>-2.1505816448946895</v>
      </c>
      <c r="L125" s="54"/>
      <c r="M125" s="54">
        <v>-2.1505816448946895</v>
      </c>
    </row>
    <row r="126" spans="6:13" x14ac:dyDescent="0.3">
      <c r="F126" s="45">
        <v>40848</v>
      </c>
      <c r="G126" s="53">
        <f t="shared" si="1"/>
        <v>-1.9953156028635677</v>
      </c>
      <c r="H126" s="46">
        <v>104.2</v>
      </c>
      <c r="I126" s="46">
        <v>99.9</v>
      </c>
      <c r="K126" s="54">
        <v>3.5468523511309114</v>
      </c>
      <c r="L126" s="54"/>
      <c r="M126" s="54">
        <v>3.5468523511309114</v>
      </c>
    </row>
    <row r="127" spans="6:13" x14ac:dyDescent="0.3">
      <c r="F127" s="45">
        <v>40878</v>
      </c>
      <c r="G127" s="53">
        <f t="shared" si="1"/>
        <v>-8.5093830860358022</v>
      </c>
      <c r="H127" s="46">
        <v>95.7</v>
      </c>
      <c r="I127" s="46">
        <v>102.5</v>
      </c>
      <c r="K127" s="54">
        <v>2.5779052484492944</v>
      </c>
      <c r="L127" s="54"/>
      <c r="M127" s="54">
        <v>2.5779052484492944</v>
      </c>
    </row>
    <row r="128" spans="6:13" x14ac:dyDescent="0.3">
      <c r="F128" s="45">
        <v>40909</v>
      </c>
      <c r="G128" s="53">
        <f t="shared" si="1"/>
        <v>-7.5958409143374785</v>
      </c>
      <c r="H128" s="46">
        <v>88.7</v>
      </c>
      <c r="I128" s="46">
        <v>98</v>
      </c>
      <c r="K128" s="54">
        <v>-7.035523147121169</v>
      </c>
      <c r="L128" s="54"/>
      <c r="M128" s="54">
        <v>-7.035523147121169</v>
      </c>
    </row>
    <row r="129" spans="6:13" x14ac:dyDescent="0.3">
      <c r="F129" s="45">
        <v>40940</v>
      </c>
      <c r="G129" s="53">
        <f t="shared" si="1"/>
        <v>1.2325085992620033</v>
      </c>
      <c r="H129" s="46">
        <v>89.8</v>
      </c>
      <c r="I129" s="46">
        <v>99</v>
      </c>
      <c r="K129" s="54">
        <v>4.3155679278942261</v>
      </c>
      <c r="L129" s="54"/>
      <c r="M129" s="54">
        <v>4.3155679278942261</v>
      </c>
    </row>
    <row r="130" spans="6:13" x14ac:dyDescent="0.3">
      <c r="F130" s="45">
        <v>40969</v>
      </c>
      <c r="G130" s="53">
        <f t="shared" si="1"/>
        <v>10.458070165963877</v>
      </c>
      <c r="H130" s="46">
        <v>99.7</v>
      </c>
      <c r="I130" s="46">
        <v>98.3</v>
      </c>
      <c r="K130" s="54">
        <v>0.20402676131536698</v>
      </c>
      <c r="L130" s="54"/>
      <c r="M130" s="54">
        <v>0.20402676131536698</v>
      </c>
    </row>
    <row r="131" spans="6:13" x14ac:dyDescent="0.3">
      <c r="F131" s="45">
        <v>41000</v>
      </c>
      <c r="G131" s="53">
        <f t="shared" si="1"/>
        <v>-7.1719037175637768</v>
      </c>
      <c r="H131" s="46">
        <v>92.8</v>
      </c>
      <c r="I131" s="46">
        <v>98.5</v>
      </c>
      <c r="K131" s="54">
        <v>-3.1057927856273073</v>
      </c>
      <c r="L131" s="54"/>
      <c r="M131" s="54">
        <v>-3.1057927856273073</v>
      </c>
    </row>
    <row r="132" spans="6:13" x14ac:dyDescent="0.3">
      <c r="F132" s="45">
        <v>41030</v>
      </c>
      <c r="G132" s="53">
        <f t="shared" si="1"/>
        <v>9.9416158786307989</v>
      </c>
      <c r="H132" s="46">
        <v>102.5</v>
      </c>
      <c r="I132" s="46">
        <v>98.9</v>
      </c>
      <c r="K132" s="54">
        <v>3.4227797798492148</v>
      </c>
      <c r="L132" s="54"/>
      <c r="M132" s="54">
        <v>3.4227797798492148</v>
      </c>
    </row>
    <row r="133" spans="6:13" x14ac:dyDescent="0.3">
      <c r="F133" s="45">
        <v>41061</v>
      </c>
      <c r="G133" s="53">
        <f t="shared" si="1"/>
        <v>-4.1838771425342038</v>
      </c>
      <c r="H133" s="46">
        <v>98.3</v>
      </c>
      <c r="I133" s="46">
        <v>99</v>
      </c>
      <c r="K133" s="54">
        <v>-2.9414834189287884</v>
      </c>
      <c r="L133" s="54"/>
      <c r="M133" s="54">
        <v>-2.9414834189287884</v>
      </c>
    </row>
    <row r="134" spans="6:13" x14ac:dyDescent="0.3">
      <c r="F134" s="45">
        <v>41091</v>
      </c>
      <c r="G134" s="53">
        <f t="shared" si="1"/>
        <v>6.1163044251744862</v>
      </c>
      <c r="H134" s="46">
        <v>104.5</v>
      </c>
      <c r="I134" s="46">
        <v>100.5</v>
      </c>
      <c r="K134" s="54">
        <v>0.88618244494539322</v>
      </c>
      <c r="L134" s="54"/>
      <c r="M134" s="54">
        <v>0.88618244494539322</v>
      </c>
    </row>
    <row r="135" spans="6:13" x14ac:dyDescent="0.3">
      <c r="F135" s="45">
        <v>41122</v>
      </c>
      <c r="G135" s="53">
        <f t="shared" si="1"/>
        <v>6.4837519495307667</v>
      </c>
      <c r="H135" s="46">
        <v>111.5</v>
      </c>
      <c r="I135" s="46">
        <v>102.5</v>
      </c>
      <c r="K135" s="54">
        <v>3.6799532338882739</v>
      </c>
      <c r="L135" s="54"/>
      <c r="M135" s="54">
        <v>3.6799532338882739</v>
      </c>
    </row>
    <row r="136" spans="6:13" x14ac:dyDescent="0.3">
      <c r="F136" s="45">
        <v>41153</v>
      </c>
      <c r="G136" s="53">
        <f t="shared" si="1"/>
        <v>-7.5419628825844658</v>
      </c>
      <c r="H136" s="46">
        <v>103.4</v>
      </c>
      <c r="I136" s="46">
        <v>100.6</v>
      </c>
      <c r="K136" s="54">
        <v>-4.7167518438012168</v>
      </c>
      <c r="L136" s="54"/>
      <c r="M136" s="54">
        <v>-4.7167518438012168</v>
      </c>
    </row>
    <row r="137" spans="6:13" x14ac:dyDescent="0.3">
      <c r="F137" s="45">
        <v>41183</v>
      </c>
      <c r="G137" s="53">
        <f t="shared" si="1"/>
        <v>7.8106598646669854</v>
      </c>
      <c r="H137" s="46">
        <v>111.8</v>
      </c>
      <c r="I137" s="46">
        <v>102.1</v>
      </c>
      <c r="K137" s="54">
        <v>4.2389268736762409</v>
      </c>
      <c r="L137" s="54"/>
      <c r="M137" s="54">
        <v>4.2389268736762409</v>
      </c>
    </row>
    <row r="138" spans="6:13" x14ac:dyDescent="0.3">
      <c r="F138" s="45">
        <v>41214</v>
      </c>
      <c r="G138" s="53">
        <f t="shared" ref="G138:G201" si="2">LN(H138/H137)*100</f>
        <v>-6.4657788834056955</v>
      </c>
      <c r="H138" s="46">
        <v>104.8</v>
      </c>
      <c r="I138" s="46">
        <v>100.6</v>
      </c>
      <c r="K138" s="54">
        <v>-0.92361092941121647</v>
      </c>
      <c r="L138" s="54"/>
      <c r="M138" s="54">
        <v>-0.92361092941121647</v>
      </c>
    </row>
    <row r="139" spans="6:13" x14ac:dyDescent="0.3">
      <c r="F139" s="45">
        <v>41244</v>
      </c>
      <c r="G139" s="53">
        <f t="shared" si="2"/>
        <v>-12.809364132439352</v>
      </c>
      <c r="H139" s="46">
        <v>92.2</v>
      </c>
      <c r="I139" s="46">
        <v>101.3</v>
      </c>
      <c r="K139" s="54">
        <v>-1.7220757979542558</v>
      </c>
      <c r="L139" s="54"/>
      <c r="M139" s="54">
        <v>-1.7220757979542558</v>
      </c>
    </row>
    <row r="140" spans="6:13" x14ac:dyDescent="0.3">
      <c r="F140" s="45">
        <v>41275</v>
      </c>
      <c r="G140" s="53">
        <f t="shared" si="2"/>
        <v>2.4639703937148925</v>
      </c>
      <c r="H140" s="46">
        <v>94.5</v>
      </c>
      <c r="I140" s="46">
        <v>102.1</v>
      </c>
      <c r="K140" s="54">
        <v>3.024288160931202</v>
      </c>
      <c r="L140" s="54"/>
      <c r="M140" s="54">
        <v>3.024288160931202</v>
      </c>
    </row>
    <row r="141" spans="6:13" x14ac:dyDescent="0.3">
      <c r="F141" s="45">
        <v>41306</v>
      </c>
      <c r="G141" s="53">
        <f t="shared" si="2"/>
        <v>-7.0127301557563264</v>
      </c>
      <c r="H141" s="46">
        <v>88.1</v>
      </c>
      <c r="I141" s="46">
        <v>99.7</v>
      </c>
      <c r="K141" s="54">
        <v>-3.9296708271241036</v>
      </c>
      <c r="L141" s="54"/>
      <c r="M141" s="54">
        <v>-3.9296708271241036</v>
      </c>
    </row>
    <row r="142" spans="6:13" x14ac:dyDescent="0.3">
      <c r="F142" s="45">
        <v>41334</v>
      </c>
      <c r="G142" s="53">
        <f t="shared" si="2"/>
        <v>10.342902610660323</v>
      </c>
      <c r="H142" s="46">
        <v>97.7</v>
      </c>
      <c r="I142" s="46">
        <v>101.2</v>
      </c>
      <c r="K142" s="54">
        <v>8.8859206011813158E-2</v>
      </c>
      <c r="L142" s="54"/>
      <c r="M142" s="54">
        <v>8.8859206011813158E-2</v>
      </c>
    </row>
    <row r="143" spans="6:13" x14ac:dyDescent="0.3">
      <c r="F143" s="45">
        <v>41365</v>
      </c>
      <c r="G143" s="53">
        <f t="shared" si="2"/>
        <v>4.1108545067685318</v>
      </c>
      <c r="H143" s="46">
        <v>101.8</v>
      </c>
      <c r="I143" s="46">
        <v>103</v>
      </c>
      <c r="K143" s="54">
        <v>8.1769654387050004</v>
      </c>
      <c r="L143" s="54"/>
      <c r="M143" s="54">
        <v>8.1769654387050004</v>
      </c>
    </row>
    <row r="144" spans="6:13" x14ac:dyDescent="0.3">
      <c r="F144" s="45">
        <v>41395</v>
      </c>
      <c r="G144" s="53">
        <f t="shared" si="2"/>
        <v>3.0950246041101059</v>
      </c>
      <c r="H144" s="46">
        <v>105</v>
      </c>
      <c r="I144" s="46">
        <v>102.5</v>
      </c>
      <c r="K144" s="54">
        <v>-3.4238114946714782</v>
      </c>
      <c r="L144" s="54"/>
      <c r="M144" s="54">
        <v>-3.4238114946714782</v>
      </c>
    </row>
    <row r="145" spans="6:13" x14ac:dyDescent="0.3">
      <c r="F145" s="45">
        <v>41426</v>
      </c>
      <c r="G145" s="53">
        <f t="shared" si="2"/>
        <v>-3.1933047103009029</v>
      </c>
      <c r="H145" s="46">
        <v>101.7</v>
      </c>
      <c r="I145" s="46">
        <v>103.2</v>
      </c>
      <c r="K145" s="54">
        <v>-1.9509109866954877</v>
      </c>
      <c r="L145" s="54"/>
      <c r="M145" s="54">
        <v>-1.9509109866954877</v>
      </c>
    </row>
    <row r="146" spans="6:13" x14ac:dyDescent="0.3">
      <c r="F146" s="45">
        <v>41456</v>
      </c>
      <c r="G146" s="53">
        <f t="shared" si="2"/>
        <v>6.0103924069705306</v>
      </c>
      <c r="H146" s="46">
        <v>108</v>
      </c>
      <c r="I146" s="46">
        <v>102.4</v>
      </c>
      <c r="K146" s="54">
        <v>0.78027042674143754</v>
      </c>
      <c r="L146" s="54"/>
      <c r="M146" s="54">
        <v>0.78027042674143754</v>
      </c>
    </row>
    <row r="147" spans="6:13" x14ac:dyDescent="0.3">
      <c r="F147" s="45">
        <v>41487</v>
      </c>
      <c r="G147" s="53">
        <f t="shared" si="2"/>
        <v>3.6367644170874791</v>
      </c>
      <c r="H147" s="46">
        <v>112</v>
      </c>
      <c r="I147" s="46">
        <v>102.9</v>
      </c>
      <c r="K147" s="54">
        <v>0.83296570144498627</v>
      </c>
      <c r="L147" s="54"/>
      <c r="M147" s="54">
        <v>0.83296570144498627</v>
      </c>
    </row>
    <row r="148" spans="6:13" x14ac:dyDescent="0.3">
      <c r="F148" s="45">
        <v>41518</v>
      </c>
      <c r="G148" s="53">
        <f t="shared" si="2"/>
        <v>-4.2870221658441832</v>
      </c>
      <c r="H148" s="46">
        <v>107.3</v>
      </c>
      <c r="I148" s="46">
        <v>103.5</v>
      </c>
      <c r="K148" s="54">
        <v>-1.4618111270609342</v>
      </c>
      <c r="L148" s="54"/>
      <c r="M148" s="54">
        <v>-1.4618111270609342</v>
      </c>
    </row>
    <row r="149" spans="6:13" x14ac:dyDescent="0.3">
      <c r="F149" s="45">
        <v>41548</v>
      </c>
      <c r="G149" s="53">
        <f t="shared" si="2"/>
        <v>4.8213066068937094</v>
      </c>
      <c r="H149" s="46">
        <v>112.6</v>
      </c>
      <c r="I149" s="46">
        <v>102.4</v>
      </c>
      <c r="K149" s="54">
        <v>1.2495736159029649</v>
      </c>
      <c r="L149" s="54"/>
      <c r="M149" s="54">
        <v>1.2495736159029649</v>
      </c>
    </row>
    <row r="150" spans="6:13" x14ac:dyDescent="0.3">
      <c r="F150" s="45">
        <v>41579</v>
      </c>
      <c r="G150" s="53">
        <f t="shared" si="2"/>
        <v>-5.9459670085652512</v>
      </c>
      <c r="H150" s="46">
        <v>106.1</v>
      </c>
      <c r="I150" s="46">
        <v>103</v>
      </c>
      <c r="K150" s="54">
        <v>-0.40379905457077214</v>
      </c>
      <c r="L150" s="54"/>
      <c r="M150" s="54">
        <v>-0.40379905457077214</v>
      </c>
    </row>
    <row r="151" spans="6:13" x14ac:dyDescent="0.3">
      <c r="F151" s="45">
        <v>41609</v>
      </c>
      <c r="G151" s="53">
        <f t="shared" si="2"/>
        <v>-16.346188100564525</v>
      </c>
      <c r="H151" s="46">
        <v>90.1</v>
      </c>
      <c r="I151" s="46">
        <v>99</v>
      </c>
      <c r="K151" s="54">
        <v>-5.2588997660794288</v>
      </c>
      <c r="L151" s="54"/>
      <c r="M151" s="54">
        <v>-5.2588997660794288</v>
      </c>
    </row>
    <row r="152" spans="6:13" x14ac:dyDescent="0.3">
      <c r="F152" s="45">
        <v>41640</v>
      </c>
      <c r="G152" s="53">
        <f t="shared" si="2"/>
        <v>2.7368977037841566</v>
      </c>
      <c r="H152" s="46">
        <v>92.6</v>
      </c>
      <c r="I152" s="46">
        <v>100.6</v>
      </c>
      <c r="K152" s="54">
        <v>3.2972154710004657</v>
      </c>
      <c r="L152" s="54"/>
      <c r="M152" s="54">
        <v>3.2972154710004657</v>
      </c>
    </row>
    <row r="153" spans="6:13" x14ac:dyDescent="0.3">
      <c r="F153" s="45">
        <v>41671</v>
      </c>
      <c r="G153" s="53">
        <f t="shared" si="2"/>
        <v>-0.32450001433271897</v>
      </c>
      <c r="H153" s="46">
        <v>92.3</v>
      </c>
      <c r="I153" s="46">
        <v>101.2</v>
      </c>
      <c r="K153" s="54">
        <v>2.7585593142995037</v>
      </c>
      <c r="L153" s="54"/>
      <c r="M153" s="54">
        <v>2.7585593142995037</v>
      </c>
    </row>
    <row r="154" spans="6:13" x14ac:dyDescent="0.3">
      <c r="F154" s="45">
        <v>41699</v>
      </c>
      <c r="G154" s="53">
        <f t="shared" si="2"/>
        <v>5.2754847683152821</v>
      </c>
      <c r="H154" s="46">
        <v>97.3</v>
      </c>
      <c r="I154" s="46">
        <v>101</v>
      </c>
      <c r="K154" s="54">
        <v>-4.9785586363332275</v>
      </c>
      <c r="L154" s="54"/>
      <c r="M154" s="54">
        <v>-4.9785586363332275</v>
      </c>
    </row>
    <row r="155" spans="6:13" x14ac:dyDescent="0.3">
      <c r="F155" s="45">
        <v>41730</v>
      </c>
      <c r="G155" s="53">
        <f t="shared" si="2"/>
        <v>-1.3450797724123105</v>
      </c>
      <c r="H155" s="46">
        <v>96</v>
      </c>
      <c r="I155" s="46">
        <v>100.2</v>
      </c>
      <c r="K155" s="54">
        <v>2.7210311595241592</v>
      </c>
      <c r="L155" s="54"/>
      <c r="M155" s="54">
        <v>2.7210311595241592</v>
      </c>
    </row>
    <row r="156" spans="6:13" x14ac:dyDescent="0.3">
      <c r="F156" s="45">
        <v>41760</v>
      </c>
      <c r="G156" s="53">
        <f t="shared" si="2"/>
        <v>5.7679111586677987</v>
      </c>
      <c r="H156" s="46">
        <v>101.7</v>
      </c>
      <c r="I156" s="46">
        <v>98.8</v>
      </c>
      <c r="K156" s="54">
        <v>-0.75092494011378541</v>
      </c>
      <c r="L156" s="54"/>
      <c r="M156" s="54">
        <v>-0.75092494011378541</v>
      </c>
    </row>
    <row r="157" spans="6:13" x14ac:dyDescent="0.3">
      <c r="F157" s="45">
        <v>41791</v>
      </c>
      <c r="G157" s="53">
        <f t="shared" si="2"/>
        <v>-6.920359743863207</v>
      </c>
      <c r="H157" s="46">
        <v>94.9</v>
      </c>
      <c r="I157" s="46">
        <v>96.1</v>
      </c>
      <c r="K157" s="54">
        <v>-5.6779660202577915</v>
      </c>
      <c r="L157" s="54"/>
      <c r="M157" s="54">
        <v>-5.6779660202577915</v>
      </c>
    </row>
    <row r="158" spans="6:13" x14ac:dyDescent="0.3">
      <c r="F158" s="45">
        <v>41821</v>
      </c>
      <c r="G158" s="53">
        <f t="shared" si="2"/>
        <v>9.5405969832656066</v>
      </c>
      <c r="H158" s="46">
        <v>104.4</v>
      </c>
      <c r="I158" s="46">
        <v>98.3</v>
      </c>
      <c r="K158" s="54">
        <v>4.3104750030365135</v>
      </c>
      <c r="L158" s="54"/>
      <c r="M158" s="54">
        <v>4.3104750030365135</v>
      </c>
    </row>
    <row r="159" spans="6:13" x14ac:dyDescent="0.3">
      <c r="F159" s="45">
        <v>41852</v>
      </c>
      <c r="G159" s="53">
        <f t="shared" si="2"/>
        <v>1.8035609899363723</v>
      </c>
      <c r="H159" s="46">
        <v>106.3</v>
      </c>
      <c r="I159" s="46">
        <v>99.2</v>
      </c>
      <c r="K159" s="54">
        <v>-1.0002377257061206</v>
      </c>
      <c r="L159" s="54"/>
      <c r="M159" s="54">
        <v>-1.0002377257061206</v>
      </c>
    </row>
    <row r="160" spans="6:13" x14ac:dyDescent="0.3">
      <c r="F160" s="45">
        <v>41883</v>
      </c>
      <c r="G160" s="53">
        <f t="shared" si="2"/>
        <v>-0.66069140757411748</v>
      </c>
      <c r="H160" s="46">
        <v>105.6</v>
      </c>
      <c r="I160" s="46">
        <v>99.4</v>
      </c>
      <c r="K160" s="54">
        <v>2.1645196312091315</v>
      </c>
      <c r="L160" s="54"/>
      <c r="M160" s="54">
        <v>2.1645196312091315</v>
      </c>
    </row>
    <row r="161" spans="6:13" x14ac:dyDescent="0.3">
      <c r="F161" s="45">
        <v>41913</v>
      </c>
      <c r="G161" s="53">
        <f t="shared" si="2"/>
        <v>3.4438023910331883</v>
      </c>
      <c r="H161" s="46">
        <v>109.3</v>
      </c>
      <c r="I161" s="46">
        <v>99.6</v>
      </c>
      <c r="K161" s="54">
        <v>-0.12793059995755621</v>
      </c>
      <c r="L161" s="54"/>
      <c r="M161" s="54">
        <v>-0.12793059995755621</v>
      </c>
    </row>
    <row r="162" spans="6:13" x14ac:dyDescent="0.3">
      <c r="F162" s="45">
        <v>41944</v>
      </c>
      <c r="G162" s="53">
        <f t="shared" si="2"/>
        <v>-9.0928211865074626</v>
      </c>
      <c r="H162" s="46">
        <v>99.8</v>
      </c>
      <c r="I162" s="46">
        <v>98.6</v>
      </c>
      <c r="K162" s="54">
        <v>-3.5506532325129836</v>
      </c>
      <c r="L162" s="54"/>
      <c r="M162" s="54">
        <v>-3.5506532325129836</v>
      </c>
    </row>
    <row r="163" spans="6:13" x14ac:dyDescent="0.3">
      <c r="F163" s="45">
        <v>41974</v>
      </c>
      <c r="G163" s="53">
        <f t="shared" si="2"/>
        <v>-12.924628393928089</v>
      </c>
      <c r="H163" s="46">
        <v>87.7</v>
      </c>
      <c r="I163" s="46">
        <v>95.4</v>
      </c>
      <c r="K163" s="54">
        <v>-1.8373400594429921</v>
      </c>
      <c r="L163" s="54"/>
      <c r="M163" s="54">
        <v>-1.8373400594429921</v>
      </c>
    </row>
    <row r="164" spans="6:13" x14ac:dyDescent="0.3">
      <c r="F164" s="45">
        <v>42005</v>
      </c>
      <c r="G164" s="53">
        <f t="shared" si="2"/>
        <v>0.45506335639962892</v>
      </c>
      <c r="H164" s="46">
        <v>88.1</v>
      </c>
      <c r="I164" s="46">
        <v>96</v>
      </c>
      <c r="K164" s="54">
        <v>1.0153811236159382</v>
      </c>
      <c r="L164" s="54"/>
      <c r="M164" s="54">
        <v>1.0153811236159382</v>
      </c>
    </row>
    <row r="165" spans="6:13" x14ac:dyDescent="0.3">
      <c r="F165" s="45">
        <v>42036</v>
      </c>
      <c r="G165" s="53">
        <f t="shared" si="2"/>
        <v>-5.1233555446704067</v>
      </c>
      <c r="H165" s="46">
        <v>83.7</v>
      </c>
      <c r="I165" s="46">
        <v>95.4</v>
      </c>
      <c r="K165" s="54">
        <v>-2.0402962160381839</v>
      </c>
      <c r="L165" s="54"/>
      <c r="M165" s="54">
        <v>-2.0402962160381839</v>
      </c>
    </row>
    <row r="166" spans="6:13" x14ac:dyDescent="0.3">
      <c r="F166" s="45">
        <v>42064</v>
      </c>
      <c r="G166" s="53">
        <f t="shared" si="2"/>
        <v>11.924221214398219</v>
      </c>
      <c r="H166" s="46">
        <v>94.3</v>
      </c>
      <c r="I166" s="46">
        <v>95</v>
      </c>
      <c r="K166" s="54">
        <v>1.6701778097497098</v>
      </c>
      <c r="L166" s="54"/>
      <c r="M166" s="54">
        <v>1.6701778097497098</v>
      </c>
    </row>
    <row r="167" spans="6:13" x14ac:dyDescent="0.3">
      <c r="F167" s="45">
        <v>42095</v>
      </c>
      <c r="G167" s="53">
        <f t="shared" si="2"/>
        <v>-6.0094539641287446</v>
      </c>
      <c r="H167" s="46">
        <v>88.8</v>
      </c>
      <c r="I167" s="46">
        <v>93</v>
      </c>
      <c r="K167" s="54">
        <v>-1.9433430321922751</v>
      </c>
      <c r="L167" s="54"/>
      <c r="M167" s="54">
        <v>-1.9433430321922751</v>
      </c>
    </row>
    <row r="168" spans="6:13" x14ac:dyDescent="0.3">
      <c r="F168" s="45">
        <v>42125</v>
      </c>
      <c r="G168" s="53">
        <f t="shared" si="2"/>
        <v>4.7287534284896902</v>
      </c>
      <c r="H168" s="46">
        <v>93.1</v>
      </c>
      <c r="I168" s="46">
        <v>92.2</v>
      </c>
      <c r="K168" s="54">
        <v>-1.7900826702918939</v>
      </c>
      <c r="L168" s="54"/>
      <c r="M168" s="54">
        <v>-1.7900826702918939</v>
      </c>
    </row>
    <row r="169" spans="6:13" x14ac:dyDescent="0.3">
      <c r="F169" s="45">
        <v>42156</v>
      </c>
      <c r="G169" s="53">
        <f t="shared" si="2"/>
        <v>-0.646553976464186</v>
      </c>
      <c r="H169" s="46">
        <v>92.5</v>
      </c>
      <c r="I169" s="46">
        <v>91.3</v>
      </c>
      <c r="K169" s="54">
        <v>0.59583974714122923</v>
      </c>
      <c r="L169" s="54"/>
      <c r="M169" s="54">
        <v>0.59583974714122923</v>
      </c>
    </row>
    <row r="170" spans="6:13" x14ac:dyDescent="0.3">
      <c r="F170" s="45">
        <v>42186</v>
      </c>
      <c r="G170" s="53">
        <f t="shared" si="2"/>
        <v>3.1917602968304948</v>
      </c>
      <c r="H170" s="46">
        <v>95.5</v>
      </c>
      <c r="I170" s="46">
        <v>89.5</v>
      </c>
      <c r="K170" s="54">
        <v>-2.0383616833985982</v>
      </c>
      <c r="L170" s="54"/>
      <c r="M170" s="54">
        <v>-2.0383616833985982</v>
      </c>
    </row>
    <row r="171" spans="6:13" x14ac:dyDescent="0.3">
      <c r="F171" s="45">
        <v>42217</v>
      </c>
      <c r="G171" s="53">
        <f t="shared" si="2"/>
        <v>2.175124593236212</v>
      </c>
      <c r="H171" s="46">
        <v>97.6</v>
      </c>
      <c r="I171" s="46">
        <v>90.3</v>
      </c>
      <c r="K171" s="54">
        <v>-0.62867412240628084</v>
      </c>
      <c r="L171" s="54"/>
      <c r="M171" s="54">
        <v>-0.62867412240628084</v>
      </c>
    </row>
    <row r="172" spans="6:13" x14ac:dyDescent="0.3">
      <c r="F172" s="45">
        <v>42248</v>
      </c>
      <c r="G172" s="53">
        <f t="shared" si="2"/>
        <v>-3.439630377963502</v>
      </c>
      <c r="H172" s="46">
        <v>94.3</v>
      </c>
      <c r="I172" s="46">
        <v>88.2</v>
      </c>
      <c r="K172" s="54">
        <v>-0.61441933918025304</v>
      </c>
      <c r="L172" s="54"/>
      <c r="M172" s="54">
        <v>-0.61441933918025304</v>
      </c>
    </row>
    <row r="173" spans="6:13" x14ac:dyDescent="0.3">
      <c r="F173" s="45">
        <v>42278</v>
      </c>
      <c r="G173" s="53">
        <f t="shared" si="2"/>
        <v>3.0289521826981729</v>
      </c>
      <c r="H173" s="46">
        <v>97.2</v>
      </c>
      <c r="I173" s="46">
        <v>88.1</v>
      </c>
      <c r="K173" s="54">
        <v>-0.54278080829257158</v>
      </c>
      <c r="L173" s="54"/>
      <c r="M173" s="54">
        <v>-0.54278080829257158</v>
      </c>
    </row>
    <row r="174" spans="6:13" x14ac:dyDescent="0.3">
      <c r="F174" s="45">
        <v>42309</v>
      </c>
      <c r="G174" s="53">
        <f t="shared" si="2"/>
        <v>-10.398971352404775</v>
      </c>
      <c r="H174" s="46">
        <v>87.6</v>
      </c>
      <c r="I174" s="46">
        <v>86.4</v>
      </c>
      <c r="K174" s="54">
        <v>-4.8568033984102961</v>
      </c>
      <c r="L174" s="54"/>
      <c r="M174" s="54">
        <v>-4.8568033984102961</v>
      </c>
    </row>
    <row r="175" spans="6:13" x14ac:dyDescent="0.3">
      <c r="F175" s="45">
        <v>42339</v>
      </c>
      <c r="G175" s="53">
        <f t="shared" si="2"/>
        <v>-12.638154091161514</v>
      </c>
      <c r="H175" s="46">
        <v>77.2</v>
      </c>
      <c r="I175" s="46">
        <v>84.8</v>
      </c>
      <c r="K175" s="54">
        <v>-1.5508657566764175</v>
      </c>
      <c r="L175" s="54"/>
      <c r="M175" s="54">
        <v>-1.5508657566764175</v>
      </c>
    </row>
    <row r="176" spans="6:13" x14ac:dyDescent="0.3">
      <c r="F176" s="45">
        <v>42370</v>
      </c>
      <c r="G176" s="53">
        <f t="shared" si="2"/>
        <v>-1.1726518740319207</v>
      </c>
      <c r="H176" s="46">
        <v>76.3</v>
      </c>
      <c r="I176" s="46">
        <v>86.1</v>
      </c>
      <c r="K176" s="54">
        <v>-0.6123341068156114</v>
      </c>
      <c r="L176" s="54"/>
      <c r="M176" s="54">
        <v>-0.6123341068156114</v>
      </c>
    </row>
    <row r="177" spans="6:13" x14ac:dyDescent="0.3">
      <c r="F177" s="45">
        <v>42401</v>
      </c>
      <c r="G177" s="53">
        <f t="shared" si="2"/>
        <v>-0.65746456420853572</v>
      </c>
      <c r="H177" s="46">
        <v>75.8</v>
      </c>
      <c r="I177" s="46">
        <v>84.8</v>
      </c>
      <c r="K177" s="54">
        <v>2.4255947644236873</v>
      </c>
      <c r="L177" s="54"/>
      <c r="M177" s="54">
        <v>2.4255947644236873</v>
      </c>
    </row>
    <row r="178" spans="6:13" x14ac:dyDescent="0.3">
      <c r="F178" s="45">
        <v>42430</v>
      </c>
      <c r="G178" s="53">
        <f t="shared" si="2"/>
        <v>9.9140684847103628</v>
      </c>
      <c r="H178" s="46">
        <v>83.7</v>
      </c>
      <c r="I178" s="46">
        <v>85.6</v>
      </c>
      <c r="K178" s="54">
        <v>-0.33997491993814677</v>
      </c>
      <c r="L178" s="54"/>
      <c r="M178" s="54">
        <v>-0.33997491993814677</v>
      </c>
    </row>
    <row r="179" spans="6:13" x14ac:dyDescent="0.3">
      <c r="F179" s="45">
        <v>42461</v>
      </c>
      <c r="G179" s="53">
        <f t="shared" si="2"/>
        <v>-0.8398369698831718</v>
      </c>
      <c r="H179" s="46">
        <v>83</v>
      </c>
      <c r="I179" s="46">
        <v>85.4</v>
      </c>
      <c r="K179" s="54">
        <v>3.2262739620532974</v>
      </c>
      <c r="L179" s="54"/>
      <c r="M179" s="54">
        <v>3.2262739620532974</v>
      </c>
    </row>
    <row r="180" spans="6:13" x14ac:dyDescent="0.3">
      <c r="F180" s="45">
        <v>42491</v>
      </c>
      <c r="G180" s="53">
        <f t="shared" si="2"/>
        <v>3.8988990292784345</v>
      </c>
      <c r="H180" s="46">
        <v>86.3</v>
      </c>
      <c r="I180" s="46">
        <v>85.8</v>
      </c>
      <c r="K180" s="54">
        <v>-2.6199370695031496</v>
      </c>
      <c r="L180" s="54"/>
      <c r="M180" s="54">
        <v>-2.6199370695031496</v>
      </c>
    </row>
    <row r="181" spans="6:13" x14ac:dyDescent="0.3">
      <c r="F181" s="45">
        <v>42522</v>
      </c>
      <c r="G181" s="53">
        <f t="shared" si="2"/>
        <v>1.6092301288755131</v>
      </c>
      <c r="H181" s="46">
        <v>87.7</v>
      </c>
      <c r="I181" s="46">
        <v>84.8</v>
      </c>
      <c r="K181" s="54">
        <v>2.8516238524809285</v>
      </c>
      <c r="L181" s="54"/>
      <c r="M181" s="54">
        <v>2.8516238524809285</v>
      </c>
    </row>
    <row r="182" spans="6:13" x14ac:dyDescent="0.3">
      <c r="F182" s="45">
        <v>42552</v>
      </c>
      <c r="G182" s="53">
        <f t="shared" si="2"/>
        <v>2.1433420602747244</v>
      </c>
      <c r="H182" s="46">
        <v>89.6</v>
      </c>
      <c r="I182" s="46">
        <v>85.5</v>
      </c>
      <c r="K182" s="54">
        <v>-3.0867799199543686</v>
      </c>
      <c r="L182" s="54"/>
      <c r="M182" s="54">
        <v>-3.0867799199543686</v>
      </c>
    </row>
    <row r="183" spans="6:13" x14ac:dyDescent="0.3">
      <c r="F183" s="45">
        <v>42583</v>
      </c>
      <c r="G183" s="53">
        <f t="shared" si="2"/>
        <v>3.7244173172371178</v>
      </c>
      <c r="H183" s="46">
        <v>93</v>
      </c>
      <c r="I183" s="46">
        <v>83.5</v>
      </c>
      <c r="K183" s="54">
        <v>0.92061860159462494</v>
      </c>
      <c r="L183" s="54"/>
      <c r="M183" s="54">
        <v>0.92061860159462494</v>
      </c>
    </row>
    <row r="184" spans="6:13" x14ac:dyDescent="0.3">
      <c r="F184" s="45">
        <v>42614</v>
      </c>
      <c r="G184" s="53">
        <f t="shared" si="2"/>
        <v>-2.504213603216495</v>
      </c>
      <c r="H184" s="46">
        <v>90.7</v>
      </c>
      <c r="I184" s="46">
        <v>84.4</v>
      </c>
      <c r="K184" s="54">
        <v>0.32099743556675397</v>
      </c>
      <c r="L184" s="54"/>
      <c r="M184" s="54">
        <v>0.32099743556675397</v>
      </c>
    </row>
    <row r="185" spans="6:13" x14ac:dyDescent="0.3">
      <c r="F185" s="45">
        <v>42644</v>
      </c>
      <c r="G185" s="53">
        <f t="shared" si="2"/>
        <v>-0.55279300525129427</v>
      </c>
      <c r="H185" s="46">
        <v>90.2</v>
      </c>
      <c r="I185" s="46">
        <v>83.3</v>
      </c>
      <c r="K185" s="54">
        <v>-4.1245259962420384</v>
      </c>
      <c r="L185" s="54"/>
      <c r="M185" s="54">
        <v>-4.1245259962420384</v>
      </c>
    </row>
    <row r="186" spans="6:13" x14ac:dyDescent="0.3">
      <c r="F186" s="45">
        <v>42675</v>
      </c>
      <c r="G186" s="53">
        <f t="shared" si="2"/>
        <v>-4.1885013130744326</v>
      </c>
      <c r="H186" s="46">
        <v>86.5</v>
      </c>
      <c r="I186" s="46">
        <v>84</v>
      </c>
      <c r="K186" s="54">
        <v>1.3536666409200464</v>
      </c>
      <c r="L186" s="54"/>
      <c r="M186" s="54">
        <v>1.3536666409200464</v>
      </c>
    </row>
    <row r="187" spans="6:13" x14ac:dyDescent="0.3">
      <c r="F187" s="45">
        <v>42705</v>
      </c>
      <c r="G187" s="53">
        <f t="shared" si="2"/>
        <v>-11.374495690710315</v>
      </c>
      <c r="H187" s="46">
        <v>77.2</v>
      </c>
      <c r="I187" s="46">
        <v>85.5</v>
      </c>
      <c r="K187" s="54">
        <v>-0.28720735622521865</v>
      </c>
      <c r="L187" s="54"/>
      <c r="M187" s="54">
        <v>-0.28720735622521865</v>
      </c>
    </row>
    <row r="188" spans="6:13" x14ac:dyDescent="0.3">
      <c r="F188" s="45">
        <v>42736</v>
      </c>
      <c r="G188" s="53">
        <f t="shared" si="2"/>
        <v>0.90264958459721245</v>
      </c>
      <c r="H188" s="46">
        <v>77.900000000000006</v>
      </c>
      <c r="I188" s="46">
        <v>86.4</v>
      </c>
      <c r="K188" s="54">
        <v>1.4629673518135218</v>
      </c>
      <c r="L188" s="54"/>
      <c r="M188" s="54">
        <v>1.4629673518135218</v>
      </c>
    </row>
    <row r="189" spans="6:13" x14ac:dyDescent="0.3">
      <c r="F189" s="45">
        <v>42767</v>
      </c>
      <c r="G189" s="53">
        <f t="shared" si="2"/>
        <v>-2.6009268475118326</v>
      </c>
      <c r="H189" s="46">
        <v>75.900000000000006</v>
      </c>
      <c r="I189" s="46">
        <v>87.4</v>
      </c>
      <c r="K189" s="54">
        <v>0.4821324811203902</v>
      </c>
      <c r="L189" s="54"/>
      <c r="M189" s="54">
        <v>0.4821324811203902</v>
      </c>
    </row>
    <row r="190" spans="6:13" x14ac:dyDescent="0.3">
      <c r="F190" s="45">
        <v>42795</v>
      </c>
      <c r="G190" s="53">
        <f t="shared" si="2"/>
        <v>11.792941639294002</v>
      </c>
      <c r="H190" s="46">
        <v>85.4</v>
      </c>
      <c r="I190" s="46">
        <v>85.6</v>
      </c>
      <c r="K190" s="54">
        <v>1.538898234645492</v>
      </c>
      <c r="L190" s="54"/>
      <c r="M190" s="54">
        <v>1.538898234645492</v>
      </c>
    </row>
    <row r="191" spans="6:13" x14ac:dyDescent="0.3">
      <c r="F191" s="45">
        <v>42826</v>
      </c>
      <c r="G191" s="53">
        <f t="shared" si="2"/>
        <v>-7.4107972153721962</v>
      </c>
      <c r="H191" s="46">
        <v>79.3</v>
      </c>
      <c r="I191" s="46">
        <v>85.9</v>
      </c>
      <c r="K191" s="54">
        <v>-3.3446862834357267</v>
      </c>
      <c r="L191" s="54"/>
      <c r="M191" s="54">
        <v>-3.3446862834357267</v>
      </c>
    </row>
    <row r="192" spans="6:13" x14ac:dyDescent="0.3">
      <c r="F192" s="45">
        <v>42856</v>
      </c>
      <c r="G192" s="53">
        <f t="shared" si="2"/>
        <v>12.768203597348998</v>
      </c>
      <c r="H192" s="46">
        <v>90.1</v>
      </c>
      <c r="I192" s="46">
        <v>86.2</v>
      </c>
      <c r="K192" s="54">
        <v>6.2493674985674144</v>
      </c>
      <c r="L192" s="54"/>
      <c r="M192" s="54">
        <v>6.2493674985674144</v>
      </c>
    </row>
    <row r="193" spans="6:13" x14ac:dyDescent="0.3">
      <c r="F193" s="45">
        <v>42887</v>
      </c>
      <c r="G193" s="53">
        <f t="shared" si="2"/>
        <v>-1.9048194970694363</v>
      </c>
      <c r="H193" s="46">
        <v>88.4</v>
      </c>
      <c r="I193" s="46">
        <v>87</v>
      </c>
      <c r="K193" s="54">
        <v>-0.66242577346402109</v>
      </c>
      <c r="L193" s="54"/>
      <c r="M193" s="54">
        <v>-0.66242577346402109</v>
      </c>
    </row>
    <row r="194" spans="6:13" x14ac:dyDescent="0.3">
      <c r="F194" s="45">
        <v>42917</v>
      </c>
      <c r="G194" s="53">
        <f t="shared" si="2"/>
        <v>4.1002973617663265</v>
      </c>
      <c r="H194" s="46">
        <v>92.1</v>
      </c>
      <c r="I194" s="46">
        <v>87.3</v>
      </c>
      <c r="K194" s="54">
        <v>-1.1298246184627665</v>
      </c>
      <c r="L194" s="54"/>
      <c r="M194" s="54">
        <v>-1.1298246184627665</v>
      </c>
    </row>
    <row r="195" spans="6:13" x14ac:dyDescent="0.3">
      <c r="F195" s="45">
        <v>42948</v>
      </c>
      <c r="G195" s="53">
        <f t="shared" si="2"/>
        <v>4.8738459197987503</v>
      </c>
      <c r="H195" s="46">
        <v>96.7</v>
      </c>
      <c r="I195" s="46">
        <v>87</v>
      </c>
      <c r="K195" s="54">
        <v>2.0700472041562574</v>
      </c>
      <c r="L195" s="54"/>
      <c r="M195" s="54">
        <v>2.0700472041562574</v>
      </c>
    </row>
    <row r="196" spans="6:13" x14ac:dyDescent="0.3">
      <c r="F196" s="45">
        <v>42979</v>
      </c>
      <c r="G196" s="53">
        <f t="shared" si="2"/>
        <v>-3.901390930599276</v>
      </c>
      <c r="H196" s="46">
        <v>93</v>
      </c>
      <c r="I196" s="46">
        <v>87.4</v>
      </c>
      <c r="K196" s="54">
        <v>-1.076179891816027</v>
      </c>
      <c r="L196" s="54"/>
      <c r="M196" s="54">
        <v>-1.076179891816027</v>
      </c>
    </row>
    <row r="197" spans="6:13" x14ac:dyDescent="0.3">
      <c r="F197" s="45">
        <v>43009</v>
      </c>
      <c r="G197" s="53">
        <f t="shared" si="2"/>
        <v>2.2329476398088577</v>
      </c>
      <c r="H197" s="46">
        <v>95.1</v>
      </c>
      <c r="I197" s="46">
        <v>88</v>
      </c>
      <c r="K197" s="54">
        <v>-1.3387853511818868</v>
      </c>
      <c r="L197" s="54"/>
      <c r="M197" s="54">
        <v>-1.3387853511818868</v>
      </c>
    </row>
    <row r="198" spans="6:13" x14ac:dyDescent="0.3">
      <c r="F198" s="45">
        <v>43040</v>
      </c>
      <c r="G198" s="53">
        <f t="shared" si="2"/>
        <v>-4.8474756502411021</v>
      </c>
      <c r="H198" s="46">
        <v>90.6</v>
      </c>
      <c r="I198" s="46">
        <v>88.4</v>
      </c>
      <c r="K198" s="54">
        <v>0.69469230375337698</v>
      </c>
      <c r="L198" s="54"/>
      <c r="M198" s="54">
        <v>0.69469230375337698</v>
      </c>
    </row>
    <row r="199" spans="6:13" x14ac:dyDescent="0.3">
      <c r="F199" s="45">
        <v>43070</v>
      </c>
      <c r="G199" s="53">
        <f t="shared" si="2"/>
        <v>-11.200505837649487</v>
      </c>
      <c r="H199" s="46">
        <v>81</v>
      </c>
      <c r="I199" s="46">
        <v>91.3</v>
      </c>
      <c r="K199" s="54">
        <v>-0.11321750316439075</v>
      </c>
      <c r="L199" s="54"/>
      <c r="M199" s="54">
        <v>-0.11321750316439075</v>
      </c>
    </row>
    <row r="200" spans="6:13" x14ac:dyDescent="0.3">
      <c r="F200" s="45">
        <v>43101</v>
      </c>
      <c r="G200" s="53">
        <f t="shared" si="2"/>
        <v>1.5921953010585257</v>
      </c>
      <c r="H200" s="46">
        <v>82.3</v>
      </c>
      <c r="I200" s="46">
        <v>88.9</v>
      </c>
      <c r="K200" s="54">
        <v>2.152513068274835</v>
      </c>
      <c r="L200" s="54"/>
      <c r="M200" s="54">
        <v>2.152513068274835</v>
      </c>
    </row>
    <row r="201" spans="6:13" x14ac:dyDescent="0.3">
      <c r="F201" s="45">
        <v>43132</v>
      </c>
      <c r="G201" s="53">
        <f t="shared" si="2"/>
        <v>-6.2677152089647858</v>
      </c>
      <c r="H201" s="46">
        <v>77.3</v>
      </c>
      <c r="I201" s="46">
        <v>88.6</v>
      </c>
      <c r="K201" s="54">
        <v>-3.1846558803325631</v>
      </c>
      <c r="L201" s="54"/>
      <c r="M201" s="54">
        <v>-3.1846558803325631</v>
      </c>
    </row>
    <row r="202" spans="6:13" x14ac:dyDescent="0.3">
      <c r="F202" s="45">
        <v>43160</v>
      </c>
      <c r="G202" s="53">
        <f t="shared" ref="G202:G247" si="3">LN(H202/H201)*100</f>
        <v>10.897622207627112</v>
      </c>
      <c r="H202" s="46">
        <v>86.2</v>
      </c>
      <c r="I202" s="46">
        <v>89.7</v>
      </c>
      <c r="K202" s="54">
        <v>0.64357880297860248</v>
      </c>
      <c r="L202" s="54"/>
      <c r="M202" s="54">
        <v>0.64357880297860248</v>
      </c>
    </row>
    <row r="203" spans="6:13" x14ac:dyDescent="0.3">
      <c r="F203" s="45">
        <v>43191</v>
      </c>
      <c r="G203" s="53">
        <f t="shared" si="3"/>
        <v>0.34742362681862726</v>
      </c>
      <c r="H203" s="46">
        <v>86.5</v>
      </c>
      <c r="I203" s="46">
        <v>90.1</v>
      </c>
      <c r="K203" s="54">
        <v>4.4135345587550967</v>
      </c>
      <c r="L203" s="54"/>
      <c r="M203" s="54">
        <v>4.4135345587550967</v>
      </c>
    </row>
    <row r="204" spans="6:13" x14ac:dyDescent="0.3">
      <c r="F204" s="45">
        <v>43221</v>
      </c>
      <c r="G204" s="53">
        <f t="shared" si="3"/>
        <v>-2.4577012335922137</v>
      </c>
      <c r="H204" s="46">
        <v>84.4</v>
      </c>
      <c r="I204" s="46">
        <v>80.2</v>
      </c>
      <c r="K204" s="54">
        <v>-8.9765373323737983</v>
      </c>
      <c r="L204" s="54"/>
      <c r="M204" s="54">
        <v>-8.9765373323737983</v>
      </c>
    </row>
    <row r="205" spans="6:13" x14ac:dyDescent="0.3">
      <c r="F205" s="45">
        <v>43252</v>
      </c>
      <c r="G205" s="53">
        <f t="shared" si="3"/>
        <v>7.6390402664001016</v>
      </c>
      <c r="H205" s="46">
        <v>91.1</v>
      </c>
      <c r="I205" s="46">
        <v>90.3</v>
      </c>
      <c r="K205" s="54">
        <v>8.881433990005517</v>
      </c>
      <c r="L205" s="54"/>
      <c r="M205" s="54">
        <v>8.881433990005517</v>
      </c>
    </row>
    <row r="206" spans="6:13" x14ac:dyDescent="0.3">
      <c r="F206" s="45">
        <v>43282</v>
      </c>
      <c r="G206" s="53">
        <f t="shared" si="3"/>
        <v>5.0304880710902253</v>
      </c>
      <c r="H206" s="46">
        <v>95.8</v>
      </c>
      <c r="I206" s="46">
        <v>90.1</v>
      </c>
      <c r="K206" s="54">
        <v>-0.19963390913886772</v>
      </c>
      <c r="L206" s="54"/>
      <c r="M206" s="54">
        <v>-0.19963390913886772</v>
      </c>
    </row>
    <row r="207" spans="6:13" x14ac:dyDescent="0.3">
      <c r="F207" s="45">
        <v>43313</v>
      </c>
      <c r="G207" s="53">
        <f t="shared" si="3"/>
        <v>2.4743530383605368</v>
      </c>
      <c r="H207" s="46">
        <v>98.2</v>
      </c>
      <c r="I207" s="46">
        <v>88.9</v>
      </c>
      <c r="K207" s="54">
        <v>-0.32944567728195606</v>
      </c>
      <c r="L207" s="54"/>
      <c r="M207" s="54">
        <v>-0.32944567728195606</v>
      </c>
    </row>
    <row r="208" spans="6:13" x14ac:dyDescent="0.3">
      <c r="F208" s="45">
        <v>43344</v>
      </c>
      <c r="G208" s="53">
        <f t="shared" si="3"/>
        <v>-7.9448858239329327</v>
      </c>
      <c r="H208" s="46">
        <v>90.7</v>
      </c>
      <c r="I208" s="46">
        <v>86.5</v>
      </c>
      <c r="K208" s="54">
        <v>-5.1196747851496838</v>
      </c>
      <c r="L208" s="54"/>
      <c r="M208" s="54">
        <v>-5.1196747851496838</v>
      </c>
    </row>
    <row r="209" spans="6:13" x14ac:dyDescent="0.3">
      <c r="F209" s="45">
        <v>43374</v>
      </c>
      <c r="G209" s="53">
        <f t="shared" si="3"/>
        <v>5.4705327855723951</v>
      </c>
      <c r="H209" s="46">
        <v>95.8</v>
      </c>
      <c r="I209" s="46">
        <v>87.5</v>
      </c>
      <c r="K209" s="54">
        <v>1.8987997945816506</v>
      </c>
      <c r="L209" s="54"/>
      <c r="M209" s="54">
        <v>1.8987997945816506</v>
      </c>
    </row>
    <row r="210" spans="6:13" x14ac:dyDescent="0.3">
      <c r="F210" s="45">
        <v>43405</v>
      </c>
      <c r="G210" s="53">
        <f t="shared" si="3"/>
        <v>-6.8024059696005086</v>
      </c>
      <c r="H210" s="46">
        <v>89.5</v>
      </c>
      <c r="I210" s="46">
        <v>87.5</v>
      </c>
      <c r="K210" s="54">
        <v>-1.2602380156060295</v>
      </c>
      <c r="L210" s="54"/>
      <c r="M210" s="54">
        <v>-1.2602380156060295</v>
      </c>
    </row>
    <row r="211" spans="6:13" x14ac:dyDescent="0.3">
      <c r="F211" s="45">
        <v>43435</v>
      </c>
      <c r="G211" s="53">
        <f t="shared" si="3"/>
        <v>-13.752979859121798</v>
      </c>
      <c r="H211" s="46">
        <v>78</v>
      </c>
      <c r="I211" s="46">
        <v>87.8</v>
      </c>
      <c r="K211" s="54">
        <v>-2.665691524636701</v>
      </c>
      <c r="L211" s="54"/>
      <c r="M211" s="54">
        <v>-2.665691524636701</v>
      </c>
    </row>
    <row r="212" spans="6:13" x14ac:dyDescent="0.3">
      <c r="F212" s="45">
        <v>43466</v>
      </c>
      <c r="G212" s="53">
        <f t="shared" si="3"/>
        <v>3.402974858631147</v>
      </c>
      <c r="H212" s="46">
        <v>80.7</v>
      </c>
      <c r="I212" s="46">
        <v>86.9</v>
      </c>
      <c r="K212" s="54">
        <v>3.9632926258474566</v>
      </c>
      <c r="L212" s="54"/>
      <c r="M212" s="54">
        <v>3.9632926258474566</v>
      </c>
    </row>
    <row r="213" spans="6:13" x14ac:dyDescent="0.3">
      <c r="F213" s="45">
        <v>43497</v>
      </c>
      <c r="G213" s="53">
        <f t="shared" si="3"/>
        <v>-2.0025700502295027</v>
      </c>
      <c r="H213" s="46">
        <v>79.099999999999994</v>
      </c>
      <c r="I213" s="46">
        <v>87.4</v>
      </c>
      <c r="K213" s="54">
        <v>1.08048927840272</v>
      </c>
      <c r="L213" s="54"/>
      <c r="M213" s="54">
        <v>1.08048927840272</v>
      </c>
    </row>
    <row r="214" spans="6:13" x14ac:dyDescent="0.3">
      <c r="F214" s="45">
        <v>43525</v>
      </c>
      <c r="G214" s="53">
        <f t="shared" si="3"/>
        <v>2.3736279898830737</v>
      </c>
      <c r="H214" s="46">
        <v>81</v>
      </c>
      <c r="I214" s="46">
        <v>87.2</v>
      </c>
      <c r="K214" s="54">
        <v>-7.8804154147654355</v>
      </c>
      <c r="L214" s="54"/>
      <c r="M214" s="54">
        <v>-7.8804154147654355</v>
      </c>
    </row>
    <row r="215" spans="6:13" x14ac:dyDescent="0.3">
      <c r="F215" s="45">
        <v>43556</v>
      </c>
      <c r="G215" s="53">
        <f t="shared" si="3"/>
        <v>2.799939450035819</v>
      </c>
      <c r="H215" s="46">
        <v>83.3</v>
      </c>
      <c r="I215" s="46">
        <v>87.5</v>
      </c>
      <c r="K215" s="54">
        <v>6.866050381972288</v>
      </c>
      <c r="L215" s="54"/>
      <c r="M215" s="54">
        <v>6.866050381972288</v>
      </c>
    </row>
    <row r="216" spans="6:13" x14ac:dyDescent="0.3">
      <c r="F216" s="45">
        <v>43586</v>
      </c>
      <c r="G216" s="53">
        <f t="shared" si="3"/>
        <v>8.8410957344053145</v>
      </c>
      <c r="H216" s="46">
        <v>91</v>
      </c>
      <c r="I216" s="46">
        <v>87.4</v>
      </c>
      <c r="K216" s="54">
        <v>2.3222596356237304</v>
      </c>
      <c r="L216" s="54"/>
      <c r="M216" s="54">
        <v>2.3222596356237304</v>
      </c>
    </row>
    <row r="217" spans="6:13" x14ac:dyDescent="0.3">
      <c r="F217" s="45">
        <v>43617</v>
      </c>
      <c r="G217" s="53">
        <f t="shared" si="3"/>
        <v>-5.8840500022933462</v>
      </c>
      <c r="H217" s="46">
        <v>85.8</v>
      </c>
      <c r="I217" s="46">
        <v>86.6</v>
      </c>
      <c r="K217" s="54">
        <v>-4.6416562786879307</v>
      </c>
      <c r="L217" s="54"/>
      <c r="M217" s="54">
        <v>-4.6416562786879307</v>
      </c>
    </row>
    <row r="218" spans="6:13" x14ac:dyDescent="0.3">
      <c r="F218" s="45">
        <v>43647</v>
      </c>
      <c r="G218" s="53">
        <f t="shared" si="3"/>
        <v>8.4872338740880444</v>
      </c>
      <c r="H218" s="46">
        <v>93.4</v>
      </c>
      <c r="I218" s="46">
        <v>86</v>
      </c>
      <c r="K218" s="54">
        <v>3.2571118938589514</v>
      </c>
      <c r="L218" s="54"/>
      <c r="M218" s="54">
        <v>3.2571118938589514</v>
      </c>
    </row>
    <row r="219" spans="6:13" x14ac:dyDescent="0.3">
      <c r="F219" s="45">
        <v>43678</v>
      </c>
      <c r="G219" s="53">
        <f t="shared" si="3"/>
        <v>2.9538012436863874</v>
      </c>
      <c r="H219" s="46">
        <v>96.2</v>
      </c>
      <c r="I219" s="46">
        <v>87</v>
      </c>
      <c r="K219" s="54">
        <v>0.15000252804389455</v>
      </c>
      <c r="L219" s="54"/>
      <c r="M219" s="54">
        <v>0.15000252804389455</v>
      </c>
    </row>
    <row r="220" spans="6:13" x14ac:dyDescent="0.3">
      <c r="F220" s="45">
        <v>43709</v>
      </c>
      <c r="G220" s="53">
        <f t="shared" si="3"/>
        <v>-4.6817060045216028</v>
      </c>
      <c r="H220" s="46">
        <v>91.8</v>
      </c>
      <c r="I220" s="46">
        <v>86.9</v>
      </c>
      <c r="K220" s="54">
        <v>-1.8564949657383538</v>
      </c>
      <c r="L220" s="54"/>
      <c r="M220" s="54">
        <v>-1.8564949657383538</v>
      </c>
    </row>
    <row r="221" spans="6:13" x14ac:dyDescent="0.3">
      <c r="F221" s="45">
        <v>43739</v>
      </c>
      <c r="G221" s="53">
        <f t="shared" si="3"/>
        <v>5.5098680876938131</v>
      </c>
      <c r="H221" s="46">
        <v>97</v>
      </c>
      <c r="I221" s="46">
        <v>88.6</v>
      </c>
      <c r="K221" s="54">
        <v>1.9381350967030686</v>
      </c>
      <c r="L221" s="54"/>
      <c r="M221" s="54">
        <v>1.9381350967030686</v>
      </c>
    </row>
    <row r="222" spans="6:13" x14ac:dyDescent="0.3">
      <c r="F222" s="45">
        <v>43770</v>
      </c>
      <c r="G222" s="53">
        <f t="shared" si="3"/>
        <v>-9.7374164025176366</v>
      </c>
      <c r="H222" s="46">
        <v>88</v>
      </c>
      <c r="I222" s="46">
        <v>86.8</v>
      </c>
      <c r="K222" s="54">
        <v>-4.1952484485231576</v>
      </c>
      <c r="L222" s="54"/>
      <c r="M222" s="54">
        <v>-4.1952484485231576</v>
      </c>
    </row>
    <row r="223" spans="6:13" x14ac:dyDescent="0.3">
      <c r="F223" s="45">
        <v>43800</v>
      </c>
      <c r="G223" s="53">
        <f t="shared" si="3"/>
        <v>-13.483093796660814</v>
      </c>
      <c r="H223" s="46">
        <v>76.900000000000006</v>
      </c>
      <c r="I223" s="46">
        <v>85.8</v>
      </c>
      <c r="K223" s="54">
        <v>-2.3958054621757174</v>
      </c>
      <c r="L223" s="54"/>
      <c r="M223" s="54">
        <v>-2.3958054621757174</v>
      </c>
    </row>
    <row r="224" spans="6:13" x14ac:dyDescent="0.3">
      <c r="F224" s="45">
        <v>43831</v>
      </c>
      <c r="G224" s="53">
        <f t="shared" si="3"/>
        <v>3.9520758162283198</v>
      </c>
      <c r="H224" s="46">
        <v>80</v>
      </c>
      <c r="I224" s="46">
        <v>86.6</v>
      </c>
      <c r="K224" s="54">
        <v>4.5123935834446289</v>
      </c>
      <c r="L224" s="54"/>
      <c r="M224" s="54">
        <v>4.5123935834446289</v>
      </c>
    </row>
    <row r="225" spans="6:13" x14ac:dyDescent="0.3">
      <c r="F225" s="45">
        <v>43862</v>
      </c>
      <c r="G225" s="53">
        <f t="shared" si="3"/>
        <v>-1.3845406822052981</v>
      </c>
      <c r="H225" s="46">
        <v>78.900000000000006</v>
      </c>
      <c r="I225" s="46">
        <v>87.5</v>
      </c>
      <c r="K225" s="54">
        <v>1.6985186464269246</v>
      </c>
      <c r="L225" s="54"/>
      <c r="M225" s="54">
        <v>1.6985186464269246</v>
      </c>
    </row>
    <row r="226" spans="6:13" x14ac:dyDescent="0.3">
      <c r="F226" s="45">
        <v>43891</v>
      </c>
      <c r="G226" s="53">
        <f t="shared" si="3"/>
        <v>-1.2755274975126014</v>
      </c>
      <c r="H226" s="46">
        <v>77.900000000000006</v>
      </c>
      <c r="I226" s="46">
        <v>80.7</v>
      </c>
      <c r="K226" s="54">
        <v>-11.529570902161112</v>
      </c>
      <c r="L226" s="54"/>
      <c r="M226" s="54">
        <v>-11.529570902161112</v>
      </c>
    </row>
    <row r="227" spans="6:13" x14ac:dyDescent="0.3">
      <c r="F227" s="45">
        <v>43922</v>
      </c>
      <c r="G227" s="53">
        <f t="shared" si="3"/>
        <v>-25.609384914356298</v>
      </c>
      <c r="H227" s="46">
        <v>60.3</v>
      </c>
      <c r="I227" s="46">
        <v>64.900000000000006</v>
      </c>
      <c r="K227" s="54">
        <v>-21.54327398241983</v>
      </c>
      <c r="L227" s="54"/>
      <c r="M227" s="54">
        <v>-21.54327398241983</v>
      </c>
    </row>
    <row r="228" spans="6:13" x14ac:dyDescent="0.3">
      <c r="F228" s="45">
        <v>43952</v>
      </c>
      <c r="G228" s="53">
        <f t="shared" si="3"/>
        <v>16.616071468479046</v>
      </c>
      <c r="H228" s="46">
        <v>71.2</v>
      </c>
      <c r="I228" s="46">
        <v>70.099999999999994</v>
      </c>
      <c r="K228" s="54">
        <v>10.097235369697461</v>
      </c>
      <c r="L228" s="54"/>
      <c r="M228" s="54">
        <v>10.097235369697461</v>
      </c>
    </row>
    <row r="229" spans="6:13" x14ac:dyDescent="0.3">
      <c r="F229" s="45">
        <v>43983</v>
      </c>
      <c r="G229" s="53">
        <f t="shared" si="3"/>
        <v>9.6331108938432113</v>
      </c>
      <c r="H229" s="46">
        <v>78.400000000000006</v>
      </c>
      <c r="I229" s="46">
        <v>76.8</v>
      </c>
      <c r="K229" s="54">
        <v>10.875504617448627</v>
      </c>
      <c r="L229" s="54"/>
      <c r="M229" s="54">
        <v>10.875504617448627</v>
      </c>
    </row>
    <row r="230" spans="6:13" x14ac:dyDescent="0.3">
      <c r="F230" s="45">
        <v>44013</v>
      </c>
      <c r="G230" s="53">
        <f t="shared" si="3"/>
        <v>14.903557916048776</v>
      </c>
      <c r="H230" s="46">
        <v>91</v>
      </c>
      <c r="I230" s="46">
        <v>83.9</v>
      </c>
      <c r="K230" s="54">
        <v>9.6734359358196826</v>
      </c>
      <c r="L230" s="54"/>
      <c r="M230" s="54">
        <v>9.6734359358196826</v>
      </c>
    </row>
    <row r="231" spans="6:13" x14ac:dyDescent="0.3">
      <c r="F231" s="45">
        <v>44044</v>
      </c>
      <c r="G231" s="53">
        <f t="shared" si="3"/>
        <v>3.1370879697367284</v>
      </c>
      <c r="H231" s="46">
        <v>93.9</v>
      </c>
      <c r="I231" s="46">
        <v>86.3</v>
      </c>
      <c r="K231" s="54">
        <v>0.3332892540942356</v>
      </c>
      <c r="L231" s="54"/>
      <c r="M231" s="54">
        <v>0.3332892540942356</v>
      </c>
    </row>
    <row r="232" spans="6:13" x14ac:dyDescent="0.3">
      <c r="F232" s="45">
        <v>44075</v>
      </c>
      <c r="G232" s="53">
        <f t="shared" si="3"/>
        <v>1.5848192240023713</v>
      </c>
      <c r="H232" s="46">
        <v>95.4</v>
      </c>
      <c r="I232" s="46">
        <v>88.6</v>
      </c>
      <c r="K232" s="54">
        <v>4.4100302627856198</v>
      </c>
      <c r="L232" s="54"/>
      <c r="M232" s="54">
        <v>4.4100302627856198</v>
      </c>
    </row>
    <row r="233" spans="6:13" x14ac:dyDescent="0.3">
      <c r="F233" s="45">
        <v>44105</v>
      </c>
      <c r="G233" s="53">
        <f t="shared" si="3"/>
        <v>1.9720410737718495</v>
      </c>
      <c r="H233" s="46">
        <v>97.3</v>
      </c>
      <c r="I233" s="46">
        <v>89.6</v>
      </c>
      <c r="K233" s="54">
        <v>-1.599691917218895</v>
      </c>
      <c r="L233" s="54"/>
      <c r="M233" s="54">
        <v>-1.599691917218895</v>
      </c>
    </row>
    <row r="234" spans="6:13" x14ac:dyDescent="0.3">
      <c r="F234" s="45">
        <v>44136</v>
      </c>
      <c r="G234" s="53">
        <f t="shared" si="3"/>
        <v>-7.5769562123381347</v>
      </c>
      <c r="H234" s="46">
        <v>90.2</v>
      </c>
      <c r="I234" s="46">
        <v>90</v>
      </c>
      <c r="K234" s="54">
        <v>-2.0347882583436556</v>
      </c>
      <c r="L234" s="54"/>
      <c r="M234" s="54">
        <v>-2.0347882583436556</v>
      </c>
    </row>
    <row r="235" spans="6:13" x14ac:dyDescent="0.3">
      <c r="F235" s="45">
        <v>44166</v>
      </c>
      <c r="G235" s="53">
        <f t="shared" si="3"/>
        <v>-7.9580877895781015</v>
      </c>
      <c r="H235" s="46">
        <v>83.3</v>
      </c>
      <c r="I235" s="46">
        <v>90.3</v>
      </c>
      <c r="K235" s="54">
        <v>3.1292005449069951</v>
      </c>
      <c r="L235" s="54"/>
      <c r="M235" s="54">
        <v>3.1292005449069951</v>
      </c>
    </row>
    <row r="236" spans="6:13" x14ac:dyDescent="0.3">
      <c r="F236" s="45">
        <v>44197</v>
      </c>
      <c r="G236" s="53">
        <f t="shared" si="3"/>
        <v>-1.6949558313773205</v>
      </c>
      <c r="H236" s="46">
        <v>81.900000000000006</v>
      </c>
      <c r="I236" s="46">
        <v>90.7</v>
      </c>
      <c r="K236" s="54">
        <v>-1.1346380641610112</v>
      </c>
      <c r="L236" s="54"/>
      <c r="M236" s="54">
        <v>-1.1346380641610112</v>
      </c>
    </row>
    <row r="237" spans="6:13" x14ac:dyDescent="0.3">
      <c r="F237" s="45">
        <v>44228</v>
      </c>
      <c r="G237" s="53">
        <f t="shared" si="3"/>
        <v>-3.4786116085415655</v>
      </c>
      <c r="H237" s="46">
        <v>79.099999999999994</v>
      </c>
      <c r="I237" s="46">
        <v>89.7</v>
      </c>
      <c r="K237" s="54">
        <v>-0.39555227990934272</v>
      </c>
      <c r="L237" s="54"/>
      <c r="M237" s="54">
        <v>-0.39555227990934272</v>
      </c>
    </row>
    <row r="238" spans="6:13" x14ac:dyDescent="0.3">
      <c r="F238" s="45">
        <v>44256</v>
      </c>
      <c r="G238" s="53">
        <f t="shared" si="3"/>
        <v>8.4796536660076853</v>
      </c>
      <c r="H238" s="46">
        <v>86.1</v>
      </c>
      <c r="I238" s="46">
        <v>87.5</v>
      </c>
      <c r="K238" s="54">
        <v>-1.7743897386408243</v>
      </c>
      <c r="L238" s="54"/>
      <c r="M238" s="54">
        <v>-1.7743897386408243</v>
      </c>
    </row>
    <row r="239" spans="6:13" x14ac:dyDescent="0.3">
      <c r="F239" s="45">
        <v>44287</v>
      </c>
      <c r="G239" s="53">
        <f t="shared" si="3"/>
        <v>-5.7363394879920193</v>
      </c>
      <c r="H239" s="46">
        <v>81.3</v>
      </c>
      <c r="I239" s="46">
        <v>86.1</v>
      </c>
      <c r="K239" s="54">
        <v>-1.6702285560555499</v>
      </c>
      <c r="L239" s="54"/>
      <c r="M239" s="54">
        <v>-1.6702285560555499</v>
      </c>
    </row>
    <row r="240" spans="6:13" x14ac:dyDescent="0.3">
      <c r="F240" s="45">
        <v>44317</v>
      </c>
      <c r="G240" s="53">
        <f t="shared" si="3"/>
        <v>8.3725953089832981</v>
      </c>
      <c r="H240" s="46">
        <v>88.4</v>
      </c>
      <c r="I240" s="46">
        <v>87.1</v>
      </c>
      <c r="K240" s="54">
        <v>1.853759210201714</v>
      </c>
      <c r="L240" s="54"/>
      <c r="M240" s="54">
        <v>1.853759210201714</v>
      </c>
    </row>
    <row r="241" spans="6:13" x14ac:dyDescent="0.3">
      <c r="F241" s="45">
        <v>44348</v>
      </c>
      <c r="G241" s="53">
        <f t="shared" si="3"/>
        <v>-0.56721649524664175</v>
      </c>
      <c r="H241" s="46">
        <v>87.9</v>
      </c>
      <c r="I241" s="46">
        <v>86.7</v>
      </c>
      <c r="K241" s="54">
        <v>0.67517722835877347</v>
      </c>
      <c r="L241" s="54"/>
      <c r="M241" s="54">
        <v>0.67517722835877347</v>
      </c>
    </row>
    <row r="242" spans="6:13" x14ac:dyDescent="0.3">
      <c r="F242" s="45">
        <v>44378</v>
      </c>
      <c r="G242" s="53">
        <f t="shared" si="3"/>
        <v>4.7760325871416818</v>
      </c>
      <c r="H242" s="46">
        <v>92.2</v>
      </c>
      <c r="I242" s="46">
        <v>85.4</v>
      </c>
      <c r="K242" s="54">
        <v>-0.45408939308741125</v>
      </c>
      <c r="L242" s="54"/>
      <c r="M242" s="54">
        <v>-0.45408939308741125</v>
      </c>
    </row>
    <row r="243" spans="6:13" x14ac:dyDescent="0.3">
      <c r="F243" s="45">
        <v>44409</v>
      </c>
      <c r="G243" s="53">
        <f t="shared" si="3"/>
        <v>1.2931214672248785</v>
      </c>
      <c r="H243" s="46">
        <v>93.4</v>
      </c>
      <c r="I243" s="46">
        <v>85</v>
      </c>
      <c r="K243" s="54">
        <v>-1.5106772484176143</v>
      </c>
      <c r="L243" s="54"/>
      <c r="M243" s="54">
        <v>-1.5106772484176143</v>
      </c>
    </row>
    <row r="244" spans="6:13" x14ac:dyDescent="0.3">
      <c r="F244" s="45">
        <v>44440</v>
      </c>
      <c r="G244" s="53">
        <f t="shared" si="3"/>
        <v>-2.0552372953321347</v>
      </c>
      <c r="H244" s="46">
        <v>91.5</v>
      </c>
      <c r="I244" s="46">
        <v>84.6</v>
      </c>
      <c r="K244" s="54">
        <v>0.76997374345111425</v>
      </c>
      <c r="L244" s="54"/>
      <c r="M244" s="54">
        <v>0.76997374345111425</v>
      </c>
    </row>
    <row r="245" spans="6:13" x14ac:dyDescent="0.3">
      <c r="F245" s="45">
        <v>44470</v>
      </c>
      <c r="G245" s="53">
        <f t="shared" si="3"/>
        <v>-1.9868203216725173</v>
      </c>
      <c r="H245" s="46">
        <v>89.7</v>
      </c>
      <c r="I245" s="46">
        <v>84.1</v>
      </c>
      <c r="K245" s="54">
        <v>-5.5585533126632622</v>
      </c>
      <c r="L245" s="54"/>
      <c r="M245" s="54">
        <v>-5.5585533126632622</v>
      </c>
    </row>
    <row r="246" spans="6:13" x14ac:dyDescent="0.3">
      <c r="F246" s="45">
        <v>44501</v>
      </c>
      <c r="G246" s="53">
        <f t="shared" si="3"/>
        <v>-3.8641170975368224</v>
      </c>
      <c r="H246" s="46">
        <v>86.3</v>
      </c>
      <c r="I246" s="46">
        <v>84.1</v>
      </c>
      <c r="K246" s="54">
        <v>1.6780508564576566</v>
      </c>
      <c r="L246" s="54"/>
      <c r="M246" s="54">
        <v>1.6780508564576566</v>
      </c>
    </row>
    <row r="247" spans="6:13" x14ac:dyDescent="0.3">
      <c r="F247" s="45">
        <v>44531</v>
      </c>
      <c r="G247" s="53">
        <f t="shared" si="3"/>
        <v>-8.5853299269002026</v>
      </c>
      <c r="H247" s="46">
        <v>79.2</v>
      </c>
      <c r="I247" s="46">
        <v>86.5</v>
      </c>
      <c r="K247" s="54">
        <v>2.501958407584894</v>
      </c>
      <c r="L247" s="54"/>
      <c r="M247" s="54">
        <v>2.501958407584894</v>
      </c>
    </row>
    <row r="248" spans="6:13" x14ac:dyDescent="0.3">
      <c r="K248" s="27"/>
      <c r="M248" s="27"/>
    </row>
    <row r="249" spans="6:13" x14ac:dyDescent="0.3">
      <c r="K249" s="27"/>
      <c r="M249" s="27"/>
    </row>
    <row r="250" spans="6:13" x14ac:dyDescent="0.3">
      <c r="K250" s="27"/>
      <c r="M250" s="27"/>
    </row>
    <row r="251" spans="6:13" x14ac:dyDescent="0.3">
      <c r="K251" s="27"/>
      <c r="M251" s="27"/>
    </row>
    <row r="252" spans="6:13" x14ac:dyDescent="0.3">
      <c r="K252" s="27"/>
      <c r="M252" s="27"/>
    </row>
    <row r="253" spans="6:13" x14ac:dyDescent="0.3">
      <c r="K253" s="27"/>
      <c r="M253" s="27"/>
    </row>
    <row r="254" spans="6:13" x14ac:dyDescent="0.3">
      <c r="K254" s="27"/>
      <c r="M254" s="27"/>
    </row>
    <row r="255" spans="6:13" x14ac:dyDescent="0.3">
      <c r="K255" s="27"/>
      <c r="M255" s="27"/>
    </row>
    <row r="256" spans="6:13" x14ac:dyDescent="0.3">
      <c r="K256" s="27"/>
      <c r="M256" s="27"/>
    </row>
    <row r="257" spans="11:13" x14ac:dyDescent="0.3">
      <c r="K257" s="27"/>
      <c r="M257" s="27"/>
    </row>
    <row r="258" spans="11:13" x14ac:dyDescent="0.3">
      <c r="K258" s="27"/>
      <c r="M258" s="27"/>
    </row>
    <row r="259" spans="11:13" x14ac:dyDescent="0.3">
      <c r="K259" s="27"/>
      <c r="M259" s="27"/>
    </row>
    <row r="260" spans="11:13" x14ac:dyDescent="0.3">
      <c r="K260" s="27"/>
      <c r="M260" s="27"/>
    </row>
    <row r="261" spans="11:13" x14ac:dyDescent="0.3">
      <c r="K261" s="27"/>
      <c r="M261" s="27"/>
    </row>
    <row r="262" spans="11:13" x14ac:dyDescent="0.3">
      <c r="K262" s="27"/>
      <c r="M262" s="27"/>
    </row>
    <row r="263" spans="11:13" x14ac:dyDescent="0.3">
      <c r="K263" s="27"/>
      <c r="M263" s="27"/>
    </row>
    <row r="264" spans="11:13" x14ac:dyDescent="0.3">
      <c r="K264" s="27"/>
      <c r="M264" s="27"/>
    </row>
    <row r="265" spans="11:13" x14ac:dyDescent="0.3">
      <c r="K265" s="27"/>
      <c r="M265" s="27"/>
    </row>
    <row r="266" spans="11:13" x14ac:dyDescent="0.3">
      <c r="K266" s="27"/>
      <c r="M266" s="27"/>
    </row>
    <row r="267" spans="11:13" x14ac:dyDescent="0.3">
      <c r="K267" s="27"/>
      <c r="M267" s="27"/>
    </row>
    <row r="268" spans="11:13" x14ac:dyDescent="0.3">
      <c r="K268" s="27"/>
      <c r="M268" s="27"/>
    </row>
    <row r="269" spans="11:13" x14ac:dyDescent="0.3">
      <c r="K269" s="27"/>
      <c r="M269" s="27"/>
    </row>
    <row r="270" spans="11:13" x14ac:dyDescent="0.3">
      <c r="K270" s="27"/>
      <c r="M270" s="27"/>
    </row>
    <row r="271" spans="11:13" x14ac:dyDescent="0.3">
      <c r="K271" s="27"/>
      <c r="M271" s="27"/>
    </row>
    <row r="272" spans="11:13" x14ac:dyDescent="0.3">
      <c r="K272" s="27"/>
      <c r="M272" s="27"/>
    </row>
    <row r="273" spans="11:13" x14ac:dyDescent="0.3">
      <c r="K273" s="27"/>
      <c r="M273" s="27"/>
    </row>
    <row r="274" spans="11:13" x14ac:dyDescent="0.3">
      <c r="K274" s="27"/>
      <c r="M274" s="27"/>
    </row>
    <row r="275" spans="11:13" x14ac:dyDescent="0.3">
      <c r="K275" s="27"/>
      <c r="M275" s="27"/>
    </row>
    <row r="276" spans="11:13" x14ac:dyDescent="0.3">
      <c r="K276" s="27"/>
      <c r="M276" s="27"/>
    </row>
    <row r="277" spans="11:13" x14ac:dyDescent="0.3">
      <c r="K277" s="27"/>
      <c r="M277" s="27"/>
    </row>
    <row r="278" spans="11:13" x14ac:dyDescent="0.3">
      <c r="K278" s="27"/>
      <c r="M278" s="27"/>
    </row>
    <row r="279" spans="11:13" x14ac:dyDescent="0.3">
      <c r="K279" s="27"/>
      <c r="M279" s="27"/>
    </row>
    <row r="280" spans="11:13" x14ac:dyDescent="0.3">
      <c r="K280" s="27"/>
      <c r="M280" s="27"/>
    </row>
    <row r="281" spans="11:13" x14ac:dyDescent="0.3">
      <c r="K281" s="27"/>
      <c r="M281" s="27"/>
    </row>
    <row r="282" spans="11:13" x14ac:dyDescent="0.3">
      <c r="K282" s="27"/>
      <c r="M282" s="27"/>
    </row>
    <row r="283" spans="11:13" x14ac:dyDescent="0.3">
      <c r="K283" s="27"/>
      <c r="M283" s="27"/>
    </row>
    <row r="284" spans="11:13" x14ac:dyDescent="0.3">
      <c r="K284" s="27"/>
      <c r="M284" s="27"/>
    </row>
    <row r="285" spans="11:13" x14ac:dyDescent="0.3">
      <c r="K285" s="27"/>
      <c r="M285" s="27"/>
    </row>
    <row r="286" spans="11:13" x14ac:dyDescent="0.3">
      <c r="K286" s="27"/>
      <c r="M286" s="27"/>
    </row>
    <row r="287" spans="11:13" x14ac:dyDescent="0.3">
      <c r="K287" s="27"/>
      <c r="M287" s="27"/>
    </row>
    <row r="288" spans="11:13" x14ac:dyDescent="0.3">
      <c r="K288" s="27"/>
      <c r="M288" s="27"/>
    </row>
    <row r="289" spans="11:13" x14ac:dyDescent="0.3">
      <c r="K289" s="27"/>
      <c r="M289" s="27"/>
    </row>
    <row r="290" spans="11:13" x14ac:dyDescent="0.3">
      <c r="K290" s="27"/>
      <c r="M290" s="27"/>
    </row>
    <row r="291" spans="11:13" x14ac:dyDescent="0.3">
      <c r="K291" s="27"/>
      <c r="M291" s="27"/>
    </row>
    <row r="292" spans="11:13" x14ac:dyDescent="0.3">
      <c r="K292" s="27"/>
      <c r="M292" s="27"/>
    </row>
    <row r="293" spans="11:13" x14ac:dyDescent="0.3">
      <c r="K293" s="27"/>
      <c r="M293" s="27"/>
    </row>
    <row r="294" spans="11:13" x14ac:dyDescent="0.3">
      <c r="K294" s="27"/>
      <c r="M294" s="27"/>
    </row>
    <row r="295" spans="11:13" x14ac:dyDescent="0.3">
      <c r="K295" s="27"/>
      <c r="M295" s="27"/>
    </row>
    <row r="296" spans="11:13" x14ac:dyDescent="0.3">
      <c r="K296" s="27"/>
      <c r="M296" s="27"/>
    </row>
    <row r="297" spans="11:13" x14ac:dyDescent="0.3">
      <c r="K297" s="27"/>
      <c r="M297" s="27"/>
    </row>
  </sheetData>
  <mergeCells count="1">
    <mergeCell ref="D11:D12"/>
  </mergeCells>
  <pageMargins left="0.511811024" right="0.511811024" top="0.78740157499999996" bottom="0.78740157499999996" header="0.31496062000000002" footer="0.31496062000000002"/>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560F0-C835-440B-97C3-A053D654C59E}">
  <sheetPr codeName="Planilha13">
    <tabColor theme="9" tint="0.59999389629810485"/>
  </sheetPr>
  <dimension ref="A1:T58"/>
  <sheetViews>
    <sheetView showGridLines="0" workbookViewId="0">
      <selection activeCell="I8" sqref="I8"/>
    </sheetView>
  </sheetViews>
  <sheetFormatPr defaultColWidth="8.85546875" defaultRowHeight="18.75" x14ac:dyDescent="0.3"/>
  <cols>
    <col min="1" max="1" width="12.7109375" style="17" customWidth="1"/>
    <col min="2" max="2" width="24.85546875" bestFit="1" customWidth="1"/>
    <col min="4" max="4" width="4.5703125" customWidth="1"/>
    <col min="5" max="5" width="10.5703125" customWidth="1"/>
    <col min="6" max="6" width="10.140625" bestFit="1" customWidth="1"/>
    <col min="7" max="7" width="12.42578125" bestFit="1" customWidth="1"/>
    <col min="9" max="10" width="8.85546875" style="15"/>
    <col min="11" max="11" width="12.42578125" style="15" bestFit="1" customWidth="1"/>
    <col min="12" max="20" width="8.85546875" style="15"/>
    <col min="23" max="23" width="8.85546875" customWidth="1"/>
  </cols>
  <sheetData>
    <row r="1" spans="1:20" x14ac:dyDescent="0.3">
      <c r="A1" s="16" t="s">
        <v>161</v>
      </c>
      <c r="I1" s="14"/>
      <c r="J1" s="14"/>
      <c r="K1" s="14"/>
      <c r="L1" s="14"/>
      <c r="M1" s="14"/>
      <c r="N1" s="14"/>
      <c r="O1" s="14"/>
      <c r="P1" s="14"/>
      <c r="Q1" s="14"/>
      <c r="R1" s="14"/>
      <c r="S1" s="14"/>
      <c r="T1" s="14"/>
    </row>
    <row r="2" spans="1:20" x14ac:dyDescent="0.3">
      <c r="A2" s="17" t="s">
        <v>166</v>
      </c>
      <c r="I2" s="14"/>
      <c r="J2" s="14"/>
      <c r="K2" s="14"/>
      <c r="L2" s="14"/>
      <c r="M2" s="14"/>
      <c r="N2" s="14"/>
      <c r="O2" s="14"/>
      <c r="P2" s="14"/>
      <c r="Q2" s="14"/>
      <c r="R2" s="14"/>
      <c r="S2" s="14"/>
      <c r="T2" s="14"/>
    </row>
    <row r="4" spans="1:20" ht="15.75" x14ac:dyDescent="0.25">
      <c r="A4" s="2" t="s">
        <v>15</v>
      </c>
      <c r="B4" s="2" t="s">
        <v>16</v>
      </c>
    </row>
    <row r="5" spans="1:20" ht="47.25" x14ac:dyDescent="0.25">
      <c r="A5" s="23" t="s">
        <v>162</v>
      </c>
      <c r="B5" s="24" t="s">
        <v>164</v>
      </c>
    </row>
    <row r="6" spans="1:20" ht="78.75" x14ac:dyDescent="0.25">
      <c r="A6" s="23" t="s">
        <v>163</v>
      </c>
      <c r="B6" s="24" t="s">
        <v>167</v>
      </c>
    </row>
    <row r="7" spans="1:20" x14ac:dyDescent="0.3">
      <c r="E7" s="21" t="s">
        <v>160</v>
      </c>
      <c r="F7" s="49" t="s">
        <v>162</v>
      </c>
      <c r="G7" s="49" t="s">
        <v>165</v>
      </c>
    </row>
    <row r="8" spans="1:20" x14ac:dyDescent="0.3">
      <c r="E8" s="50">
        <v>35796</v>
      </c>
      <c r="F8" s="48">
        <f>MONTH(E8)</f>
        <v>1</v>
      </c>
      <c r="G8" s="48">
        <v>12</v>
      </c>
      <c r="I8" s="15" cm="1">
        <f t="array" ref="I8:S31">_xlfn.LAMBDA(_xlpm.categories,_xlop.exclude,
_xlfn.LET(
_xlpm.check, IF( _xlfn.XOR( ROWS(_xlpm.categories)&gt;1, COLUMNS(_xlpm.categories)&gt;1 ), TRUE, FALSE),
_xlpm.categories, IF(ROWS(_xlpm.categories)&gt;1, _xlpm.categories, TRANSPOSE(_xlpm.categories) ),
_xlpm.uniqueCategories, _xlfn._xlws.SORT( _xlfn.UNIQUE(_xlpm.categories) ),
_xlpm.nCategories, COUNTA(_xlpm.uniqueCategories),
_xlpm.matrix,
1 * ( REPMAT(_xlpm.categories,1,_xlpm.nCategories)=REPMAT( TRANSPOSE(_xlpm.uniqueCategories),ROWS(_xlpm.categories),1) ),
IF( _xlpm.check=FALSE, "# categories must be a 1-column or 1-row vector",
IF( OR( _xlfn.ISOMITTED(_xlpm.exclude), _xlpm.exclude = FALSE), _xlpm.matrix, SLICE(_xlpm.matrix, 0, 0, _xlfn._xlws.FILTER(_xlfn.SEQUENCE(1,_xlpm.nCategories), _xlfn.SEQUENCE(1,_xlpm.nCategories)&lt;&gt; (1*_xlpm.exclude) ), 0) )
) ) )($F$8:$F$31, $G$8)</f>
        <v>1</v>
      </c>
      <c r="J8" s="15">
        <v>0</v>
      </c>
      <c r="K8" s="15">
        <v>0</v>
      </c>
      <c r="L8" s="15">
        <v>0</v>
      </c>
      <c r="M8" s="15">
        <v>0</v>
      </c>
      <c r="N8" s="15">
        <v>0</v>
      </c>
      <c r="O8" s="15">
        <v>0</v>
      </c>
      <c r="P8" s="15">
        <v>0</v>
      </c>
      <c r="Q8" s="15">
        <v>0</v>
      </c>
      <c r="R8" s="15">
        <v>0</v>
      </c>
      <c r="S8" s="15">
        <v>0</v>
      </c>
    </row>
    <row r="9" spans="1:20" x14ac:dyDescent="0.3">
      <c r="E9" s="50">
        <v>35827</v>
      </c>
      <c r="F9" s="48">
        <f t="shared" ref="F9:F31" si="0">MONTH(E9)</f>
        <v>2</v>
      </c>
      <c r="I9" s="15">
        <v>0</v>
      </c>
      <c r="J9" s="15">
        <v>1</v>
      </c>
      <c r="K9" s="15">
        <v>0</v>
      </c>
      <c r="L9" s="15">
        <v>0</v>
      </c>
      <c r="M9" s="15">
        <v>0</v>
      </c>
      <c r="N9" s="15">
        <v>0</v>
      </c>
      <c r="O9" s="15">
        <v>0</v>
      </c>
      <c r="P9" s="15">
        <v>0</v>
      </c>
      <c r="Q9" s="15">
        <v>0</v>
      </c>
      <c r="R9" s="15">
        <v>0</v>
      </c>
      <c r="S9" s="15">
        <v>0</v>
      </c>
    </row>
    <row r="10" spans="1:20" x14ac:dyDescent="0.3">
      <c r="E10" s="50">
        <v>35855</v>
      </c>
      <c r="F10" s="48">
        <f t="shared" si="0"/>
        <v>3</v>
      </c>
      <c r="I10" s="15">
        <v>0</v>
      </c>
      <c r="J10" s="15">
        <v>0</v>
      </c>
      <c r="K10" s="15">
        <v>1</v>
      </c>
      <c r="L10" s="15">
        <v>0</v>
      </c>
      <c r="M10" s="15">
        <v>0</v>
      </c>
      <c r="N10" s="15">
        <v>0</v>
      </c>
      <c r="O10" s="15">
        <v>0</v>
      </c>
      <c r="P10" s="15">
        <v>0</v>
      </c>
      <c r="Q10" s="15">
        <v>0</v>
      </c>
      <c r="R10" s="15">
        <v>0</v>
      </c>
      <c r="S10" s="15">
        <v>0</v>
      </c>
    </row>
    <row r="11" spans="1:20" ht="18.75" customHeight="1" x14ac:dyDescent="0.3">
      <c r="E11" s="50">
        <v>35886</v>
      </c>
      <c r="F11" s="48">
        <f t="shared" si="0"/>
        <v>4</v>
      </c>
      <c r="I11" s="15">
        <v>0</v>
      </c>
      <c r="J11" s="15">
        <v>0</v>
      </c>
      <c r="K11" s="15">
        <v>0</v>
      </c>
      <c r="L11" s="15">
        <v>1</v>
      </c>
      <c r="M11" s="15">
        <v>0</v>
      </c>
      <c r="N11" s="15">
        <v>0</v>
      </c>
      <c r="O11" s="15">
        <v>0</v>
      </c>
      <c r="P11" s="15">
        <v>0</v>
      </c>
      <c r="Q11" s="15">
        <v>0</v>
      </c>
      <c r="R11" s="15">
        <v>0</v>
      </c>
      <c r="S11" s="15">
        <v>0</v>
      </c>
    </row>
    <row r="12" spans="1:20" x14ac:dyDescent="0.3">
      <c r="E12" s="50">
        <v>35916</v>
      </c>
      <c r="F12" s="48">
        <f t="shared" si="0"/>
        <v>5</v>
      </c>
      <c r="I12" s="15">
        <v>0</v>
      </c>
      <c r="J12" s="15">
        <v>0</v>
      </c>
      <c r="K12" s="15">
        <v>0</v>
      </c>
      <c r="L12" s="15">
        <v>0</v>
      </c>
      <c r="M12" s="15">
        <v>1</v>
      </c>
      <c r="N12" s="15">
        <v>0</v>
      </c>
      <c r="O12" s="15">
        <v>0</v>
      </c>
      <c r="P12" s="15">
        <v>0</v>
      </c>
      <c r="Q12" s="15">
        <v>0</v>
      </c>
      <c r="R12" s="15">
        <v>0</v>
      </c>
      <c r="S12" s="15">
        <v>0</v>
      </c>
    </row>
    <row r="13" spans="1:20" x14ac:dyDescent="0.3">
      <c r="E13" s="50">
        <v>35947</v>
      </c>
      <c r="F13" s="48">
        <f t="shared" si="0"/>
        <v>6</v>
      </c>
      <c r="I13" s="15">
        <v>0</v>
      </c>
      <c r="J13" s="15">
        <v>0</v>
      </c>
      <c r="K13" s="15">
        <v>0</v>
      </c>
      <c r="L13" s="15">
        <v>0</v>
      </c>
      <c r="M13" s="15">
        <v>0</v>
      </c>
      <c r="N13" s="15">
        <v>1</v>
      </c>
      <c r="O13" s="15">
        <v>0</v>
      </c>
      <c r="P13" s="15">
        <v>0</v>
      </c>
      <c r="Q13" s="15">
        <v>0</v>
      </c>
      <c r="R13" s="15">
        <v>0</v>
      </c>
      <c r="S13" s="15">
        <v>0</v>
      </c>
    </row>
    <row r="14" spans="1:20" x14ac:dyDescent="0.3">
      <c r="E14" s="50">
        <v>35977</v>
      </c>
      <c r="F14" s="48">
        <f t="shared" si="0"/>
        <v>7</v>
      </c>
      <c r="I14" s="15">
        <v>0</v>
      </c>
      <c r="J14" s="15">
        <v>0</v>
      </c>
      <c r="K14" s="15">
        <v>0</v>
      </c>
      <c r="L14" s="15">
        <v>0</v>
      </c>
      <c r="M14" s="15">
        <v>0</v>
      </c>
      <c r="N14" s="15">
        <v>0</v>
      </c>
      <c r="O14" s="15">
        <v>1</v>
      </c>
      <c r="P14" s="15">
        <v>0</v>
      </c>
      <c r="Q14" s="15">
        <v>0</v>
      </c>
      <c r="R14" s="15">
        <v>0</v>
      </c>
      <c r="S14" s="15">
        <v>0</v>
      </c>
    </row>
    <row r="15" spans="1:20" x14ac:dyDescent="0.3">
      <c r="E15" s="50">
        <v>36008</v>
      </c>
      <c r="F15" s="48">
        <f t="shared" si="0"/>
        <v>8</v>
      </c>
      <c r="I15" s="15">
        <v>0</v>
      </c>
      <c r="J15" s="15">
        <v>0</v>
      </c>
      <c r="K15" s="15">
        <v>0</v>
      </c>
      <c r="L15" s="15">
        <v>0</v>
      </c>
      <c r="M15" s="15">
        <v>0</v>
      </c>
      <c r="N15" s="15">
        <v>0</v>
      </c>
      <c r="O15" s="15">
        <v>0</v>
      </c>
      <c r="P15" s="15">
        <v>1</v>
      </c>
      <c r="Q15" s="15">
        <v>0</v>
      </c>
      <c r="R15" s="15">
        <v>0</v>
      </c>
      <c r="S15" s="15">
        <v>0</v>
      </c>
    </row>
    <row r="16" spans="1:20" x14ac:dyDescent="0.3">
      <c r="E16" s="50">
        <v>36039</v>
      </c>
      <c r="F16" s="48">
        <f t="shared" si="0"/>
        <v>9</v>
      </c>
      <c r="I16" s="15">
        <v>0</v>
      </c>
      <c r="J16" s="15">
        <v>0</v>
      </c>
      <c r="K16" s="15">
        <v>0</v>
      </c>
      <c r="L16" s="15">
        <v>0</v>
      </c>
      <c r="M16" s="15">
        <v>0</v>
      </c>
      <c r="N16" s="15">
        <v>0</v>
      </c>
      <c r="O16" s="15">
        <v>0</v>
      </c>
      <c r="P16" s="15">
        <v>0</v>
      </c>
      <c r="Q16" s="15">
        <v>1</v>
      </c>
      <c r="R16" s="15">
        <v>0</v>
      </c>
      <c r="S16" s="15">
        <v>0</v>
      </c>
    </row>
    <row r="17" spans="5:19" x14ac:dyDescent="0.3">
      <c r="E17" s="50">
        <v>36069</v>
      </c>
      <c r="F17" s="48">
        <f t="shared" si="0"/>
        <v>10</v>
      </c>
      <c r="I17" s="15">
        <v>0</v>
      </c>
      <c r="J17" s="15">
        <v>0</v>
      </c>
      <c r="K17" s="15">
        <v>0</v>
      </c>
      <c r="L17" s="15">
        <v>0</v>
      </c>
      <c r="M17" s="15">
        <v>0</v>
      </c>
      <c r="N17" s="15">
        <v>0</v>
      </c>
      <c r="O17" s="15">
        <v>0</v>
      </c>
      <c r="P17" s="15">
        <v>0</v>
      </c>
      <c r="Q17" s="15">
        <v>0</v>
      </c>
      <c r="R17" s="15">
        <v>1</v>
      </c>
      <c r="S17" s="15">
        <v>0</v>
      </c>
    </row>
    <row r="18" spans="5:19" x14ac:dyDescent="0.3">
      <c r="E18" s="50">
        <v>36100</v>
      </c>
      <c r="F18" s="48">
        <f t="shared" si="0"/>
        <v>11</v>
      </c>
      <c r="I18" s="15">
        <v>0</v>
      </c>
      <c r="J18" s="15">
        <v>0</v>
      </c>
      <c r="K18" s="15">
        <v>0</v>
      </c>
      <c r="L18" s="15">
        <v>0</v>
      </c>
      <c r="M18" s="15">
        <v>0</v>
      </c>
      <c r="N18" s="15">
        <v>0</v>
      </c>
      <c r="O18" s="15">
        <v>0</v>
      </c>
      <c r="P18" s="15">
        <v>0</v>
      </c>
      <c r="Q18" s="15">
        <v>0</v>
      </c>
      <c r="R18" s="15">
        <v>0</v>
      </c>
      <c r="S18" s="15">
        <v>1</v>
      </c>
    </row>
    <row r="19" spans="5:19" x14ac:dyDescent="0.3">
      <c r="E19" s="50">
        <v>36130</v>
      </c>
      <c r="F19" s="48">
        <f t="shared" si="0"/>
        <v>12</v>
      </c>
      <c r="I19" s="15">
        <v>0</v>
      </c>
      <c r="J19" s="15">
        <v>0</v>
      </c>
      <c r="K19" s="15">
        <v>0</v>
      </c>
      <c r="L19" s="15">
        <v>0</v>
      </c>
      <c r="M19" s="15">
        <v>0</v>
      </c>
      <c r="N19" s="15">
        <v>0</v>
      </c>
      <c r="O19" s="15">
        <v>0</v>
      </c>
      <c r="P19" s="15">
        <v>0</v>
      </c>
      <c r="Q19" s="15">
        <v>0</v>
      </c>
      <c r="R19" s="15">
        <v>0</v>
      </c>
      <c r="S19" s="15">
        <v>0</v>
      </c>
    </row>
    <row r="20" spans="5:19" x14ac:dyDescent="0.3">
      <c r="E20" s="50">
        <v>36161</v>
      </c>
      <c r="F20" s="48">
        <f t="shared" si="0"/>
        <v>1</v>
      </c>
      <c r="I20" s="15">
        <v>1</v>
      </c>
      <c r="J20" s="15">
        <v>0</v>
      </c>
      <c r="K20" s="15">
        <v>0</v>
      </c>
      <c r="L20" s="15">
        <v>0</v>
      </c>
      <c r="M20" s="15">
        <v>0</v>
      </c>
      <c r="N20" s="15">
        <v>0</v>
      </c>
      <c r="O20" s="15">
        <v>0</v>
      </c>
      <c r="P20" s="15">
        <v>0</v>
      </c>
      <c r="Q20" s="15">
        <v>0</v>
      </c>
      <c r="R20" s="15">
        <v>0</v>
      </c>
      <c r="S20" s="15">
        <v>0</v>
      </c>
    </row>
    <row r="21" spans="5:19" x14ac:dyDescent="0.3">
      <c r="E21" s="50">
        <v>36192</v>
      </c>
      <c r="F21" s="48">
        <f t="shared" si="0"/>
        <v>2</v>
      </c>
      <c r="I21" s="15">
        <v>0</v>
      </c>
      <c r="J21" s="15">
        <v>1</v>
      </c>
      <c r="K21" s="15">
        <v>0</v>
      </c>
      <c r="L21" s="15">
        <v>0</v>
      </c>
      <c r="M21" s="15">
        <v>0</v>
      </c>
      <c r="N21" s="15">
        <v>0</v>
      </c>
      <c r="O21" s="15">
        <v>0</v>
      </c>
      <c r="P21" s="15">
        <v>0</v>
      </c>
      <c r="Q21" s="15">
        <v>0</v>
      </c>
      <c r="R21" s="15">
        <v>0</v>
      </c>
      <c r="S21" s="15">
        <v>0</v>
      </c>
    </row>
    <row r="22" spans="5:19" x14ac:dyDescent="0.3">
      <c r="E22" s="50">
        <v>36220</v>
      </c>
      <c r="F22" s="48">
        <f t="shared" si="0"/>
        <v>3</v>
      </c>
      <c r="I22" s="15">
        <v>0</v>
      </c>
      <c r="J22" s="15">
        <v>0</v>
      </c>
      <c r="K22" s="15">
        <v>1</v>
      </c>
      <c r="L22" s="15">
        <v>0</v>
      </c>
      <c r="M22" s="15">
        <v>0</v>
      </c>
      <c r="N22" s="15">
        <v>0</v>
      </c>
      <c r="O22" s="15">
        <v>0</v>
      </c>
      <c r="P22" s="15">
        <v>0</v>
      </c>
      <c r="Q22" s="15">
        <v>0</v>
      </c>
      <c r="R22" s="15">
        <v>0</v>
      </c>
      <c r="S22" s="15">
        <v>0</v>
      </c>
    </row>
    <row r="23" spans="5:19" x14ac:dyDescent="0.3">
      <c r="E23" s="50">
        <v>36251</v>
      </c>
      <c r="F23" s="48">
        <f t="shared" si="0"/>
        <v>4</v>
      </c>
      <c r="I23" s="15">
        <v>0</v>
      </c>
      <c r="J23" s="15">
        <v>0</v>
      </c>
      <c r="K23" s="15">
        <v>0</v>
      </c>
      <c r="L23" s="15">
        <v>1</v>
      </c>
      <c r="M23" s="15">
        <v>0</v>
      </c>
      <c r="N23" s="15">
        <v>0</v>
      </c>
      <c r="O23" s="15">
        <v>0</v>
      </c>
      <c r="P23" s="15">
        <v>0</v>
      </c>
      <c r="Q23" s="15">
        <v>0</v>
      </c>
      <c r="R23" s="15">
        <v>0</v>
      </c>
      <c r="S23" s="15">
        <v>0</v>
      </c>
    </row>
    <row r="24" spans="5:19" x14ac:dyDescent="0.3">
      <c r="E24" s="50">
        <v>36281</v>
      </c>
      <c r="F24" s="48">
        <f t="shared" si="0"/>
        <v>5</v>
      </c>
      <c r="I24" s="15">
        <v>0</v>
      </c>
      <c r="J24" s="15">
        <v>0</v>
      </c>
      <c r="K24" s="15">
        <v>0</v>
      </c>
      <c r="L24" s="15">
        <v>0</v>
      </c>
      <c r="M24" s="15">
        <v>1</v>
      </c>
      <c r="N24" s="15">
        <v>0</v>
      </c>
      <c r="O24" s="15">
        <v>0</v>
      </c>
      <c r="P24" s="15">
        <v>0</v>
      </c>
      <c r="Q24" s="15">
        <v>0</v>
      </c>
      <c r="R24" s="15">
        <v>0</v>
      </c>
      <c r="S24" s="15">
        <v>0</v>
      </c>
    </row>
    <row r="25" spans="5:19" x14ac:dyDescent="0.3">
      <c r="E25" s="50">
        <v>36312</v>
      </c>
      <c r="F25" s="48">
        <f t="shared" si="0"/>
        <v>6</v>
      </c>
      <c r="I25" s="15">
        <v>0</v>
      </c>
      <c r="J25" s="15">
        <v>0</v>
      </c>
      <c r="K25" s="15">
        <v>0</v>
      </c>
      <c r="L25" s="15">
        <v>0</v>
      </c>
      <c r="M25" s="15">
        <v>0</v>
      </c>
      <c r="N25" s="15">
        <v>1</v>
      </c>
      <c r="O25" s="15">
        <v>0</v>
      </c>
      <c r="P25" s="15">
        <v>0</v>
      </c>
      <c r="Q25" s="15">
        <v>0</v>
      </c>
      <c r="R25" s="15">
        <v>0</v>
      </c>
      <c r="S25" s="15">
        <v>0</v>
      </c>
    </row>
    <row r="26" spans="5:19" x14ac:dyDescent="0.3">
      <c r="E26" s="50">
        <v>36342</v>
      </c>
      <c r="F26" s="48">
        <f t="shared" si="0"/>
        <v>7</v>
      </c>
      <c r="I26" s="15">
        <v>0</v>
      </c>
      <c r="J26" s="15">
        <v>0</v>
      </c>
      <c r="K26" s="15">
        <v>0</v>
      </c>
      <c r="L26" s="15">
        <v>0</v>
      </c>
      <c r="M26" s="15">
        <v>0</v>
      </c>
      <c r="N26" s="15">
        <v>0</v>
      </c>
      <c r="O26" s="15">
        <v>1</v>
      </c>
      <c r="P26" s="15">
        <v>0</v>
      </c>
      <c r="Q26" s="15">
        <v>0</v>
      </c>
      <c r="R26" s="15">
        <v>0</v>
      </c>
      <c r="S26" s="15">
        <v>0</v>
      </c>
    </row>
    <row r="27" spans="5:19" x14ac:dyDescent="0.3">
      <c r="E27" s="50">
        <v>36373</v>
      </c>
      <c r="F27" s="48">
        <f t="shared" si="0"/>
        <v>8</v>
      </c>
      <c r="I27" s="15">
        <v>0</v>
      </c>
      <c r="J27" s="15">
        <v>0</v>
      </c>
      <c r="K27" s="15">
        <v>0</v>
      </c>
      <c r="L27" s="15">
        <v>0</v>
      </c>
      <c r="M27" s="15">
        <v>0</v>
      </c>
      <c r="N27" s="15">
        <v>0</v>
      </c>
      <c r="O27" s="15">
        <v>0</v>
      </c>
      <c r="P27" s="15">
        <v>1</v>
      </c>
      <c r="Q27" s="15">
        <v>0</v>
      </c>
      <c r="R27" s="15">
        <v>0</v>
      </c>
      <c r="S27" s="15">
        <v>0</v>
      </c>
    </row>
    <row r="28" spans="5:19" x14ac:dyDescent="0.3">
      <c r="E28" s="50">
        <v>36404</v>
      </c>
      <c r="F28" s="48">
        <f t="shared" si="0"/>
        <v>9</v>
      </c>
      <c r="I28" s="15">
        <v>0</v>
      </c>
      <c r="J28" s="15">
        <v>0</v>
      </c>
      <c r="K28" s="15">
        <v>0</v>
      </c>
      <c r="L28" s="15">
        <v>0</v>
      </c>
      <c r="M28" s="15">
        <v>0</v>
      </c>
      <c r="N28" s="15">
        <v>0</v>
      </c>
      <c r="O28" s="15">
        <v>0</v>
      </c>
      <c r="P28" s="15">
        <v>0</v>
      </c>
      <c r="Q28" s="15">
        <v>1</v>
      </c>
      <c r="R28" s="15">
        <v>0</v>
      </c>
      <c r="S28" s="15">
        <v>0</v>
      </c>
    </row>
    <row r="29" spans="5:19" x14ac:dyDescent="0.3">
      <c r="E29" s="50">
        <v>36434</v>
      </c>
      <c r="F29" s="48">
        <f t="shared" si="0"/>
        <v>10</v>
      </c>
      <c r="I29" s="15">
        <v>0</v>
      </c>
      <c r="J29" s="15">
        <v>0</v>
      </c>
      <c r="K29" s="15">
        <v>0</v>
      </c>
      <c r="L29" s="15">
        <v>0</v>
      </c>
      <c r="M29" s="15">
        <v>0</v>
      </c>
      <c r="N29" s="15">
        <v>0</v>
      </c>
      <c r="O29" s="15">
        <v>0</v>
      </c>
      <c r="P29" s="15">
        <v>0</v>
      </c>
      <c r="Q29" s="15">
        <v>0</v>
      </c>
      <c r="R29" s="15">
        <v>1</v>
      </c>
      <c r="S29" s="15">
        <v>0</v>
      </c>
    </row>
    <row r="30" spans="5:19" x14ac:dyDescent="0.3">
      <c r="E30" s="50">
        <v>36465</v>
      </c>
      <c r="F30" s="48">
        <f t="shared" si="0"/>
        <v>11</v>
      </c>
      <c r="I30" s="15">
        <v>0</v>
      </c>
      <c r="J30" s="15">
        <v>0</v>
      </c>
      <c r="K30" s="15">
        <v>0</v>
      </c>
      <c r="L30" s="15">
        <v>0</v>
      </c>
      <c r="M30" s="15">
        <v>0</v>
      </c>
      <c r="N30" s="15">
        <v>0</v>
      </c>
      <c r="O30" s="15">
        <v>0</v>
      </c>
      <c r="P30" s="15">
        <v>0</v>
      </c>
      <c r="Q30" s="15">
        <v>0</v>
      </c>
      <c r="R30" s="15">
        <v>0</v>
      </c>
      <c r="S30" s="15">
        <v>1</v>
      </c>
    </row>
    <row r="31" spans="5:19" x14ac:dyDescent="0.3">
      <c r="E31" s="50">
        <v>36495</v>
      </c>
      <c r="F31" s="48">
        <f t="shared" si="0"/>
        <v>12</v>
      </c>
      <c r="I31" s="15">
        <v>0</v>
      </c>
      <c r="J31" s="15">
        <v>0</v>
      </c>
      <c r="K31" s="15">
        <v>0</v>
      </c>
      <c r="L31" s="15">
        <v>0</v>
      </c>
      <c r="M31" s="15">
        <v>0</v>
      </c>
      <c r="N31" s="15">
        <v>0</v>
      </c>
      <c r="O31" s="15">
        <v>0</v>
      </c>
      <c r="P31" s="15">
        <v>0</v>
      </c>
      <c r="Q31" s="15">
        <v>0</v>
      </c>
      <c r="R31" s="15">
        <v>0</v>
      </c>
      <c r="S31" s="15">
        <v>0</v>
      </c>
    </row>
    <row r="34" spans="5:19" x14ac:dyDescent="0.3">
      <c r="E34" s="21" t="s">
        <v>160</v>
      </c>
      <c r="F34" s="49" t="s">
        <v>162</v>
      </c>
      <c r="G34" s="49" t="s">
        <v>165</v>
      </c>
    </row>
    <row r="35" spans="5:19" x14ac:dyDescent="0.3">
      <c r="E35" s="50">
        <v>35796</v>
      </c>
      <c r="F35" s="48">
        <f>MONTH(E35)</f>
        <v>1</v>
      </c>
      <c r="G35" s="48">
        <v>1</v>
      </c>
      <c r="I35" s="15" cm="1">
        <f t="array" ref="I35:S58">DUMMYVAR($F$35:$F$58, $G$35)</f>
        <v>0</v>
      </c>
      <c r="J35" s="15">
        <v>0</v>
      </c>
      <c r="K35" s="15">
        <v>0</v>
      </c>
      <c r="L35" s="15">
        <v>0</v>
      </c>
      <c r="M35" s="15">
        <v>0</v>
      </c>
      <c r="N35" s="15">
        <v>0</v>
      </c>
      <c r="O35" s="15">
        <v>0</v>
      </c>
      <c r="P35" s="15">
        <v>0</v>
      </c>
      <c r="Q35" s="15">
        <v>0</v>
      </c>
      <c r="R35" s="15">
        <v>0</v>
      </c>
      <c r="S35" s="15">
        <v>0</v>
      </c>
    </row>
    <row r="36" spans="5:19" x14ac:dyDescent="0.3">
      <c r="E36" s="50">
        <v>35827</v>
      </c>
      <c r="F36" s="48">
        <f t="shared" ref="F36:F58" si="1">MONTH(E36)</f>
        <v>2</v>
      </c>
      <c r="I36" s="15">
        <v>1</v>
      </c>
      <c r="J36" s="15">
        <v>0</v>
      </c>
      <c r="K36" s="15">
        <v>0</v>
      </c>
      <c r="L36" s="15">
        <v>0</v>
      </c>
      <c r="M36" s="15">
        <v>0</v>
      </c>
      <c r="N36" s="15">
        <v>0</v>
      </c>
      <c r="O36" s="15">
        <v>0</v>
      </c>
      <c r="P36" s="15">
        <v>0</v>
      </c>
      <c r="Q36" s="15">
        <v>0</v>
      </c>
      <c r="R36" s="15">
        <v>0</v>
      </c>
      <c r="S36" s="15">
        <v>0</v>
      </c>
    </row>
    <row r="37" spans="5:19" x14ac:dyDescent="0.3">
      <c r="E37" s="50">
        <v>35855</v>
      </c>
      <c r="F37" s="48">
        <f t="shared" si="1"/>
        <v>3</v>
      </c>
      <c r="I37" s="15">
        <v>0</v>
      </c>
      <c r="J37" s="15">
        <v>1</v>
      </c>
      <c r="K37" s="15">
        <v>0</v>
      </c>
      <c r="L37" s="15">
        <v>0</v>
      </c>
      <c r="M37" s="15">
        <v>0</v>
      </c>
      <c r="N37" s="15">
        <v>0</v>
      </c>
      <c r="O37" s="15">
        <v>0</v>
      </c>
      <c r="P37" s="15">
        <v>0</v>
      </c>
      <c r="Q37" s="15">
        <v>0</v>
      </c>
      <c r="R37" s="15">
        <v>0</v>
      </c>
      <c r="S37" s="15">
        <v>0</v>
      </c>
    </row>
    <row r="38" spans="5:19" x14ac:dyDescent="0.3">
      <c r="E38" s="50">
        <v>35886</v>
      </c>
      <c r="F38" s="48">
        <f t="shared" si="1"/>
        <v>4</v>
      </c>
      <c r="I38" s="15">
        <v>0</v>
      </c>
      <c r="J38" s="15">
        <v>0</v>
      </c>
      <c r="K38" s="15">
        <v>1</v>
      </c>
      <c r="L38" s="15">
        <v>0</v>
      </c>
      <c r="M38" s="15">
        <v>0</v>
      </c>
      <c r="N38" s="15">
        <v>0</v>
      </c>
      <c r="O38" s="15">
        <v>0</v>
      </c>
      <c r="P38" s="15">
        <v>0</v>
      </c>
      <c r="Q38" s="15">
        <v>0</v>
      </c>
      <c r="R38" s="15">
        <v>0</v>
      </c>
      <c r="S38" s="15">
        <v>0</v>
      </c>
    </row>
    <row r="39" spans="5:19" x14ac:dyDescent="0.3">
      <c r="E39" s="50">
        <v>35916</v>
      </c>
      <c r="F39" s="48">
        <f t="shared" si="1"/>
        <v>5</v>
      </c>
      <c r="I39" s="15">
        <v>0</v>
      </c>
      <c r="J39" s="15">
        <v>0</v>
      </c>
      <c r="K39" s="15">
        <v>0</v>
      </c>
      <c r="L39" s="15">
        <v>1</v>
      </c>
      <c r="M39" s="15">
        <v>0</v>
      </c>
      <c r="N39" s="15">
        <v>0</v>
      </c>
      <c r="O39" s="15">
        <v>0</v>
      </c>
      <c r="P39" s="15">
        <v>0</v>
      </c>
      <c r="Q39" s="15">
        <v>0</v>
      </c>
      <c r="R39" s="15">
        <v>0</v>
      </c>
      <c r="S39" s="15">
        <v>0</v>
      </c>
    </row>
    <row r="40" spans="5:19" x14ac:dyDescent="0.3">
      <c r="E40" s="50">
        <v>35947</v>
      </c>
      <c r="F40" s="48">
        <f t="shared" si="1"/>
        <v>6</v>
      </c>
      <c r="I40" s="15">
        <v>0</v>
      </c>
      <c r="J40" s="15">
        <v>0</v>
      </c>
      <c r="K40" s="15">
        <v>0</v>
      </c>
      <c r="L40" s="15">
        <v>0</v>
      </c>
      <c r="M40" s="15">
        <v>1</v>
      </c>
      <c r="N40" s="15">
        <v>0</v>
      </c>
      <c r="O40" s="15">
        <v>0</v>
      </c>
      <c r="P40" s="15">
        <v>0</v>
      </c>
      <c r="Q40" s="15">
        <v>0</v>
      </c>
      <c r="R40" s="15">
        <v>0</v>
      </c>
      <c r="S40" s="15">
        <v>0</v>
      </c>
    </row>
    <row r="41" spans="5:19" x14ac:dyDescent="0.3">
      <c r="E41" s="50">
        <v>35977</v>
      </c>
      <c r="F41" s="48">
        <f t="shared" si="1"/>
        <v>7</v>
      </c>
      <c r="I41" s="15">
        <v>0</v>
      </c>
      <c r="J41" s="15">
        <v>0</v>
      </c>
      <c r="K41" s="15">
        <v>0</v>
      </c>
      <c r="L41" s="15">
        <v>0</v>
      </c>
      <c r="M41" s="15">
        <v>0</v>
      </c>
      <c r="N41" s="15">
        <v>1</v>
      </c>
      <c r="O41" s="15">
        <v>0</v>
      </c>
      <c r="P41" s="15">
        <v>0</v>
      </c>
      <c r="Q41" s="15">
        <v>0</v>
      </c>
      <c r="R41" s="15">
        <v>0</v>
      </c>
      <c r="S41" s="15">
        <v>0</v>
      </c>
    </row>
    <row r="42" spans="5:19" x14ac:dyDescent="0.3">
      <c r="E42" s="50">
        <v>36008</v>
      </c>
      <c r="F42" s="48">
        <f t="shared" si="1"/>
        <v>8</v>
      </c>
      <c r="I42" s="15">
        <v>0</v>
      </c>
      <c r="J42" s="15">
        <v>0</v>
      </c>
      <c r="K42" s="15">
        <v>0</v>
      </c>
      <c r="L42" s="15">
        <v>0</v>
      </c>
      <c r="M42" s="15">
        <v>0</v>
      </c>
      <c r="N42" s="15">
        <v>0</v>
      </c>
      <c r="O42" s="15">
        <v>1</v>
      </c>
      <c r="P42" s="15">
        <v>0</v>
      </c>
      <c r="Q42" s="15">
        <v>0</v>
      </c>
      <c r="R42" s="15">
        <v>0</v>
      </c>
      <c r="S42" s="15">
        <v>0</v>
      </c>
    </row>
    <row r="43" spans="5:19" x14ac:dyDescent="0.3">
      <c r="E43" s="50">
        <v>36039</v>
      </c>
      <c r="F43" s="48">
        <f t="shared" si="1"/>
        <v>9</v>
      </c>
      <c r="I43" s="15">
        <v>0</v>
      </c>
      <c r="J43" s="15">
        <v>0</v>
      </c>
      <c r="K43" s="15">
        <v>0</v>
      </c>
      <c r="L43" s="15">
        <v>0</v>
      </c>
      <c r="M43" s="15">
        <v>0</v>
      </c>
      <c r="N43" s="15">
        <v>0</v>
      </c>
      <c r="O43" s="15">
        <v>0</v>
      </c>
      <c r="P43" s="15">
        <v>1</v>
      </c>
      <c r="Q43" s="15">
        <v>0</v>
      </c>
      <c r="R43" s="15">
        <v>0</v>
      </c>
      <c r="S43" s="15">
        <v>0</v>
      </c>
    </row>
    <row r="44" spans="5:19" x14ac:dyDescent="0.3">
      <c r="E44" s="50">
        <v>36069</v>
      </c>
      <c r="F44" s="48">
        <f t="shared" si="1"/>
        <v>10</v>
      </c>
      <c r="I44" s="15">
        <v>0</v>
      </c>
      <c r="J44" s="15">
        <v>0</v>
      </c>
      <c r="K44" s="15">
        <v>0</v>
      </c>
      <c r="L44" s="15">
        <v>0</v>
      </c>
      <c r="M44" s="15">
        <v>0</v>
      </c>
      <c r="N44" s="15">
        <v>0</v>
      </c>
      <c r="O44" s="15">
        <v>0</v>
      </c>
      <c r="P44" s="15">
        <v>0</v>
      </c>
      <c r="Q44" s="15">
        <v>1</v>
      </c>
      <c r="R44" s="15">
        <v>0</v>
      </c>
      <c r="S44" s="15">
        <v>0</v>
      </c>
    </row>
    <row r="45" spans="5:19" x14ac:dyDescent="0.3">
      <c r="E45" s="50">
        <v>36100</v>
      </c>
      <c r="F45" s="48">
        <f t="shared" si="1"/>
        <v>11</v>
      </c>
      <c r="I45" s="15">
        <v>0</v>
      </c>
      <c r="J45" s="15">
        <v>0</v>
      </c>
      <c r="K45" s="15">
        <v>0</v>
      </c>
      <c r="L45" s="15">
        <v>0</v>
      </c>
      <c r="M45" s="15">
        <v>0</v>
      </c>
      <c r="N45" s="15">
        <v>0</v>
      </c>
      <c r="O45" s="15">
        <v>0</v>
      </c>
      <c r="P45" s="15">
        <v>0</v>
      </c>
      <c r="Q45" s="15">
        <v>0</v>
      </c>
      <c r="R45" s="15">
        <v>1</v>
      </c>
      <c r="S45" s="15">
        <v>0</v>
      </c>
    </row>
    <row r="46" spans="5:19" x14ac:dyDescent="0.3">
      <c r="E46" s="50">
        <v>36130</v>
      </c>
      <c r="F46" s="48">
        <f t="shared" si="1"/>
        <v>12</v>
      </c>
      <c r="I46" s="15">
        <v>0</v>
      </c>
      <c r="J46" s="15">
        <v>0</v>
      </c>
      <c r="K46" s="15">
        <v>0</v>
      </c>
      <c r="L46" s="15">
        <v>0</v>
      </c>
      <c r="M46" s="15">
        <v>0</v>
      </c>
      <c r="N46" s="15">
        <v>0</v>
      </c>
      <c r="O46" s="15">
        <v>0</v>
      </c>
      <c r="P46" s="15">
        <v>0</v>
      </c>
      <c r="Q46" s="15">
        <v>0</v>
      </c>
      <c r="R46" s="15">
        <v>0</v>
      </c>
      <c r="S46" s="15">
        <v>1</v>
      </c>
    </row>
    <row r="47" spans="5:19" x14ac:dyDescent="0.3">
      <c r="E47" s="50">
        <v>36161</v>
      </c>
      <c r="F47" s="48">
        <f t="shared" si="1"/>
        <v>1</v>
      </c>
      <c r="I47" s="15">
        <v>0</v>
      </c>
      <c r="J47" s="15">
        <v>0</v>
      </c>
      <c r="K47" s="15">
        <v>0</v>
      </c>
      <c r="L47" s="15">
        <v>0</v>
      </c>
      <c r="M47" s="15">
        <v>0</v>
      </c>
      <c r="N47" s="15">
        <v>0</v>
      </c>
      <c r="O47" s="15">
        <v>0</v>
      </c>
      <c r="P47" s="15">
        <v>0</v>
      </c>
      <c r="Q47" s="15">
        <v>0</v>
      </c>
      <c r="R47" s="15">
        <v>0</v>
      </c>
      <c r="S47" s="15">
        <v>0</v>
      </c>
    </row>
    <row r="48" spans="5:19" x14ac:dyDescent="0.3">
      <c r="E48" s="50">
        <v>36192</v>
      </c>
      <c r="F48" s="48">
        <f t="shared" si="1"/>
        <v>2</v>
      </c>
      <c r="I48" s="15">
        <v>1</v>
      </c>
      <c r="J48" s="15">
        <v>0</v>
      </c>
      <c r="K48" s="15">
        <v>0</v>
      </c>
      <c r="L48" s="15">
        <v>0</v>
      </c>
      <c r="M48" s="15">
        <v>0</v>
      </c>
      <c r="N48" s="15">
        <v>0</v>
      </c>
      <c r="O48" s="15">
        <v>0</v>
      </c>
      <c r="P48" s="15">
        <v>0</v>
      </c>
      <c r="Q48" s="15">
        <v>0</v>
      </c>
      <c r="R48" s="15">
        <v>0</v>
      </c>
      <c r="S48" s="15">
        <v>0</v>
      </c>
    </row>
    <row r="49" spans="5:19" x14ac:dyDescent="0.3">
      <c r="E49" s="50">
        <v>36220</v>
      </c>
      <c r="F49" s="48">
        <f t="shared" si="1"/>
        <v>3</v>
      </c>
      <c r="I49" s="15">
        <v>0</v>
      </c>
      <c r="J49" s="15">
        <v>1</v>
      </c>
      <c r="K49" s="15">
        <v>0</v>
      </c>
      <c r="L49" s="15">
        <v>0</v>
      </c>
      <c r="M49" s="15">
        <v>0</v>
      </c>
      <c r="N49" s="15">
        <v>0</v>
      </c>
      <c r="O49" s="15">
        <v>0</v>
      </c>
      <c r="P49" s="15">
        <v>0</v>
      </c>
      <c r="Q49" s="15">
        <v>0</v>
      </c>
      <c r="R49" s="15">
        <v>0</v>
      </c>
      <c r="S49" s="15">
        <v>0</v>
      </c>
    </row>
    <row r="50" spans="5:19" x14ac:dyDescent="0.3">
      <c r="E50" s="50">
        <v>36251</v>
      </c>
      <c r="F50" s="48">
        <f t="shared" si="1"/>
        <v>4</v>
      </c>
      <c r="I50" s="15">
        <v>0</v>
      </c>
      <c r="J50" s="15">
        <v>0</v>
      </c>
      <c r="K50" s="15">
        <v>1</v>
      </c>
      <c r="L50" s="15">
        <v>0</v>
      </c>
      <c r="M50" s="15">
        <v>0</v>
      </c>
      <c r="N50" s="15">
        <v>0</v>
      </c>
      <c r="O50" s="15">
        <v>0</v>
      </c>
      <c r="P50" s="15">
        <v>0</v>
      </c>
      <c r="Q50" s="15">
        <v>0</v>
      </c>
      <c r="R50" s="15">
        <v>0</v>
      </c>
      <c r="S50" s="15">
        <v>0</v>
      </c>
    </row>
    <row r="51" spans="5:19" x14ac:dyDescent="0.3">
      <c r="E51" s="50">
        <v>36281</v>
      </c>
      <c r="F51" s="48">
        <f t="shared" si="1"/>
        <v>5</v>
      </c>
      <c r="I51" s="15">
        <v>0</v>
      </c>
      <c r="J51" s="15">
        <v>0</v>
      </c>
      <c r="K51" s="15">
        <v>0</v>
      </c>
      <c r="L51" s="15">
        <v>1</v>
      </c>
      <c r="M51" s="15">
        <v>0</v>
      </c>
      <c r="N51" s="15">
        <v>0</v>
      </c>
      <c r="O51" s="15">
        <v>0</v>
      </c>
      <c r="P51" s="15">
        <v>0</v>
      </c>
      <c r="Q51" s="15">
        <v>0</v>
      </c>
      <c r="R51" s="15">
        <v>0</v>
      </c>
      <c r="S51" s="15">
        <v>0</v>
      </c>
    </row>
    <row r="52" spans="5:19" x14ac:dyDescent="0.3">
      <c r="E52" s="50">
        <v>36312</v>
      </c>
      <c r="F52" s="48">
        <f t="shared" si="1"/>
        <v>6</v>
      </c>
      <c r="I52" s="15">
        <v>0</v>
      </c>
      <c r="J52" s="15">
        <v>0</v>
      </c>
      <c r="K52" s="15">
        <v>0</v>
      </c>
      <c r="L52" s="15">
        <v>0</v>
      </c>
      <c r="M52" s="15">
        <v>1</v>
      </c>
      <c r="N52" s="15">
        <v>0</v>
      </c>
      <c r="O52" s="15">
        <v>0</v>
      </c>
      <c r="P52" s="15">
        <v>0</v>
      </c>
      <c r="Q52" s="15">
        <v>0</v>
      </c>
      <c r="R52" s="15">
        <v>0</v>
      </c>
      <c r="S52" s="15">
        <v>0</v>
      </c>
    </row>
    <row r="53" spans="5:19" x14ac:dyDescent="0.3">
      <c r="E53" s="50">
        <v>36342</v>
      </c>
      <c r="F53" s="48">
        <f t="shared" si="1"/>
        <v>7</v>
      </c>
      <c r="I53" s="15">
        <v>0</v>
      </c>
      <c r="J53" s="15">
        <v>0</v>
      </c>
      <c r="K53" s="15">
        <v>0</v>
      </c>
      <c r="L53" s="15">
        <v>0</v>
      </c>
      <c r="M53" s="15">
        <v>0</v>
      </c>
      <c r="N53" s="15">
        <v>1</v>
      </c>
      <c r="O53" s="15">
        <v>0</v>
      </c>
      <c r="P53" s="15">
        <v>0</v>
      </c>
      <c r="Q53" s="15">
        <v>0</v>
      </c>
      <c r="R53" s="15">
        <v>0</v>
      </c>
      <c r="S53" s="15">
        <v>0</v>
      </c>
    </row>
    <row r="54" spans="5:19" x14ac:dyDescent="0.3">
      <c r="E54" s="50">
        <v>36373</v>
      </c>
      <c r="F54" s="48">
        <f t="shared" si="1"/>
        <v>8</v>
      </c>
      <c r="I54" s="15">
        <v>0</v>
      </c>
      <c r="J54" s="15">
        <v>0</v>
      </c>
      <c r="K54" s="15">
        <v>0</v>
      </c>
      <c r="L54" s="15">
        <v>0</v>
      </c>
      <c r="M54" s="15">
        <v>0</v>
      </c>
      <c r="N54" s="15">
        <v>0</v>
      </c>
      <c r="O54" s="15">
        <v>1</v>
      </c>
      <c r="P54" s="15">
        <v>0</v>
      </c>
      <c r="Q54" s="15">
        <v>0</v>
      </c>
      <c r="R54" s="15">
        <v>0</v>
      </c>
      <c r="S54" s="15">
        <v>0</v>
      </c>
    </row>
    <row r="55" spans="5:19" x14ac:dyDescent="0.3">
      <c r="E55" s="50">
        <v>36404</v>
      </c>
      <c r="F55" s="48">
        <f t="shared" si="1"/>
        <v>9</v>
      </c>
      <c r="I55" s="15">
        <v>0</v>
      </c>
      <c r="J55" s="15">
        <v>0</v>
      </c>
      <c r="K55" s="15">
        <v>0</v>
      </c>
      <c r="L55" s="15">
        <v>0</v>
      </c>
      <c r="M55" s="15">
        <v>0</v>
      </c>
      <c r="N55" s="15">
        <v>0</v>
      </c>
      <c r="O55" s="15">
        <v>0</v>
      </c>
      <c r="P55" s="15">
        <v>1</v>
      </c>
      <c r="Q55" s="15">
        <v>0</v>
      </c>
      <c r="R55" s="15">
        <v>0</v>
      </c>
      <c r="S55" s="15">
        <v>0</v>
      </c>
    </row>
    <row r="56" spans="5:19" x14ac:dyDescent="0.3">
      <c r="E56" s="50">
        <v>36434</v>
      </c>
      <c r="F56" s="48">
        <f t="shared" si="1"/>
        <v>10</v>
      </c>
      <c r="I56" s="15">
        <v>0</v>
      </c>
      <c r="J56" s="15">
        <v>0</v>
      </c>
      <c r="K56" s="15">
        <v>0</v>
      </c>
      <c r="L56" s="15">
        <v>0</v>
      </c>
      <c r="M56" s="15">
        <v>0</v>
      </c>
      <c r="N56" s="15">
        <v>0</v>
      </c>
      <c r="O56" s="15">
        <v>0</v>
      </c>
      <c r="P56" s="15">
        <v>0</v>
      </c>
      <c r="Q56" s="15">
        <v>1</v>
      </c>
      <c r="R56" s="15">
        <v>0</v>
      </c>
      <c r="S56" s="15">
        <v>0</v>
      </c>
    </row>
    <row r="57" spans="5:19" x14ac:dyDescent="0.3">
      <c r="E57" s="50">
        <v>36465</v>
      </c>
      <c r="F57" s="48">
        <f t="shared" si="1"/>
        <v>11</v>
      </c>
      <c r="I57" s="15">
        <v>0</v>
      </c>
      <c r="J57" s="15">
        <v>0</v>
      </c>
      <c r="K57" s="15">
        <v>0</v>
      </c>
      <c r="L57" s="15">
        <v>0</v>
      </c>
      <c r="M57" s="15">
        <v>0</v>
      </c>
      <c r="N57" s="15">
        <v>0</v>
      </c>
      <c r="O57" s="15">
        <v>0</v>
      </c>
      <c r="P57" s="15">
        <v>0</v>
      </c>
      <c r="Q57" s="15">
        <v>0</v>
      </c>
      <c r="R57" s="15">
        <v>1</v>
      </c>
      <c r="S57" s="15">
        <v>0</v>
      </c>
    </row>
    <row r="58" spans="5:19" x14ac:dyDescent="0.3">
      <c r="E58" s="50">
        <v>36495</v>
      </c>
      <c r="F58" s="48">
        <f t="shared" si="1"/>
        <v>12</v>
      </c>
      <c r="I58" s="15">
        <v>0</v>
      </c>
      <c r="J58" s="15">
        <v>0</v>
      </c>
      <c r="K58" s="15">
        <v>0</v>
      </c>
      <c r="L58" s="15">
        <v>0</v>
      </c>
      <c r="M58" s="15">
        <v>0</v>
      </c>
      <c r="N58" s="15">
        <v>0</v>
      </c>
      <c r="O58" s="15">
        <v>0</v>
      </c>
      <c r="P58" s="15">
        <v>0</v>
      </c>
      <c r="Q58" s="15">
        <v>0</v>
      </c>
      <c r="R58" s="15">
        <v>0</v>
      </c>
      <c r="S58" s="15">
        <v>1</v>
      </c>
    </row>
  </sheetData>
  <pageMargins left="0.511811024" right="0.511811024" top="0.78740157499999996" bottom="0.78740157499999996" header="0.31496062000000002" footer="0.3149606200000000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C3F2D-A8BC-401E-865C-28CDC3F31F43}">
  <sheetPr codeName="Planilha14">
    <tabColor theme="9" tint="0.59999389629810485"/>
  </sheetPr>
  <dimension ref="A1:U42"/>
  <sheetViews>
    <sheetView showGridLines="0" workbookViewId="0">
      <selection activeCell="M3" sqref="M3"/>
    </sheetView>
  </sheetViews>
  <sheetFormatPr defaultColWidth="8.85546875" defaultRowHeight="18.75" x14ac:dyDescent="0.3"/>
  <cols>
    <col min="1" max="1" width="12.7109375" style="17" customWidth="1"/>
    <col min="2" max="2" width="24.85546875" bestFit="1" customWidth="1"/>
    <col min="4" max="4" width="4.5703125" customWidth="1"/>
    <col min="5" max="5" width="10.140625" bestFit="1" customWidth="1"/>
    <col min="6" max="6" width="10.140625" customWidth="1"/>
    <col min="7" max="8" width="12.42578125" bestFit="1" customWidth="1"/>
    <col min="10" max="12" width="9.42578125" style="51" customWidth="1"/>
    <col min="13" max="21" width="8.85546875" style="15"/>
    <col min="24" max="24" width="8.85546875" customWidth="1"/>
  </cols>
  <sheetData>
    <row r="1" spans="1:21" x14ac:dyDescent="0.3">
      <c r="A1" s="16" t="s">
        <v>173</v>
      </c>
      <c r="J1" s="52"/>
      <c r="K1" s="52"/>
      <c r="L1" s="52"/>
      <c r="M1" s="14"/>
      <c r="N1" s="14"/>
      <c r="O1" s="14"/>
      <c r="P1" s="14"/>
      <c r="Q1" s="14"/>
      <c r="R1" s="14"/>
      <c r="S1" s="14"/>
      <c r="T1" s="14"/>
      <c r="U1" s="14"/>
    </row>
    <row r="2" spans="1:21" x14ac:dyDescent="0.3">
      <c r="A2" s="17" t="s">
        <v>174</v>
      </c>
      <c r="J2" s="52"/>
      <c r="K2" s="52"/>
      <c r="L2" s="52"/>
      <c r="M2" s="14"/>
      <c r="N2" s="14"/>
      <c r="O2" s="14"/>
      <c r="P2" s="14"/>
      <c r="Q2" s="14"/>
      <c r="R2" s="14"/>
      <c r="S2" s="14"/>
      <c r="T2" s="14"/>
      <c r="U2" s="14"/>
    </row>
    <row r="4" spans="1:21" ht="15.75" x14ac:dyDescent="0.25">
      <c r="A4" s="2" t="s">
        <v>15</v>
      </c>
      <c r="B4" s="2" t="s">
        <v>16</v>
      </c>
    </row>
    <row r="5" spans="1:21" ht="47.25" x14ac:dyDescent="0.25">
      <c r="A5" s="23" t="s">
        <v>22</v>
      </c>
      <c r="B5" s="24" t="s">
        <v>468</v>
      </c>
    </row>
    <row r="6" spans="1:21" ht="63" x14ac:dyDescent="0.25">
      <c r="A6" s="23" t="s">
        <v>176</v>
      </c>
      <c r="B6" s="24" t="s">
        <v>467</v>
      </c>
    </row>
    <row r="7" spans="1:21" ht="47.25" x14ac:dyDescent="0.25">
      <c r="A7" s="23" t="s">
        <v>388</v>
      </c>
      <c r="B7" s="24" t="s">
        <v>466</v>
      </c>
    </row>
    <row r="8" spans="1:21" ht="15.75" x14ac:dyDescent="0.25">
      <c r="A8" s="23"/>
      <c r="B8" s="24"/>
    </row>
    <row r="9" spans="1:21" x14ac:dyDescent="0.3">
      <c r="E9" s="112" t="s">
        <v>22</v>
      </c>
      <c r="F9" s="113"/>
      <c r="G9" s="49" t="s">
        <v>175</v>
      </c>
      <c r="H9" s="49" t="s">
        <v>389</v>
      </c>
    </row>
    <row r="10" spans="1:21" x14ac:dyDescent="0.3">
      <c r="E10" s="48">
        <v>1</v>
      </c>
      <c r="F10" s="48">
        <v>2</v>
      </c>
      <c r="G10" s="48">
        <v>1</v>
      </c>
      <c r="H10" s="48"/>
      <c r="J10" s="51" cm="1">
        <f t="array" ref="J10:L18">_xlfn.LAMBDA(_xlpm.matrix,_xlop.position,_xlop.header,
_xlfn.LET(
_xlpm.position, IF( _xlfn.ISOMITTED(_xlpm.position), 1, _xlpm.position),
_xlpm.values, IF( OR( _xlpm.position&lt;1, _xlpm.position&gt;COLUMNS(_xlpm.matrix)+1),
"#position exceeds matrix columns",
IF(_xlpm.position=1,
HORZCAT( ONES(ROWS(_xlpm.matrix),1), SLICE(_xlpm.matrix,0,0,1,-1) ),
IF(_xlpm.position=COLUMNS(_xlpm.matrix)+1,
HORZCAT(_xlpm.matrix, ONES(ROWS(_xlpm.matrix),1) ),
HORZCAT( HORZCAT( SLICE(_xlpm.matrix,0,0,1,_xlpm.position-1), ONES(ROWS(_xlpm.matrix),1) ), SLICE(_xlpm.matrix,0,0,_xlpm.position,-1) )
) ) ),
IF(_xlfn.ISOMITTED(_xlpm.header), _xlpm.values, SLICE(_xlpm.values,1,1,_xlpm.position,_xlpm.position,_xlpm.header) )
) )($E$10:$F$18, $G$10)</f>
        <v>1</v>
      </c>
      <c r="K10" s="51">
        <v>1</v>
      </c>
      <c r="L10" s="51">
        <v>2</v>
      </c>
    </row>
    <row r="11" spans="1:21" x14ac:dyDescent="0.3">
      <c r="E11" s="48">
        <v>2</v>
      </c>
      <c r="F11" s="48">
        <v>3</v>
      </c>
      <c r="J11" s="51">
        <v>1</v>
      </c>
      <c r="K11" s="51">
        <v>2</v>
      </c>
      <c r="L11" s="51">
        <v>3</v>
      </c>
    </row>
    <row r="12" spans="1:21" x14ac:dyDescent="0.3">
      <c r="E12" s="48">
        <v>3</v>
      </c>
      <c r="F12" s="48">
        <v>4</v>
      </c>
      <c r="J12" s="51">
        <v>1</v>
      </c>
      <c r="K12" s="51">
        <v>3</v>
      </c>
      <c r="L12" s="51">
        <v>4</v>
      </c>
    </row>
    <row r="13" spans="1:21" ht="18.75" customHeight="1" x14ac:dyDescent="0.3">
      <c r="E13" s="48">
        <v>4</v>
      </c>
      <c r="F13" s="48">
        <v>5</v>
      </c>
      <c r="J13" s="51">
        <v>1</v>
      </c>
      <c r="K13" s="51">
        <v>4</v>
      </c>
      <c r="L13" s="51">
        <v>5</v>
      </c>
    </row>
    <row r="14" spans="1:21" x14ac:dyDescent="0.3">
      <c r="E14" s="48">
        <v>5</v>
      </c>
      <c r="F14" s="48">
        <v>6</v>
      </c>
      <c r="J14" s="51">
        <v>1</v>
      </c>
      <c r="K14" s="51">
        <v>5</v>
      </c>
      <c r="L14" s="51">
        <v>6</v>
      </c>
    </row>
    <row r="15" spans="1:21" x14ac:dyDescent="0.3">
      <c r="E15" s="48">
        <v>6</v>
      </c>
      <c r="F15" s="48">
        <v>7</v>
      </c>
      <c r="J15" s="51">
        <v>1</v>
      </c>
      <c r="K15" s="51">
        <v>6</v>
      </c>
      <c r="L15" s="51">
        <v>7</v>
      </c>
    </row>
    <row r="16" spans="1:21" x14ac:dyDescent="0.3">
      <c r="E16" s="48">
        <v>7</v>
      </c>
      <c r="F16" s="48">
        <v>8</v>
      </c>
      <c r="J16" s="51">
        <v>1</v>
      </c>
      <c r="K16" s="51">
        <v>7</v>
      </c>
      <c r="L16" s="51">
        <v>8</v>
      </c>
    </row>
    <row r="17" spans="5:12" x14ac:dyDescent="0.3">
      <c r="E17" s="48">
        <v>8</v>
      </c>
      <c r="F17" s="48">
        <v>9</v>
      </c>
      <c r="J17" s="51">
        <v>1</v>
      </c>
      <c r="K17" s="51">
        <v>8</v>
      </c>
      <c r="L17" s="51">
        <v>9</v>
      </c>
    </row>
    <row r="18" spans="5:12" x14ac:dyDescent="0.3">
      <c r="E18" s="48">
        <v>9</v>
      </c>
      <c r="F18" s="48">
        <v>10</v>
      </c>
      <c r="J18" s="51">
        <v>1</v>
      </c>
      <c r="K18" s="51">
        <v>9</v>
      </c>
      <c r="L18" s="51">
        <v>10</v>
      </c>
    </row>
    <row r="21" spans="5:12" x14ac:dyDescent="0.3">
      <c r="E21" s="112" t="s">
        <v>22</v>
      </c>
      <c r="F21" s="113"/>
      <c r="G21" s="49" t="s">
        <v>175</v>
      </c>
      <c r="H21" s="49" t="s">
        <v>389</v>
      </c>
    </row>
    <row r="22" spans="5:12" x14ac:dyDescent="0.3">
      <c r="E22" s="48">
        <v>1</v>
      </c>
      <c r="F22" s="48">
        <v>2</v>
      </c>
      <c r="G22" s="48">
        <v>3</v>
      </c>
      <c r="H22" s="48"/>
      <c r="J22" s="51" cm="1">
        <f t="array" ref="J22:L30">ADDCONST($E$22:$F$30, $G$22)</f>
        <v>1</v>
      </c>
      <c r="K22" s="51">
        <v>2</v>
      </c>
      <c r="L22" s="51">
        <v>1</v>
      </c>
    </row>
    <row r="23" spans="5:12" x14ac:dyDescent="0.3">
      <c r="E23" s="48">
        <v>2</v>
      </c>
      <c r="F23" s="48">
        <v>3</v>
      </c>
      <c r="J23" s="51">
        <v>2</v>
      </c>
      <c r="K23" s="51">
        <v>3</v>
      </c>
      <c r="L23" s="51">
        <v>1</v>
      </c>
    </row>
    <row r="24" spans="5:12" x14ac:dyDescent="0.3">
      <c r="E24" s="48">
        <v>3</v>
      </c>
      <c r="F24" s="48">
        <v>4</v>
      </c>
      <c r="J24" s="51">
        <v>3</v>
      </c>
      <c r="K24" s="51">
        <v>4</v>
      </c>
      <c r="L24" s="51">
        <v>1</v>
      </c>
    </row>
    <row r="25" spans="5:12" x14ac:dyDescent="0.3">
      <c r="E25" s="48">
        <v>4</v>
      </c>
      <c r="F25" s="48">
        <v>5</v>
      </c>
      <c r="J25" s="51">
        <v>4</v>
      </c>
      <c r="K25" s="51">
        <v>5</v>
      </c>
      <c r="L25" s="51">
        <v>1</v>
      </c>
    </row>
    <row r="26" spans="5:12" x14ac:dyDescent="0.3">
      <c r="E26" s="48">
        <v>5</v>
      </c>
      <c r="F26" s="48">
        <v>6</v>
      </c>
      <c r="J26" s="51">
        <v>5</v>
      </c>
      <c r="K26" s="51">
        <v>6</v>
      </c>
      <c r="L26" s="51">
        <v>1</v>
      </c>
    </row>
    <row r="27" spans="5:12" x14ac:dyDescent="0.3">
      <c r="E27" s="48">
        <v>6</v>
      </c>
      <c r="F27" s="48">
        <v>7</v>
      </c>
      <c r="J27" s="51">
        <v>6</v>
      </c>
      <c r="K27" s="51">
        <v>7</v>
      </c>
      <c r="L27" s="51">
        <v>1</v>
      </c>
    </row>
    <row r="28" spans="5:12" x14ac:dyDescent="0.3">
      <c r="E28" s="48">
        <v>7</v>
      </c>
      <c r="F28" s="48">
        <v>8</v>
      </c>
      <c r="J28" s="51">
        <v>7</v>
      </c>
      <c r="K28" s="51">
        <v>8</v>
      </c>
      <c r="L28" s="51">
        <v>1</v>
      </c>
    </row>
    <row r="29" spans="5:12" x14ac:dyDescent="0.3">
      <c r="E29" s="48">
        <v>8</v>
      </c>
      <c r="F29" s="48">
        <v>9</v>
      </c>
      <c r="J29" s="51">
        <v>8</v>
      </c>
      <c r="K29" s="51">
        <v>9</v>
      </c>
      <c r="L29" s="51">
        <v>1</v>
      </c>
    </row>
    <row r="30" spans="5:12" x14ac:dyDescent="0.3">
      <c r="E30" s="48">
        <v>9</v>
      </c>
      <c r="F30" s="48">
        <v>10</v>
      </c>
      <c r="J30" s="51">
        <v>9</v>
      </c>
      <c r="K30" s="51">
        <v>10</v>
      </c>
      <c r="L30" s="51">
        <v>1</v>
      </c>
    </row>
    <row r="33" spans="5:12" x14ac:dyDescent="0.3">
      <c r="E33" s="112" t="s">
        <v>22</v>
      </c>
      <c r="F33" s="113"/>
      <c r="G33" s="49" t="s">
        <v>175</v>
      </c>
      <c r="H33" s="49" t="s">
        <v>389</v>
      </c>
    </row>
    <row r="34" spans="5:12" x14ac:dyDescent="0.3">
      <c r="E34" s="48" t="s">
        <v>390</v>
      </c>
      <c r="F34" s="48" t="s">
        <v>391</v>
      </c>
      <c r="G34" s="48">
        <v>3</v>
      </c>
      <c r="H34" s="48" t="s">
        <v>148</v>
      </c>
      <c r="J34" s="51" t="str" cm="1">
        <f t="array" ref="J34:L42">ADDCONST($E$34:$F$42, $G$34, $H$34)</f>
        <v>col A</v>
      </c>
      <c r="K34" s="51" t="str">
        <v>col B</v>
      </c>
      <c r="L34" s="51" t="str">
        <v>const</v>
      </c>
    </row>
    <row r="35" spans="5:12" x14ac:dyDescent="0.3">
      <c r="E35" s="48">
        <v>2</v>
      </c>
      <c r="F35" s="48">
        <v>3</v>
      </c>
      <c r="J35" s="51">
        <v>2</v>
      </c>
      <c r="K35" s="51">
        <v>3</v>
      </c>
      <c r="L35" s="51">
        <v>1</v>
      </c>
    </row>
    <row r="36" spans="5:12" x14ac:dyDescent="0.3">
      <c r="E36" s="48">
        <v>3</v>
      </c>
      <c r="F36" s="48">
        <v>4</v>
      </c>
      <c r="J36" s="51">
        <v>3</v>
      </c>
      <c r="K36" s="51">
        <v>4</v>
      </c>
      <c r="L36" s="51">
        <v>1</v>
      </c>
    </row>
    <row r="37" spans="5:12" x14ac:dyDescent="0.3">
      <c r="E37" s="48">
        <v>4</v>
      </c>
      <c r="F37" s="48">
        <v>5</v>
      </c>
      <c r="J37" s="51">
        <v>4</v>
      </c>
      <c r="K37" s="51">
        <v>5</v>
      </c>
      <c r="L37" s="51">
        <v>1</v>
      </c>
    </row>
    <row r="38" spans="5:12" x14ac:dyDescent="0.3">
      <c r="E38" s="48">
        <v>5</v>
      </c>
      <c r="F38" s="48">
        <v>6</v>
      </c>
      <c r="J38" s="51">
        <v>5</v>
      </c>
      <c r="K38" s="51">
        <v>6</v>
      </c>
      <c r="L38" s="51">
        <v>1</v>
      </c>
    </row>
    <row r="39" spans="5:12" x14ac:dyDescent="0.3">
      <c r="E39" s="48">
        <v>6</v>
      </c>
      <c r="F39" s="48">
        <v>7</v>
      </c>
      <c r="J39" s="51">
        <v>6</v>
      </c>
      <c r="K39" s="51">
        <v>7</v>
      </c>
      <c r="L39" s="51">
        <v>1</v>
      </c>
    </row>
    <row r="40" spans="5:12" x14ac:dyDescent="0.3">
      <c r="E40" s="48">
        <v>7</v>
      </c>
      <c r="F40" s="48">
        <v>8</v>
      </c>
      <c r="J40" s="51">
        <v>7</v>
      </c>
      <c r="K40" s="51">
        <v>8</v>
      </c>
      <c r="L40" s="51">
        <v>1</v>
      </c>
    </row>
    <row r="41" spans="5:12" x14ac:dyDescent="0.3">
      <c r="E41" s="48">
        <v>8</v>
      </c>
      <c r="F41" s="48">
        <v>9</v>
      </c>
      <c r="J41" s="51">
        <v>8</v>
      </c>
      <c r="K41" s="51">
        <v>9</v>
      </c>
      <c r="L41" s="51">
        <v>1</v>
      </c>
    </row>
    <row r="42" spans="5:12" x14ac:dyDescent="0.3">
      <c r="E42" s="48">
        <v>9</v>
      </c>
      <c r="F42" s="48">
        <v>10</v>
      </c>
      <c r="J42" s="51">
        <v>9</v>
      </c>
      <c r="K42" s="51">
        <v>10</v>
      </c>
      <c r="L42" s="51">
        <v>1</v>
      </c>
    </row>
  </sheetData>
  <mergeCells count="3">
    <mergeCell ref="E9:F9"/>
    <mergeCell ref="E21:F21"/>
    <mergeCell ref="E33:F33"/>
  </mergeCells>
  <pageMargins left="0.511811024" right="0.511811024" top="0.78740157499999996" bottom="0.78740157499999996" header="0.31496062000000002" footer="0.3149606200000000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C4CDC0-8161-4FBD-9F0A-BB3D4A32450B}">
  <sheetPr codeName="Planilha15">
    <tabColor theme="9" tint="0.59999389629810485"/>
  </sheetPr>
  <dimension ref="A1:U29"/>
  <sheetViews>
    <sheetView showGridLines="0" workbookViewId="0">
      <selection activeCell="J9" sqref="J9"/>
    </sheetView>
  </sheetViews>
  <sheetFormatPr defaultColWidth="8.85546875" defaultRowHeight="18.75" x14ac:dyDescent="0.3"/>
  <cols>
    <col min="1" max="1" width="12.7109375" style="17" customWidth="1"/>
    <col min="2" max="2" width="24.85546875" bestFit="1" customWidth="1"/>
    <col min="4" max="4" width="4.5703125" customWidth="1"/>
    <col min="5" max="5" width="10.140625" bestFit="1" customWidth="1"/>
    <col min="6" max="6" width="10.140625" customWidth="1"/>
    <col min="7" max="8" width="12.42578125" bestFit="1" customWidth="1"/>
    <col min="10" max="12" width="9.42578125" style="51" customWidth="1"/>
    <col min="13" max="21" width="8.85546875" style="15"/>
    <col min="24" max="24" width="8.85546875" customWidth="1"/>
  </cols>
  <sheetData>
    <row r="1" spans="1:21" x14ac:dyDescent="0.3">
      <c r="A1" s="16" t="s">
        <v>177</v>
      </c>
      <c r="J1" s="52"/>
      <c r="K1" s="52"/>
      <c r="L1" s="52"/>
      <c r="M1" s="14"/>
      <c r="N1" s="14"/>
      <c r="O1" s="14"/>
      <c r="P1" s="14"/>
      <c r="Q1" s="14"/>
      <c r="R1" s="14"/>
      <c r="S1" s="14"/>
      <c r="T1" s="14"/>
      <c r="U1" s="14"/>
    </row>
    <row r="2" spans="1:21" x14ac:dyDescent="0.3">
      <c r="A2" s="17" t="s">
        <v>178</v>
      </c>
      <c r="J2" s="52"/>
      <c r="K2" s="52"/>
      <c r="L2" s="52"/>
      <c r="M2" s="14"/>
      <c r="N2" s="14"/>
      <c r="O2" s="14"/>
      <c r="P2" s="14"/>
      <c r="Q2" s="14"/>
      <c r="R2" s="14"/>
      <c r="S2" s="14"/>
      <c r="T2" s="14"/>
      <c r="U2" s="14"/>
    </row>
    <row r="4" spans="1:21" ht="15.75" x14ac:dyDescent="0.25">
      <c r="A4" s="2" t="s">
        <v>15</v>
      </c>
      <c r="B4" s="2" t="s">
        <v>16</v>
      </c>
    </row>
    <row r="5" spans="1:21" ht="63" x14ac:dyDescent="0.25">
      <c r="A5" s="23" t="s">
        <v>22</v>
      </c>
      <c r="B5" s="24" t="s">
        <v>180</v>
      </c>
    </row>
    <row r="6" spans="1:21" ht="78.75" x14ac:dyDescent="0.25">
      <c r="A6" s="23" t="s">
        <v>176</v>
      </c>
      <c r="B6" s="24" t="s">
        <v>179</v>
      </c>
    </row>
    <row r="7" spans="1:21" ht="47.25" x14ac:dyDescent="0.25">
      <c r="A7" s="23" t="s">
        <v>188</v>
      </c>
      <c r="B7" s="24" t="s">
        <v>186</v>
      </c>
    </row>
    <row r="8" spans="1:21" x14ac:dyDescent="0.3">
      <c r="E8" s="112" t="s">
        <v>22</v>
      </c>
      <c r="F8" s="113"/>
      <c r="G8" s="49" t="s">
        <v>175</v>
      </c>
      <c r="H8" s="49" t="s">
        <v>187</v>
      </c>
    </row>
    <row r="9" spans="1:21" x14ac:dyDescent="0.3">
      <c r="E9" s="48">
        <v>42</v>
      </c>
      <c r="F9" s="48">
        <v>49</v>
      </c>
      <c r="G9" s="48">
        <v>1</v>
      </c>
      <c r="H9" s="48">
        <v>1</v>
      </c>
      <c r="J9" s="51" cm="1">
        <f t="array" ref="J9:L17">_xlfn.LAMBDA(_xlpm.matrix,_xlop.position,_xlop.nPower,
_xlfn.LET(
_xlpm.position, IF( OR( _xlfn.ISOMITTED(_xlpm.position), ISBLANK(_xlpm.position)), 1, _xlpm.position),
_xlpm.nPower, IF( OR( _xlfn.ISOMITTED(_xlpm.nPower), ISBLANK(_xlpm.nPower)), 1, _xlpm.nPower),
IF( OR( _xlpm.position&lt;1, _xlpm.position&gt;COLUMNS(_xlpm.matrix)+1),
"#position exceeds matrix columns",
IF(_xlpm.position=1,
HORZCAT( _xlfn.SEQUENCE(ROWS(_xlpm.matrix),1)^_xlpm.nPower, SLICE(_xlpm.matrix,0,0,1,-1) ),
IF(_xlpm.position=COLUMNS(_xlpm.matrix)+1,
HORZCAT(_xlpm.matrix, _xlfn.SEQUENCE(ROWS(_xlpm.matrix),1)^_xlpm.nPower ),
HORZCAT( HORZCAT( SLICE(_xlpm.matrix,0,0,1,_xlpm.position-1), _xlfn.SEQUENCE(ROWS(_xlpm.matrix),1)^_xlpm.nPower ), SLICE(_xlpm.matrix,0,0,_xlpm.position,-1) )
) ) )
) )($E$9:$F$17, $G$9,$H$9)</f>
        <v>1</v>
      </c>
      <c r="K9" s="51">
        <v>42</v>
      </c>
      <c r="L9" s="51">
        <v>49</v>
      </c>
      <c r="N9" s="54"/>
    </row>
    <row r="10" spans="1:21" x14ac:dyDescent="0.3">
      <c r="E10" s="48">
        <v>19</v>
      </c>
      <c r="F10" s="48">
        <v>40</v>
      </c>
      <c r="J10" s="51">
        <v>2</v>
      </c>
      <c r="K10" s="51">
        <v>19</v>
      </c>
      <c r="L10" s="51">
        <v>40</v>
      </c>
    </row>
    <row r="11" spans="1:21" x14ac:dyDescent="0.3">
      <c r="E11" s="48">
        <v>76</v>
      </c>
      <c r="F11" s="48">
        <v>86</v>
      </c>
      <c r="J11" s="51">
        <v>3</v>
      </c>
      <c r="K11" s="51">
        <v>76</v>
      </c>
      <c r="L11" s="51">
        <v>86</v>
      </c>
    </row>
    <row r="12" spans="1:21" ht="18.75" customHeight="1" x14ac:dyDescent="0.3">
      <c r="E12" s="48">
        <v>5</v>
      </c>
      <c r="F12" s="48">
        <v>48</v>
      </c>
      <c r="J12" s="51">
        <v>4</v>
      </c>
      <c r="K12" s="51">
        <v>5</v>
      </c>
      <c r="L12" s="51">
        <v>48</v>
      </c>
    </row>
    <row r="13" spans="1:21" x14ac:dyDescent="0.3">
      <c r="E13" s="48">
        <v>94</v>
      </c>
      <c r="F13" s="48">
        <v>15</v>
      </c>
      <c r="J13" s="51">
        <v>5</v>
      </c>
      <c r="K13" s="51">
        <v>94</v>
      </c>
      <c r="L13" s="51">
        <v>15</v>
      </c>
    </row>
    <row r="14" spans="1:21" x14ac:dyDescent="0.3">
      <c r="E14" s="48">
        <v>75</v>
      </c>
      <c r="F14" s="48">
        <v>71</v>
      </c>
      <c r="J14" s="51">
        <v>6</v>
      </c>
      <c r="K14" s="51">
        <v>75</v>
      </c>
      <c r="L14" s="51">
        <v>71</v>
      </c>
    </row>
    <row r="15" spans="1:21" x14ac:dyDescent="0.3">
      <c r="E15" s="48">
        <v>17</v>
      </c>
      <c r="F15" s="48">
        <v>84</v>
      </c>
      <c r="J15" s="51">
        <v>7</v>
      </c>
      <c r="K15" s="51">
        <v>17</v>
      </c>
      <c r="L15" s="51">
        <v>84</v>
      </c>
    </row>
    <row r="16" spans="1:21" x14ac:dyDescent="0.3">
      <c r="E16" s="48">
        <v>21</v>
      </c>
      <c r="F16" s="48">
        <v>68</v>
      </c>
      <c r="J16" s="51">
        <v>8</v>
      </c>
      <c r="K16" s="51">
        <v>21</v>
      </c>
      <c r="L16" s="51">
        <v>68</v>
      </c>
    </row>
    <row r="17" spans="5:12" x14ac:dyDescent="0.3">
      <c r="E17" s="48">
        <v>16</v>
      </c>
      <c r="F17" s="48">
        <v>55</v>
      </c>
      <c r="J17" s="51">
        <v>9</v>
      </c>
      <c r="K17" s="51">
        <v>16</v>
      </c>
      <c r="L17" s="51">
        <v>55</v>
      </c>
    </row>
    <row r="20" spans="5:12" x14ac:dyDescent="0.3">
      <c r="E20" s="112" t="s">
        <v>22</v>
      </c>
      <c r="F20" s="113"/>
      <c r="G20" s="49" t="s">
        <v>175</v>
      </c>
      <c r="H20" s="49" t="s">
        <v>187</v>
      </c>
    </row>
    <row r="21" spans="5:12" x14ac:dyDescent="0.3">
      <c r="E21" s="48">
        <v>42</v>
      </c>
      <c r="F21" s="48">
        <v>49</v>
      </c>
      <c r="G21" s="48">
        <v>3</v>
      </c>
      <c r="H21" s="48">
        <v>2</v>
      </c>
      <c r="J21" s="51" cm="1">
        <f t="array" ref="J21:L29">ADDTREND($E$21:$F$29, $G$21,$H$21)</f>
        <v>42</v>
      </c>
      <c r="K21" s="51">
        <v>49</v>
      </c>
      <c r="L21" s="51">
        <v>1</v>
      </c>
    </row>
    <row r="22" spans="5:12" x14ac:dyDescent="0.3">
      <c r="E22" s="48">
        <v>19</v>
      </c>
      <c r="F22" s="48">
        <v>40</v>
      </c>
      <c r="J22" s="51">
        <v>19</v>
      </c>
      <c r="K22" s="51">
        <v>40</v>
      </c>
      <c r="L22" s="51">
        <v>4</v>
      </c>
    </row>
    <row r="23" spans="5:12" x14ac:dyDescent="0.3">
      <c r="E23" s="48">
        <v>76</v>
      </c>
      <c r="F23" s="48">
        <v>86</v>
      </c>
      <c r="J23" s="51">
        <v>76</v>
      </c>
      <c r="K23" s="51">
        <v>86</v>
      </c>
      <c r="L23" s="51">
        <v>9</v>
      </c>
    </row>
    <row r="24" spans="5:12" x14ac:dyDescent="0.3">
      <c r="E24" s="48">
        <v>5</v>
      </c>
      <c r="F24" s="48">
        <v>48</v>
      </c>
      <c r="J24" s="51">
        <v>5</v>
      </c>
      <c r="K24" s="51">
        <v>48</v>
      </c>
      <c r="L24" s="51">
        <v>16</v>
      </c>
    </row>
    <row r="25" spans="5:12" x14ac:dyDescent="0.3">
      <c r="E25" s="48">
        <v>94</v>
      </c>
      <c r="F25" s="48">
        <v>15</v>
      </c>
      <c r="J25" s="51">
        <v>94</v>
      </c>
      <c r="K25" s="51">
        <v>15</v>
      </c>
      <c r="L25" s="51">
        <v>25</v>
      </c>
    </row>
    <row r="26" spans="5:12" x14ac:dyDescent="0.3">
      <c r="E26" s="48">
        <v>75</v>
      </c>
      <c r="F26" s="48">
        <v>71</v>
      </c>
      <c r="J26" s="51">
        <v>75</v>
      </c>
      <c r="K26" s="51">
        <v>71</v>
      </c>
      <c r="L26" s="51">
        <v>36</v>
      </c>
    </row>
    <row r="27" spans="5:12" x14ac:dyDescent="0.3">
      <c r="E27" s="48">
        <v>17</v>
      </c>
      <c r="F27" s="48">
        <v>84</v>
      </c>
      <c r="J27" s="51">
        <v>17</v>
      </c>
      <c r="K27" s="51">
        <v>84</v>
      </c>
      <c r="L27" s="51">
        <v>49</v>
      </c>
    </row>
    <row r="28" spans="5:12" x14ac:dyDescent="0.3">
      <c r="E28" s="48">
        <v>21</v>
      </c>
      <c r="F28" s="48">
        <v>68</v>
      </c>
      <c r="J28" s="51">
        <v>21</v>
      </c>
      <c r="K28" s="51">
        <v>68</v>
      </c>
      <c r="L28" s="51">
        <v>64</v>
      </c>
    </row>
    <row r="29" spans="5:12" x14ac:dyDescent="0.3">
      <c r="E29" s="48">
        <v>16</v>
      </c>
      <c r="F29" s="48">
        <v>55</v>
      </c>
      <c r="J29" s="51">
        <v>16</v>
      </c>
      <c r="K29" s="51">
        <v>55</v>
      </c>
      <c r="L29" s="51">
        <v>81</v>
      </c>
    </row>
  </sheetData>
  <mergeCells count="2">
    <mergeCell ref="E8:F8"/>
    <mergeCell ref="E20:F20"/>
  </mergeCells>
  <pageMargins left="0.511811024" right="0.511811024" top="0.78740157499999996" bottom="0.78740157499999996" header="0.31496062000000002" footer="0.3149606200000000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F971F-8CE5-4197-99FA-664C6A852FE1}">
  <sheetPr>
    <tabColor theme="9" tint="0.59999389629810485"/>
  </sheetPr>
  <dimension ref="A1:U299"/>
  <sheetViews>
    <sheetView showGridLines="0" workbookViewId="0">
      <selection activeCell="F7" sqref="F7"/>
    </sheetView>
  </sheetViews>
  <sheetFormatPr defaultColWidth="8.85546875" defaultRowHeight="18.75" x14ac:dyDescent="0.3"/>
  <cols>
    <col min="1" max="1" width="12.7109375" style="17" customWidth="1"/>
    <col min="2" max="2" width="52.42578125" customWidth="1"/>
    <col min="4" max="4" width="44.28515625" bestFit="1" customWidth="1"/>
    <col min="5" max="5" width="4.5703125" customWidth="1"/>
    <col min="6" max="7" width="7.140625" bestFit="1" customWidth="1"/>
    <col min="8" max="8" width="10.7109375" customWidth="1"/>
    <col min="9" max="9" width="10.42578125" bestFit="1" customWidth="1"/>
    <col min="10" max="12" width="9" style="15" customWidth="1"/>
    <col min="13" max="21" width="8.85546875" style="15"/>
  </cols>
  <sheetData>
    <row r="1" spans="1:21" x14ac:dyDescent="0.3">
      <c r="A1" s="16" t="s">
        <v>503</v>
      </c>
      <c r="J1" s="14"/>
      <c r="K1" s="14"/>
      <c r="L1" s="14"/>
      <c r="M1" s="14"/>
      <c r="N1" s="14"/>
      <c r="O1" s="14"/>
      <c r="P1" s="14"/>
      <c r="Q1" s="14"/>
      <c r="R1" s="14"/>
      <c r="S1" s="14"/>
      <c r="T1" s="14"/>
      <c r="U1" s="14"/>
    </row>
    <row r="2" spans="1:21" x14ac:dyDescent="0.3">
      <c r="A2" s="17" t="s">
        <v>504</v>
      </c>
      <c r="J2" s="14"/>
      <c r="K2" s="14"/>
      <c r="L2" s="14"/>
      <c r="M2" s="14"/>
      <c r="N2" s="14"/>
      <c r="O2" s="14"/>
      <c r="P2" s="14"/>
      <c r="Q2" s="14"/>
      <c r="R2" s="14"/>
      <c r="S2" s="14"/>
      <c r="T2" s="14"/>
      <c r="U2" s="14"/>
    </row>
    <row r="3" spans="1:21" x14ac:dyDescent="0.3">
      <c r="M3" s="108" t="s">
        <v>507</v>
      </c>
      <c r="N3" s="51" t="str">
        <f>"IBC-Br SA "&amp;$H$10</f>
        <v>IBC-Br SA V%(3)</v>
      </c>
    </row>
    <row r="4" spans="1:21" ht="15.75" x14ac:dyDescent="0.25">
      <c r="A4" s="2" t="s">
        <v>15</v>
      </c>
      <c r="B4" s="2" t="s">
        <v>16</v>
      </c>
    </row>
    <row r="5" spans="1:21" ht="15.75" x14ac:dyDescent="0.25">
      <c r="A5" s="23" t="s">
        <v>160</v>
      </c>
      <c r="B5" s="24" t="s">
        <v>170</v>
      </c>
    </row>
    <row r="6" spans="1:21" ht="15.75" x14ac:dyDescent="0.25">
      <c r="A6" s="23" t="s">
        <v>169</v>
      </c>
      <c r="B6" s="24" t="s">
        <v>171</v>
      </c>
    </row>
    <row r="7" spans="1:21" ht="83.25" customHeight="1" x14ac:dyDescent="0.25">
      <c r="A7" s="23" t="s">
        <v>505</v>
      </c>
      <c r="B7" s="26" t="s">
        <v>508</v>
      </c>
    </row>
    <row r="8" spans="1:21" ht="15.75" x14ac:dyDescent="0.25">
      <c r="A8" s="23"/>
      <c r="B8" s="24"/>
    </row>
    <row r="9" spans="1:21" ht="15.75" x14ac:dyDescent="0.25">
      <c r="A9" s="23"/>
      <c r="B9" s="24"/>
      <c r="D9" s="1" t="s">
        <v>17</v>
      </c>
      <c r="G9" s="13" t="s">
        <v>169</v>
      </c>
      <c r="H9" s="13" t="s">
        <v>505</v>
      </c>
      <c r="J9" s="15" t="s">
        <v>200</v>
      </c>
      <c r="L9" s="15" t="s">
        <v>200</v>
      </c>
    </row>
    <row r="10" spans="1:21" x14ac:dyDescent="0.3">
      <c r="D10" t="s">
        <v>203</v>
      </c>
      <c r="F10" s="50">
        <v>37622</v>
      </c>
      <c r="G10" s="53">
        <v>100.45</v>
      </c>
      <c r="H10" s="81" t="s">
        <v>506</v>
      </c>
      <c r="J10" s="107" t="e" cm="1">
        <f t="array" ref="J10:J239">_xlfn.LAMBDA(_xlpm.dates,_xlpm.values,_xlpm.operation,
IF(OR(_xlfn.ISOMITTED(_xlpm.operation), _xlpm.operation=""), _xlpm.values,
_xlfn.LET(
_xlpm.oper, UPPER(LEFT(_xlpm.operation, FIND("(", _xlpm.operation) - 1)),
_xlpm.lag, VALUE(MID(_xlpm.operation, FIND("(", _xlpm.operation) + 1, -1 + FIND(")", _xlpm.operation) - FIND("(", _xlpm.operation) )),
_xlpm.result, _xlfn.SWITCH(_xlpm.oper,
"V%", _xlfn.VSTACK( _xlfn.SEQUENCE(_xlpm.lag)*NA(), _xlfn.DROP(_xlpm.values, _xlpm.lag) / _xlfn.DROP(_xlpm.values, -_xlpm.lag) - 1),
"VA", _xlfn.VSTACK( _xlfn.SEQUENCE(_xlpm.lag)*NA(), _xlfn.DROP(_xlpm.values, _xlpm.lag) - _xlfn.DROP(_xlpm.values, -_xlpm.lag) ),
"LAG", _xlfn.VSTACK( _xlfn.SEQUENCE(_xlpm.lag)*NA(), _xlfn.DROP(_xlpm.values, -_xlpm.lag) ),
"LEAD", _xlfn.VSTACK( _xlfn.DROP(_xlpm.values, _xlpm.lag), _xlfn.SEQUENCE(_xlpm.lag)*NA() ),
"MA", _xlfn.VSTACK( _xlfn.SEQUENCE(_xlpm.lag)*NA(), _xlfn.MAKEARRAY(ROWS(_xlpm.values), 1, _xlfn.LAMBDA(_xlpm.row,_xlpm.col, AVERAGE(INDEX(_xlpm.values, _xlfn.SEQUENCE(_xlpm.lag, 1,_xlpm.row-_xlpm.lag+1))) )) ),
"CR", (1 + _xlpm.values)^_xlpm.lag - 1,
"IDX", _xlpm.values / INDEX(_xlpm.values,  MATCH(_xlpm.lag, _xlpm.dates, 0)),
"B100", 100 * _xlpm.values / INDEX(_xlpm.values,  MATCH(_xlpm.lag, _xlpm.dates, 0)),
"V%ACC", _xlpm.values / INDEX(_xlpm.values,  MATCH(_xlpm.lag, _xlpm.dates, 0)) - 1,
"VAACC", _xlpm.values - INDEX(_xlpm.values,  MATCH(_xlpm.lag, _xlpm.dates, 0)),
),
IF( ISERROR( FIND(";", _xlpm.operation) ), _xlpm.result, TSOPER(_xlpm.dates, _xlpm.result, MID(_xlpm.operation, FIND(";", _xlpm.operation) + 1, 999999999)) )
)))($F$10:$F$239,$G$10:$G$239,$H$10)</f>
        <v>#N/A</v>
      </c>
      <c r="K10" s="54"/>
      <c r="L10" s="107" t="e" cm="1">
        <f t="array" ref="L10:L239">TSOPER($F$10:$F$239,$G$10:$G$239,$H$10)</f>
        <v>#N/A</v>
      </c>
    </row>
    <row r="11" spans="1:21" x14ac:dyDescent="0.3">
      <c r="D11" t="s">
        <v>204</v>
      </c>
      <c r="F11" s="50">
        <v>37653</v>
      </c>
      <c r="G11" s="53">
        <v>101.95</v>
      </c>
      <c r="J11" s="107" t="e">
        <v>#N/A</v>
      </c>
      <c r="K11" s="54"/>
      <c r="L11" s="107" t="e">
        <v>#N/A</v>
      </c>
    </row>
    <row r="12" spans="1:21" x14ac:dyDescent="0.3">
      <c r="F12" s="50">
        <v>37681</v>
      </c>
      <c r="G12" s="53">
        <v>102.03</v>
      </c>
      <c r="J12" s="107" t="e">
        <v>#N/A</v>
      </c>
      <c r="K12" s="54"/>
      <c r="L12" s="107" t="e">
        <v>#N/A</v>
      </c>
    </row>
    <row r="13" spans="1:21" ht="18.75" customHeight="1" x14ac:dyDescent="0.3">
      <c r="D13" s="111"/>
      <c r="F13" s="50">
        <v>37712</v>
      </c>
      <c r="G13" s="53">
        <v>100.92</v>
      </c>
      <c r="J13" s="107">
        <v>4.6789447486310642E-3</v>
      </c>
      <c r="K13" s="54"/>
      <c r="L13" s="107">
        <v>4.6789447486310642E-3</v>
      </c>
    </row>
    <row r="14" spans="1:21" x14ac:dyDescent="0.3">
      <c r="D14" s="111"/>
      <c r="F14" s="50">
        <v>37742</v>
      </c>
      <c r="G14" s="53">
        <v>99.89</v>
      </c>
      <c r="J14" s="107">
        <v>-2.0205983325159438E-2</v>
      </c>
      <c r="K14" s="54"/>
      <c r="L14" s="107">
        <v>-2.0205983325159438E-2</v>
      </c>
    </row>
    <row r="15" spans="1:21" x14ac:dyDescent="0.3">
      <c r="D15" s="47"/>
      <c r="F15" s="50">
        <v>37773</v>
      </c>
      <c r="G15" s="53">
        <v>100.28</v>
      </c>
      <c r="J15" s="107">
        <v>-1.7151818092717819E-2</v>
      </c>
      <c r="K15" s="54"/>
      <c r="L15" s="107">
        <v>-1.7151818092717819E-2</v>
      </c>
    </row>
    <row r="16" spans="1:21" x14ac:dyDescent="0.3">
      <c r="F16" s="50">
        <v>37803</v>
      </c>
      <c r="G16" s="53">
        <v>99.07</v>
      </c>
      <c r="J16" s="107">
        <v>-1.8331351565596621E-2</v>
      </c>
      <c r="K16" s="54"/>
      <c r="L16" s="107">
        <v>-1.8331351565596621E-2</v>
      </c>
    </row>
    <row r="17" spans="1:12" x14ac:dyDescent="0.3">
      <c r="F17" s="50">
        <v>37834</v>
      </c>
      <c r="G17" s="53">
        <v>99.73</v>
      </c>
      <c r="J17" s="107">
        <v>-1.6017619381318848E-3</v>
      </c>
      <c r="K17" s="54"/>
      <c r="L17" s="107">
        <v>-1.6017619381318848E-3</v>
      </c>
    </row>
    <row r="18" spans="1:12" x14ac:dyDescent="0.3">
      <c r="F18" s="50">
        <v>37865</v>
      </c>
      <c r="G18" s="53">
        <v>101.71</v>
      </c>
      <c r="J18" s="107">
        <v>1.4260071798962937E-2</v>
      </c>
      <c r="K18" s="54"/>
      <c r="L18" s="107">
        <v>1.4260071798962937E-2</v>
      </c>
    </row>
    <row r="19" spans="1:12" s="15" customFormat="1" x14ac:dyDescent="0.3">
      <c r="A19" s="17"/>
      <c r="B19"/>
      <c r="C19"/>
      <c r="D19"/>
      <c r="E19"/>
      <c r="F19" s="50">
        <v>37895</v>
      </c>
      <c r="G19" s="53">
        <v>101.88</v>
      </c>
      <c r="H19"/>
      <c r="I19"/>
      <c r="J19" s="107">
        <v>2.836378318360766E-2</v>
      </c>
      <c r="K19" s="54"/>
      <c r="L19" s="107">
        <v>2.836378318360766E-2</v>
      </c>
    </row>
    <row r="20" spans="1:12" s="15" customFormat="1" x14ac:dyDescent="0.3">
      <c r="A20" s="17"/>
      <c r="B20"/>
      <c r="C20"/>
      <c r="D20"/>
      <c r="E20"/>
      <c r="F20" s="50">
        <v>37926</v>
      </c>
      <c r="G20" s="53">
        <v>101.97</v>
      </c>
      <c r="H20"/>
      <c r="I20"/>
      <c r="J20" s="107">
        <v>2.2460643738092756E-2</v>
      </c>
      <c r="K20" s="54"/>
      <c r="L20" s="107">
        <v>2.2460643738092756E-2</v>
      </c>
    </row>
    <row r="21" spans="1:12" s="15" customFormat="1" x14ac:dyDescent="0.3">
      <c r="A21" s="17"/>
      <c r="B21"/>
      <c r="C21"/>
      <c r="D21"/>
      <c r="E21"/>
      <c r="F21" s="50">
        <v>37956</v>
      </c>
      <c r="G21" s="53">
        <v>101.58</v>
      </c>
      <c r="H21"/>
      <c r="I21"/>
      <c r="J21" s="107">
        <v>-1.2781437420115171E-3</v>
      </c>
      <c r="K21" s="54"/>
      <c r="L21" s="107">
        <v>-1.2781437420115171E-3</v>
      </c>
    </row>
    <row r="22" spans="1:12" s="15" customFormat="1" x14ac:dyDescent="0.3">
      <c r="A22" s="17"/>
      <c r="B22"/>
      <c r="C22"/>
      <c r="D22"/>
      <c r="E22"/>
      <c r="F22" s="50">
        <v>37987</v>
      </c>
      <c r="G22" s="53">
        <v>103.57</v>
      </c>
      <c r="H22"/>
      <c r="I22"/>
      <c r="J22" s="107">
        <v>1.6588142913231296E-2</v>
      </c>
      <c r="K22" s="54"/>
      <c r="L22" s="107">
        <v>1.6588142913231296E-2</v>
      </c>
    </row>
    <row r="23" spans="1:12" s="15" customFormat="1" x14ac:dyDescent="0.3">
      <c r="A23" s="17"/>
      <c r="B23"/>
      <c r="C23"/>
      <c r="D23"/>
      <c r="E23"/>
      <c r="F23" s="50">
        <v>38018</v>
      </c>
      <c r="G23" s="53">
        <v>104.49</v>
      </c>
      <c r="H23"/>
      <c r="I23"/>
      <c r="J23" s="107">
        <v>2.4713150926743088E-2</v>
      </c>
      <c r="K23" s="54"/>
      <c r="L23" s="107">
        <v>2.4713150926743088E-2</v>
      </c>
    </row>
    <row r="24" spans="1:12" s="15" customFormat="1" x14ac:dyDescent="0.3">
      <c r="A24" s="17"/>
      <c r="B24"/>
      <c r="C24"/>
      <c r="D24"/>
      <c r="E24"/>
      <c r="F24" s="50">
        <v>38047</v>
      </c>
      <c r="G24" s="53">
        <v>105.98</v>
      </c>
      <c r="H24"/>
      <c r="I24"/>
      <c r="J24" s="107">
        <v>4.3315613309706791E-2</v>
      </c>
      <c r="K24" s="54"/>
      <c r="L24" s="107">
        <v>4.3315613309706791E-2</v>
      </c>
    </row>
    <row r="25" spans="1:12" s="15" customFormat="1" x14ac:dyDescent="0.3">
      <c r="A25" s="17"/>
      <c r="B25"/>
      <c r="C25"/>
      <c r="D25"/>
      <c r="E25"/>
      <c r="F25" s="50">
        <v>38078</v>
      </c>
      <c r="G25" s="53">
        <v>106.41</v>
      </c>
      <c r="H25"/>
      <c r="I25"/>
      <c r="J25" s="107">
        <v>2.7421067876798322E-2</v>
      </c>
      <c r="K25" s="54"/>
      <c r="L25" s="107">
        <v>2.7421067876798322E-2</v>
      </c>
    </row>
    <row r="26" spans="1:12" s="15" customFormat="1" x14ac:dyDescent="0.3">
      <c r="A26" s="17"/>
      <c r="B26"/>
      <c r="C26"/>
      <c r="D26"/>
      <c r="E26"/>
      <c r="F26" s="50">
        <v>38108</v>
      </c>
      <c r="G26" s="53">
        <v>106.44</v>
      </c>
      <c r="H26"/>
      <c r="I26"/>
      <c r="J26" s="107">
        <v>1.8662072925638817E-2</v>
      </c>
      <c r="K26" s="54"/>
      <c r="L26" s="107">
        <v>1.8662072925638817E-2</v>
      </c>
    </row>
    <row r="27" spans="1:12" s="15" customFormat="1" x14ac:dyDescent="0.3">
      <c r="A27" s="17"/>
      <c r="B27"/>
      <c r="C27"/>
      <c r="D27"/>
      <c r="E27"/>
      <c r="F27" s="50">
        <v>38139</v>
      </c>
      <c r="G27" s="53">
        <v>107.22</v>
      </c>
      <c r="H27"/>
      <c r="I27"/>
      <c r="J27" s="107">
        <v>1.1700320815248189E-2</v>
      </c>
      <c r="K27" s="54"/>
      <c r="L27" s="107">
        <v>1.1700320815248189E-2</v>
      </c>
    </row>
    <row r="28" spans="1:12" s="15" customFormat="1" x14ac:dyDescent="0.3">
      <c r="A28" s="17"/>
      <c r="B28"/>
      <c r="C28"/>
      <c r="D28"/>
      <c r="E28"/>
      <c r="F28" s="50">
        <v>38169</v>
      </c>
      <c r="G28" s="53">
        <v>107.82</v>
      </c>
      <c r="H28"/>
      <c r="I28"/>
      <c r="J28" s="107">
        <v>1.3250634338877854E-2</v>
      </c>
      <c r="K28" s="54"/>
      <c r="L28" s="107">
        <v>1.3250634338877854E-2</v>
      </c>
    </row>
    <row r="29" spans="1:12" s="15" customFormat="1" x14ac:dyDescent="0.3">
      <c r="A29" s="17"/>
      <c r="B29"/>
      <c r="C29"/>
      <c r="D29"/>
      <c r="E29"/>
      <c r="F29" s="50">
        <v>38200</v>
      </c>
      <c r="G29" s="53">
        <v>108.19</v>
      </c>
      <c r="H29"/>
      <c r="I29"/>
      <c r="J29" s="107">
        <v>1.6441187523487333E-2</v>
      </c>
      <c r="K29" s="54"/>
      <c r="L29" s="107">
        <v>1.6441187523487333E-2</v>
      </c>
    </row>
    <row r="30" spans="1:12" s="15" customFormat="1" x14ac:dyDescent="0.3">
      <c r="A30" s="17"/>
      <c r="B30"/>
      <c r="C30"/>
      <c r="D30"/>
      <c r="E30"/>
      <c r="F30" s="50">
        <v>38231</v>
      </c>
      <c r="G30" s="53">
        <v>109.46</v>
      </c>
      <c r="H30"/>
      <c r="I30"/>
      <c r="J30" s="107">
        <v>2.0891624696884881E-2</v>
      </c>
      <c r="K30" s="54"/>
      <c r="L30" s="107">
        <v>2.0891624696884881E-2</v>
      </c>
    </row>
    <row r="31" spans="1:12" s="15" customFormat="1" x14ac:dyDescent="0.3">
      <c r="A31" s="17"/>
      <c r="B31"/>
      <c r="C31"/>
      <c r="D31"/>
      <c r="E31"/>
      <c r="F31" s="50">
        <v>38261</v>
      </c>
      <c r="G31" s="53">
        <v>108.73</v>
      </c>
      <c r="H31"/>
      <c r="I31"/>
      <c r="J31" s="107">
        <v>8.4399925802263187E-3</v>
      </c>
      <c r="K31" s="54"/>
      <c r="L31" s="107">
        <v>8.4399925802263187E-3</v>
      </c>
    </row>
    <row r="32" spans="1:12" s="15" customFormat="1" x14ac:dyDescent="0.3">
      <c r="A32" s="17"/>
      <c r="B32"/>
      <c r="C32"/>
      <c r="D32"/>
      <c r="E32"/>
      <c r="F32" s="50">
        <v>38292</v>
      </c>
      <c r="G32" s="53">
        <v>109.62</v>
      </c>
      <c r="H32"/>
      <c r="I32"/>
      <c r="J32" s="107">
        <v>1.3217487753027113E-2</v>
      </c>
      <c r="K32" s="54"/>
      <c r="L32" s="107">
        <v>1.3217487753027113E-2</v>
      </c>
    </row>
    <row r="33" spans="1:12" s="15" customFormat="1" x14ac:dyDescent="0.3">
      <c r="A33" s="17"/>
      <c r="B33"/>
      <c r="C33"/>
      <c r="D33"/>
      <c r="E33"/>
      <c r="F33" s="50">
        <v>38322</v>
      </c>
      <c r="G33" s="53">
        <v>108.79</v>
      </c>
      <c r="H33"/>
      <c r="I33"/>
      <c r="J33" s="107">
        <v>-6.1209574273706213E-3</v>
      </c>
      <c r="K33" s="54"/>
      <c r="L33" s="107">
        <v>-6.1209574273706213E-3</v>
      </c>
    </row>
    <row r="34" spans="1:12" s="15" customFormat="1" x14ac:dyDescent="0.3">
      <c r="A34" s="17"/>
      <c r="B34"/>
      <c r="C34"/>
      <c r="D34"/>
      <c r="E34"/>
      <c r="F34" s="50">
        <v>38353</v>
      </c>
      <c r="G34" s="53">
        <v>109.62</v>
      </c>
      <c r="H34"/>
      <c r="I34"/>
      <c r="J34" s="107">
        <v>8.1854134093626296E-3</v>
      </c>
      <c r="K34" s="54"/>
      <c r="L34" s="107">
        <v>8.1854134093626296E-3</v>
      </c>
    </row>
    <row r="35" spans="1:12" s="15" customFormat="1" x14ac:dyDescent="0.3">
      <c r="A35" s="17"/>
      <c r="B35"/>
      <c r="C35"/>
      <c r="D35"/>
      <c r="E35"/>
      <c r="F35" s="50">
        <v>38384</v>
      </c>
      <c r="G35" s="53">
        <v>110.14</v>
      </c>
      <c r="H35"/>
      <c r="I35"/>
      <c r="J35" s="107">
        <v>4.7436599160737281E-3</v>
      </c>
      <c r="K35" s="54"/>
      <c r="L35" s="107">
        <v>4.7436599160737281E-3</v>
      </c>
    </row>
    <row r="36" spans="1:12" s="15" customFormat="1" x14ac:dyDescent="0.3">
      <c r="A36" s="17"/>
      <c r="B36"/>
      <c r="C36"/>
      <c r="D36"/>
      <c r="E36"/>
      <c r="F36" s="50">
        <v>38412</v>
      </c>
      <c r="G36" s="53">
        <v>110.43</v>
      </c>
      <c r="H36"/>
      <c r="I36"/>
      <c r="J36" s="107">
        <v>1.5074914973802755E-2</v>
      </c>
      <c r="K36" s="54"/>
      <c r="L36" s="107">
        <v>1.5074914973802755E-2</v>
      </c>
    </row>
    <row r="37" spans="1:12" s="15" customFormat="1" x14ac:dyDescent="0.3">
      <c r="A37" s="17"/>
      <c r="B37"/>
      <c r="C37"/>
      <c r="D37"/>
      <c r="E37"/>
      <c r="F37" s="50">
        <v>38443</v>
      </c>
      <c r="G37" s="53">
        <v>110.95</v>
      </c>
      <c r="H37"/>
      <c r="I37"/>
      <c r="J37" s="107">
        <v>1.2132822477650018E-2</v>
      </c>
      <c r="K37" s="54"/>
      <c r="L37" s="107">
        <v>1.2132822477650018E-2</v>
      </c>
    </row>
    <row r="38" spans="1:12" s="15" customFormat="1" x14ac:dyDescent="0.3">
      <c r="A38" s="17"/>
      <c r="B38"/>
      <c r="C38"/>
      <c r="D38"/>
      <c r="E38"/>
      <c r="F38" s="50">
        <v>38473</v>
      </c>
      <c r="G38" s="53">
        <v>110.99</v>
      </c>
      <c r="H38"/>
      <c r="I38"/>
      <c r="J38" s="107">
        <v>7.717450517523039E-3</v>
      </c>
      <c r="K38" s="54"/>
      <c r="L38" s="107">
        <v>7.717450517523039E-3</v>
      </c>
    </row>
    <row r="39" spans="1:12" s="15" customFormat="1" x14ac:dyDescent="0.3">
      <c r="A39" s="17"/>
      <c r="B39"/>
      <c r="C39"/>
      <c r="D39"/>
      <c r="E39"/>
      <c r="F39" s="50">
        <v>38504</v>
      </c>
      <c r="G39" s="53">
        <v>110.63</v>
      </c>
      <c r="H39"/>
      <c r="I39"/>
      <c r="J39" s="107">
        <v>1.8111020556006441E-3</v>
      </c>
      <c r="K39" s="54"/>
      <c r="L39" s="107">
        <v>1.8111020556006441E-3</v>
      </c>
    </row>
    <row r="40" spans="1:12" s="15" customFormat="1" x14ac:dyDescent="0.3">
      <c r="A40" s="17"/>
      <c r="B40"/>
      <c r="C40"/>
      <c r="D40"/>
      <c r="E40"/>
      <c r="F40" s="50">
        <v>38534</v>
      </c>
      <c r="G40" s="53">
        <v>110.63</v>
      </c>
      <c r="H40"/>
      <c r="I40"/>
      <c r="J40" s="107">
        <v>-2.8841820639928795E-3</v>
      </c>
      <c r="K40" s="54"/>
      <c r="L40" s="107">
        <v>-2.8841820639928795E-3</v>
      </c>
    </row>
    <row r="41" spans="1:12" s="15" customFormat="1" x14ac:dyDescent="0.3">
      <c r="A41" s="17"/>
      <c r="B41"/>
      <c r="C41"/>
      <c r="D41"/>
      <c r="E41"/>
      <c r="F41" s="50">
        <v>38565</v>
      </c>
      <c r="G41" s="53">
        <v>111.29</v>
      </c>
      <c r="H41"/>
      <c r="I41"/>
      <c r="J41" s="107">
        <v>2.7029462113705716E-3</v>
      </c>
      <c r="K41" s="54"/>
      <c r="L41" s="107">
        <v>2.7029462113705716E-3</v>
      </c>
    </row>
    <row r="42" spans="1:12" s="15" customFormat="1" x14ac:dyDescent="0.3">
      <c r="A42" s="17"/>
      <c r="B42"/>
      <c r="C42"/>
      <c r="D42"/>
      <c r="E42"/>
      <c r="F42" s="50">
        <v>38596</v>
      </c>
      <c r="G42" s="53">
        <v>110.86</v>
      </c>
      <c r="H42"/>
      <c r="I42"/>
      <c r="J42" s="107">
        <v>2.0790020790020236E-3</v>
      </c>
      <c r="K42" s="54"/>
      <c r="L42" s="107">
        <v>2.0790020790020236E-3</v>
      </c>
    </row>
    <row r="43" spans="1:12" s="15" customFormat="1" x14ac:dyDescent="0.3">
      <c r="A43" s="17"/>
      <c r="B43"/>
      <c r="C43"/>
      <c r="D43"/>
      <c r="E43"/>
      <c r="F43" s="50">
        <v>38626</v>
      </c>
      <c r="G43" s="53">
        <v>111.05</v>
      </c>
      <c r="H43"/>
      <c r="I43"/>
      <c r="J43" s="107">
        <v>3.7964385790472122E-3</v>
      </c>
      <c r="K43" s="54"/>
      <c r="L43" s="107">
        <v>3.7964385790472122E-3</v>
      </c>
    </row>
    <row r="44" spans="1:12" s="15" customFormat="1" x14ac:dyDescent="0.3">
      <c r="A44" s="17"/>
      <c r="B44"/>
      <c r="C44"/>
      <c r="D44"/>
      <c r="E44"/>
      <c r="F44" s="50">
        <v>38657</v>
      </c>
      <c r="G44" s="53">
        <v>111.81</v>
      </c>
      <c r="H44"/>
      <c r="I44"/>
      <c r="J44" s="107">
        <v>4.6724773115283114E-3</v>
      </c>
      <c r="K44" s="54"/>
      <c r="L44" s="107">
        <v>4.6724773115283114E-3</v>
      </c>
    </row>
    <row r="45" spans="1:12" s="15" customFormat="1" x14ac:dyDescent="0.3">
      <c r="A45" s="17"/>
      <c r="B45"/>
      <c r="C45"/>
      <c r="D45"/>
      <c r="E45"/>
      <c r="F45" s="50">
        <v>38687</v>
      </c>
      <c r="G45" s="53">
        <v>112.32</v>
      </c>
      <c r="H45"/>
      <c r="I45"/>
      <c r="J45" s="107">
        <v>1.3169763665884737E-2</v>
      </c>
      <c r="K45" s="54"/>
      <c r="L45" s="107">
        <v>1.3169763665884737E-2</v>
      </c>
    </row>
    <row r="46" spans="1:12" s="15" customFormat="1" x14ac:dyDescent="0.3">
      <c r="A46" s="17"/>
      <c r="B46"/>
      <c r="C46"/>
      <c r="D46"/>
      <c r="E46"/>
      <c r="F46" s="50">
        <v>38718</v>
      </c>
      <c r="G46" s="53">
        <v>113.38</v>
      </c>
      <c r="H46"/>
      <c r="I46"/>
      <c r="J46" s="107">
        <v>2.0981539846915753E-2</v>
      </c>
      <c r="K46" s="54"/>
      <c r="L46" s="107">
        <v>2.0981539846915753E-2</v>
      </c>
    </row>
    <row r="47" spans="1:12" s="15" customFormat="1" x14ac:dyDescent="0.3">
      <c r="A47" s="17"/>
      <c r="B47"/>
      <c r="C47"/>
      <c r="D47"/>
      <c r="E47"/>
      <c r="F47" s="50">
        <v>38749</v>
      </c>
      <c r="G47" s="53">
        <v>113.61</v>
      </c>
      <c r="H47"/>
      <c r="I47"/>
      <c r="J47" s="107">
        <v>1.6098738932116996E-2</v>
      </c>
      <c r="K47" s="54"/>
      <c r="L47" s="107">
        <v>1.6098738932116996E-2</v>
      </c>
    </row>
    <row r="48" spans="1:12" s="15" customFormat="1" x14ac:dyDescent="0.3">
      <c r="A48" s="17"/>
      <c r="B48"/>
      <c r="C48"/>
      <c r="D48"/>
      <c r="E48"/>
      <c r="F48" s="50">
        <v>38777</v>
      </c>
      <c r="G48" s="53">
        <v>113.55</v>
      </c>
      <c r="H48"/>
      <c r="I48"/>
      <c r="J48" s="107">
        <v>1.0950854700854773E-2</v>
      </c>
      <c r="K48" s="54"/>
      <c r="L48" s="107">
        <v>1.0950854700854773E-2</v>
      </c>
    </row>
    <row r="49" spans="1:12" s="15" customFormat="1" x14ac:dyDescent="0.3">
      <c r="A49" s="17"/>
      <c r="B49"/>
      <c r="C49"/>
      <c r="D49"/>
      <c r="E49"/>
      <c r="F49" s="50">
        <v>38808</v>
      </c>
      <c r="G49" s="53">
        <v>114.23</v>
      </c>
      <c r="H49"/>
      <c r="I49"/>
      <c r="J49" s="107">
        <v>7.4969130358089053E-3</v>
      </c>
      <c r="K49" s="54"/>
      <c r="L49" s="107">
        <v>7.4969130358089053E-3</v>
      </c>
    </row>
    <row r="50" spans="1:12" s="15" customFormat="1" x14ac:dyDescent="0.3">
      <c r="A50" s="17"/>
      <c r="B50"/>
      <c r="C50"/>
      <c r="D50"/>
      <c r="E50"/>
      <c r="F50" s="50">
        <v>38838</v>
      </c>
      <c r="G50" s="53">
        <v>115.66</v>
      </c>
      <c r="H50"/>
      <c r="I50"/>
      <c r="J50" s="107">
        <v>1.8044186251210181E-2</v>
      </c>
      <c r="K50" s="54"/>
      <c r="L50" s="107">
        <v>1.8044186251210181E-2</v>
      </c>
    </row>
    <row r="51" spans="1:12" s="15" customFormat="1" x14ac:dyDescent="0.3">
      <c r="A51" s="17"/>
      <c r="B51"/>
      <c r="C51"/>
      <c r="D51"/>
      <c r="E51"/>
      <c r="F51" s="50">
        <v>38869</v>
      </c>
      <c r="G51" s="53">
        <v>114.72</v>
      </c>
      <c r="H51"/>
      <c r="I51"/>
      <c r="J51" s="107">
        <v>1.0303830911492673E-2</v>
      </c>
      <c r="K51" s="54"/>
      <c r="L51" s="107">
        <v>1.0303830911492673E-2</v>
      </c>
    </row>
    <row r="52" spans="1:12" s="15" customFormat="1" x14ac:dyDescent="0.3">
      <c r="A52" s="17"/>
      <c r="B52"/>
      <c r="C52"/>
      <c r="D52"/>
      <c r="E52"/>
      <c r="F52" s="50">
        <v>38899</v>
      </c>
      <c r="G52" s="53">
        <v>116.94</v>
      </c>
      <c r="H52"/>
      <c r="I52"/>
      <c r="J52" s="107">
        <v>2.3724065481922407E-2</v>
      </c>
      <c r="K52" s="54"/>
      <c r="L52" s="107">
        <v>2.3724065481922407E-2</v>
      </c>
    </row>
    <row r="53" spans="1:12" s="15" customFormat="1" x14ac:dyDescent="0.3">
      <c r="A53" s="17"/>
      <c r="B53"/>
      <c r="C53"/>
      <c r="D53"/>
      <c r="E53"/>
      <c r="F53" s="50">
        <v>38930</v>
      </c>
      <c r="G53" s="53">
        <v>116.62</v>
      </c>
      <c r="H53"/>
      <c r="I53"/>
      <c r="J53" s="107">
        <v>8.3001902126924598E-3</v>
      </c>
      <c r="K53" s="54"/>
      <c r="L53" s="107">
        <v>8.3001902126924598E-3</v>
      </c>
    </row>
    <row r="54" spans="1:12" s="15" customFormat="1" x14ac:dyDescent="0.3">
      <c r="A54" s="17"/>
      <c r="B54"/>
      <c r="C54"/>
      <c r="D54"/>
      <c r="E54"/>
      <c r="F54" s="50">
        <v>38961</v>
      </c>
      <c r="G54" s="53">
        <v>116.82</v>
      </c>
      <c r="H54"/>
      <c r="I54"/>
      <c r="J54" s="107">
        <v>1.830543933054396E-2</v>
      </c>
      <c r="K54" s="54"/>
      <c r="L54" s="107">
        <v>1.830543933054396E-2</v>
      </c>
    </row>
    <row r="55" spans="1:12" s="15" customFormat="1" x14ac:dyDescent="0.3">
      <c r="A55" s="17"/>
      <c r="B55"/>
      <c r="C55"/>
      <c r="D55"/>
      <c r="E55"/>
      <c r="F55" s="50">
        <v>38991</v>
      </c>
      <c r="G55" s="53">
        <v>118.07</v>
      </c>
      <c r="H55"/>
      <c r="I55"/>
      <c r="J55" s="107">
        <v>9.6630750812380928E-3</v>
      </c>
      <c r="K55" s="54"/>
      <c r="L55" s="107">
        <v>9.6630750812380928E-3</v>
      </c>
    </row>
    <row r="56" spans="1:12" s="15" customFormat="1" x14ac:dyDescent="0.3">
      <c r="A56" s="17"/>
      <c r="B56"/>
      <c r="C56"/>
      <c r="D56"/>
      <c r="E56"/>
      <c r="F56" s="50">
        <v>39022</v>
      </c>
      <c r="G56" s="53">
        <v>118.87</v>
      </c>
      <c r="H56"/>
      <c r="I56"/>
      <c r="J56" s="107">
        <v>1.9293431658377713E-2</v>
      </c>
      <c r="K56" s="54"/>
      <c r="L56" s="107">
        <v>1.9293431658377713E-2</v>
      </c>
    </row>
    <row r="57" spans="1:12" s="15" customFormat="1" x14ac:dyDescent="0.3">
      <c r="A57" s="17"/>
      <c r="B57"/>
      <c r="C57"/>
      <c r="D57"/>
      <c r="E57"/>
      <c r="F57" s="50">
        <v>39052</v>
      </c>
      <c r="G57" s="53">
        <v>119.87</v>
      </c>
      <c r="H57"/>
      <c r="I57"/>
      <c r="J57" s="107">
        <v>2.6108543057695721E-2</v>
      </c>
      <c r="K57" s="54"/>
      <c r="L57" s="107">
        <v>2.6108543057695721E-2</v>
      </c>
    </row>
    <row r="58" spans="1:12" s="15" customFormat="1" x14ac:dyDescent="0.3">
      <c r="A58" s="17"/>
      <c r="B58"/>
      <c r="C58"/>
      <c r="D58"/>
      <c r="E58"/>
      <c r="F58" s="50">
        <v>39083</v>
      </c>
      <c r="G58" s="53">
        <v>119.66</v>
      </c>
      <c r="H58"/>
      <c r="I58"/>
      <c r="J58" s="107">
        <v>1.3466587617515069E-2</v>
      </c>
      <c r="K58" s="54"/>
      <c r="L58" s="107">
        <v>1.3466587617515069E-2</v>
      </c>
    </row>
    <row r="59" spans="1:12" s="15" customFormat="1" x14ac:dyDescent="0.3">
      <c r="A59" s="17"/>
      <c r="B59"/>
      <c r="C59"/>
      <c r="D59"/>
      <c r="E59"/>
      <c r="F59" s="50">
        <v>39114</v>
      </c>
      <c r="G59" s="53">
        <v>120.17</v>
      </c>
      <c r="H59"/>
      <c r="I59"/>
      <c r="J59" s="107">
        <v>1.0936316984941463E-2</v>
      </c>
      <c r="K59" s="54"/>
      <c r="L59" s="107">
        <v>1.0936316984941463E-2</v>
      </c>
    </row>
    <row r="60" spans="1:12" s="15" customFormat="1" x14ac:dyDescent="0.3">
      <c r="A60" s="17"/>
      <c r="B60"/>
      <c r="C60"/>
      <c r="D60"/>
      <c r="E60"/>
      <c r="F60" s="50">
        <v>39142</v>
      </c>
      <c r="G60" s="53">
        <v>119.4</v>
      </c>
      <c r="H60"/>
      <c r="I60"/>
      <c r="J60" s="107">
        <v>-3.9209143238507771E-3</v>
      </c>
      <c r="K60" s="54"/>
      <c r="L60" s="107">
        <v>-3.9209143238507771E-3</v>
      </c>
    </row>
    <row r="61" spans="1:12" s="15" customFormat="1" x14ac:dyDescent="0.3">
      <c r="A61" s="17"/>
      <c r="B61"/>
      <c r="C61"/>
      <c r="D61"/>
      <c r="E61"/>
      <c r="F61" s="50">
        <v>39173</v>
      </c>
      <c r="G61" s="53">
        <v>121.18</v>
      </c>
      <c r="H61"/>
      <c r="I61"/>
      <c r="J61" s="107">
        <v>1.2702657529667372E-2</v>
      </c>
      <c r="K61" s="54"/>
      <c r="L61" s="107">
        <v>1.2702657529667372E-2</v>
      </c>
    </row>
    <row r="62" spans="1:12" s="15" customFormat="1" x14ac:dyDescent="0.3">
      <c r="A62" s="17"/>
      <c r="B62"/>
      <c r="C62"/>
      <c r="D62"/>
      <c r="E62"/>
      <c r="F62" s="50">
        <v>39203</v>
      </c>
      <c r="G62" s="53">
        <v>122.38</v>
      </c>
      <c r="H62"/>
      <c r="I62"/>
      <c r="J62" s="107">
        <v>1.8390613297827985E-2</v>
      </c>
      <c r="K62" s="54"/>
      <c r="L62" s="107">
        <v>1.8390613297827985E-2</v>
      </c>
    </row>
    <row r="63" spans="1:12" s="15" customFormat="1" x14ac:dyDescent="0.3">
      <c r="A63" s="17"/>
      <c r="B63"/>
      <c r="C63"/>
      <c r="D63"/>
      <c r="E63"/>
      <c r="F63" s="50">
        <v>39234</v>
      </c>
      <c r="G63" s="53">
        <v>123.41</v>
      </c>
      <c r="H63"/>
      <c r="I63"/>
      <c r="J63" s="107">
        <v>3.3584589614740201E-2</v>
      </c>
      <c r="K63" s="54"/>
      <c r="L63" s="107">
        <v>3.3584589614740201E-2</v>
      </c>
    </row>
    <row r="64" spans="1:12" s="15" customFormat="1" x14ac:dyDescent="0.3">
      <c r="A64" s="17"/>
      <c r="B64"/>
      <c r="C64"/>
      <c r="D64"/>
      <c r="E64"/>
      <c r="F64" s="50">
        <v>39264</v>
      </c>
      <c r="G64" s="53">
        <v>124.23</v>
      </c>
      <c r="H64"/>
      <c r="I64"/>
      <c r="J64" s="107">
        <v>2.5169169830004945E-2</v>
      </c>
      <c r="K64" s="54"/>
      <c r="L64" s="107">
        <v>2.5169169830004945E-2</v>
      </c>
    </row>
    <row r="65" spans="1:12" s="15" customFormat="1" x14ac:dyDescent="0.3">
      <c r="A65" s="17"/>
      <c r="B65"/>
      <c r="C65"/>
      <c r="D65"/>
      <c r="E65"/>
      <c r="F65" s="50">
        <v>39295</v>
      </c>
      <c r="G65" s="53">
        <v>124.34</v>
      </c>
      <c r="H65"/>
      <c r="I65"/>
      <c r="J65" s="107">
        <v>1.6015688838045605E-2</v>
      </c>
      <c r="K65" s="54"/>
      <c r="L65" s="107">
        <v>1.6015688838045605E-2</v>
      </c>
    </row>
    <row r="66" spans="1:12" s="15" customFormat="1" x14ac:dyDescent="0.3">
      <c r="A66" s="17"/>
      <c r="B66"/>
      <c r="C66"/>
      <c r="D66"/>
      <c r="E66"/>
      <c r="F66" s="50">
        <v>39326</v>
      </c>
      <c r="G66" s="53">
        <v>125.35</v>
      </c>
      <c r="H66"/>
      <c r="I66"/>
      <c r="J66" s="107">
        <v>1.5719957864030354E-2</v>
      </c>
      <c r="K66" s="54"/>
      <c r="L66" s="107">
        <v>1.5719957864030354E-2</v>
      </c>
    </row>
    <row r="67" spans="1:12" s="15" customFormat="1" x14ac:dyDescent="0.3">
      <c r="A67" s="17"/>
      <c r="B67"/>
      <c r="C67"/>
      <c r="D67"/>
      <c r="E67"/>
      <c r="F67" s="50">
        <v>39356</v>
      </c>
      <c r="G67" s="53">
        <v>126.32</v>
      </c>
      <c r="H67"/>
      <c r="I67"/>
      <c r="J67" s="107">
        <v>1.6823633582870423E-2</v>
      </c>
      <c r="K67" s="54"/>
      <c r="L67" s="107">
        <v>1.6823633582870423E-2</v>
      </c>
    </row>
    <row r="68" spans="1:12" s="15" customFormat="1" x14ac:dyDescent="0.3">
      <c r="A68" s="17"/>
      <c r="B68"/>
      <c r="C68"/>
      <c r="D68"/>
      <c r="E68"/>
      <c r="F68" s="50">
        <v>39387</v>
      </c>
      <c r="G68" s="53">
        <v>126.17</v>
      </c>
      <c r="H68"/>
      <c r="I68"/>
      <c r="J68" s="107">
        <v>1.4717709506192778E-2</v>
      </c>
      <c r="K68" s="54"/>
      <c r="L68" s="107">
        <v>1.4717709506192778E-2</v>
      </c>
    </row>
    <row r="69" spans="1:12" s="15" customFormat="1" x14ac:dyDescent="0.3">
      <c r="A69" s="17"/>
      <c r="B69"/>
      <c r="C69"/>
      <c r="D69"/>
      <c r="E69"/>
      <c r="F69" s="50">
        <v>39417</v>
      </c>
      <c r="G69" s="53">
        <v>126.96</v>
      </c>
      <c r="H69"/>
      <c r="I69"/>
      <c r="J69" s="107">
        <v>1.2844036697247763E-2</v>
      </c>
      <c r="K69" s="54"/>
      <c r="L69" s="107">
        <v>1.2844036697247763E-2</v>
      </c>
    </row>
    <row r="70" spans="1:12" s="15" customFormat="1" x14ac:dyDescent="0.3">
      <c r="A70" s="17"/>
      <c r="B70"/>
      <c r="C70"/>
      <c r="D70"/>
      <c r="E70"/>
      <c r="F70" s="50">
        <v>39448</v>
      </c>
      <c r="G70" s="53">
        <v>127.22</v>
      </c>
      <c r="H70"/>
      <c r="I70"/>
      <c r="J70" s="107">
        <v>7.1247625079164933E-3</v>
      </c>
      <c r="K70" s="54"/>
      <c r="L70" s="107">
        <v>7.1247625079164933E-3</v>
      </c>
    </row>
    <row r="71" spans="1:12" s="15" customFormat="1" x14ac:dyDescent="0.3">
      <c r="A71" s="17"/>
      <c r="B71"/>
      <c r="C71"/>
      <c r="D71"/>
      <c r="E71"/>
      <c r="F71" s="50">
        <v>39479</v>
      </c>
      <c r="G71" s="53">
        <v>126.83</v>
      </c>
      <c r="H71"/>
      <c r="I71"/>
      <c r="J71" s="107">
        <v>5.2310374891020306E-3</v>
      </c>
      <c r="K71" s="54"/>
      <c r="L71" s="107">
        <v>5.2310374891020306E-3</v>
      </c>
    </row>
    <row r="72" spans="1:12" s="15" customFormat="1" x14ac:dyDescent="0.3">
      <c r="A72" s="17"/>
      <c r="B72"/>
      <c r="C72"/>
      <c r="D72"/>
      <c r="E72"/>
      <c r="F72" s="50">
        <v>39508</v>
      </c>
      <c r="G72" s="53">
        <v>126.44</v>
      </c>
      <c r="H72"/>
      <c r="I72"/>
      <c r="J72" s="107">
        <v>-4.095778197857558E-3</v>
      </c>
      <c r="K72" s="54"/>
      <c r="L72" s="107">
        <v>-4.095778197857558E-3</v>
      </c>
    </row>
    <row r="73" spans="1:12" s="15" customFormat="1" x14ac:dyDescent="0.3">
      <c r="A73" s="17"/>
      <c r="B73"/>
      <c r="C73"/>
      <c r="D73"/>
      <c r="E73"/>
      <c r="F73" s="50">
        <v>39539</v>
      </c>
      <c r="G73" s="53">
        <v>127.7</v>
      </c>
      <c r="H73"/>
      <c r="I73"/>
      <c r="J73" s="107">
        <v>3.7729916679767328E-3</v>
      </c>
      <c r="K73" s="54"/>
      <c r="L73" s="107">
        <v>3.7729916679767328E-3</v>
      </c>
    </row>
    <row r="74" spans="1:12" s="15" customFormat="1" x14ac:dyDescent="0.3">
      <c r="A74" s="17"/>
      <c r="B74"/>
      <c r="C74"/>
      <c r="D74"/>
      <c r="E74"/>
      <c r="F74" s="50">
        <v>39569</v>
      </c>
      <c r="G74" s="53">
        <v>129.4</v>
      </c>
      <c r="H74"/>
      <c r="I74"/>
      <c r="J74" s="107">
        <v>2.0263344634550151E-2</v>
      </c>
      <c r="K74" s="54"/>
      <c r="L74" s="107">
        <v>2.0263344634550151E-2</v>
      </c>
    </row>
    <row r="75" spans="1:12" s="15" customFormat="1" x14ac:dyDescent="0.3">
      <c r="A75" s="17"/>
      <c r="B75"/>
      <c r="C75"/>
      <c r="D75"/>
      <c r="E75"/>
      <c r="F75" s="50">
        <v>39600</v>
      </c>
      <c r="G75" s="53">
        <v>131.19</v>
      </c>
      <c r="H75"/>
      <c r="I75"/>
      <c r="J75" s="107">
        <v>3.7567225561531137E-2</v>
      </c>
      <c r="K75" s="54"/>
      <c r="L75" s="107">
        <v>3.7567225561531137E-2</v>
      </c>
    </row>
    <row r="76" spans="1:12" s="15" customFormat="1" x14ac:dyDescent="0.3">
      <c r="A76" s="17"/>
      <c r="B76"/>
      <c r="C76"/>
      <c r="D76"/>
      <c r="E76"/>
      <c r="F76" s="50">
        <v>39630</v>
      </c>
      <c r="G76" s="53">
        <v>130.93</v>
      </c>
      <c r="H76"/>
      <c r="I76"/>
      <c r="J76" s="107">
        <v>2.5293657008613968E-2</v>
      </c>
      <c r="K76" s="54"/>
      <c r="L76" s="107">
        <v>2.5293657008613968E-2</v>
      </c>
    </row>
    <row r="77" spans="1:12" s="15" customFormat="1" x14ac:dyDescent="0.3">
      <c r="A77" s="17"/>
      <c r="B77"/>
      <c r="C77"/>
      <c r="D77"/>
      <c r="E77"/>
      <c r="F77" s="50">
        <v>39661</v>
      </c>
      <c r="G77" s="53">
        <v>130.99</v>
      </c>
      <c r="H77"/>
      <c r="I77"/>
      <c r="J77" s="107">
        <v>1.2287480680061913E-2</v>
      </c>
      <c r="K77" s="54"/>
      <c r="L77" s="107">
        <v>1.2287480680061913E-2</v>
      </c>
    </row>
    <row r="78" spans="1:12" s="15" customFormat="1" x14ac:dyDescent="0.3">
      <c r="A78" s="17"/>
      <c r="B78"/>
      <c r="C78"/>
      <c r="D78"/>
      <c r="E78"/>
      <c r="F78" s="50">
        <v>39692</v>
      </c>
      <c r="G78" s="53">
        <v>130.93</v>
      </c>
      <c r="H78"/>
      <c r="I78"/>
      <c r="J78" s="107">
        <v>-1.9818583733515194E-3</v>
      </c>
      <c r="K78" s="54"/>
      <c r="L78" s="107">
        <v>-1.9818583733515194E-3</v>
      </c>
    </row>
    <row r="79" spans="1:12" s="15" customFormat="1" x14ac:dyDescent="0.3">
      <c r="A79" s="17"/>
      <c r="B79"/>
      <c r="C79"/>
      <c r="D79"/>
      <c r="E79"/>
      <c r="F79" s="50">
        <v>39722</v>
      </c>
      <c r="G79" s="53">
        <v>128.19</v>
      </c>
      <c r="H79"/>
      <c r="I79"/>
      <c r="J79" s="107">
        <v>-2.0927213014587998E-2</v>
      </c>
      <c r="K79" s="54"/>
      <c r="L79" s="107">
        <v>-2.0927213014587998E-2</v>
      </c>
    </row>
    <row r="80" spans="1:12" s="15" customFormat="1" x14ac:dyDescent="0.3">
      <c r="A80" s="17"/>
      <c r="B80"/>
      <c r="C80"/>
      <c r="D80"/>
      <c r="E80"/>
      <c r="F80" s="50">
        <v>39753</v>
      </c>
      <c r="G80" s="53">
        <v>124.95</v>
      </c>
      <c r="H80"/>
      <c r="I80"/>
      <c r="J80" s="107">
        <v>-4.6110390106115062E-2</v>
      </c>
      <c r="K80" s="54"/>
      <c r="L80" s="107">
        <v>-4.6110390106115062E-2</v>
      </c>
    </row>
    <row r="81" spans="1:12" s="15" customFormat="1" x14ac:dyDescent="0.3">
      <c r="A81" s="17"/>
      <c r="B81"/>
      <c r="C81"/>
      <c r="D81"/>
      <c r="E81"/>
      <c r="F81" s="50">
        <v>39783</v>
      </c>
      <c r="G81" s="53">
        <v>120.93</v>
      </c>
      <c r="H81"/>
      <c r="I81"/>
      <c r="J81" s="107">
        <v>-7.6376689834262601E-2</v>
      </c>
      <c r="K81" s="54"/>
      <c r="L81" s="107">
        <v>-7.6376689834262601E-2</v>
      </c>
    </row>
    <row r="82" spans="1:12" s="15" customFormat="1" x14ac:dyDescent="0.3">
      <c r="A82" s="17"/>
      <c r="B82"/>
      <c r="C82"/>
      <c r="D82"/>
      <c r="E82"/>
      <c r="F82" s="50">
        <v>39814</v>
      </c>
      <c r="G82" s="53">
        <v>120.82</v>
      </c>
      <c r="H82"/>
      <c r="I82"/>
      <c r="J82" s="107">
        <v>-5.7492784148529541E-2</v>
      </c>
      <c r="K82" s="54"/>
      <c r="L82" s="107">
        <v>-5.7492784148529541E-2</v>
      </c>
    </row>
    <row r="83" spans="1:12" s="15" customFormat="1" x14ac:dyDescent="0.3">
      <c r="A83" s="17"/>
      <c r="B83"/>
      <c r="C83"/>
      <c r="D83"/>
      <c r="E83"/>
      <c r="F83" s="50">
        <v>39845</v>
      </c>
      <c r="G83" s="53">
        <v>122.19</v>
      </c>
      <c r="H83"/>
      <c r="I83"/>
      <c r="J83" s="107">
        <v>-2.2088835534213702E-2</v>
      </c>
      <c r="K83" s="54"/>
      <c r="L83" s="107">
        <v>-2.2088835534213702E-2</v>
      </c>
    </row>
    <row r="84" spans="1:12" s="15" customFormat="1" x14ac:dyDescent="0.3">
      <c r="A84" s="17"/>
      <c r="B84"/>
      <c r="C84"/>
      <c r="D84"/>
      <c r="E84"/>
      <c r="F84" s="50">
        <v>39873</v>
      </c>
      <c r="G84" s="53">
        <v>122.97</v>
      </c>
      <c r="H84"/>
      <c r="I84"/>
      <c r="J84" s="107">
        <v>1.6869263210121499E-2</v>
      </c>
      <c r="K84" s="54"/>
      <c r="L84" s="107">
        <v>1.6869263210121499E-2</v>
      </c>
    </row>
    <row r="85" spans="1:12" s="15" customFormat="1" x14ac:dyDescent="0.3">
      <c r="A85" s="17"/>
      <c r="B85"/>
      <c r="C85"/>
      <c r="D85"/>
      <c r="E85"/>
      <c r="F85" s="50">
        <v>39904</v>
      </c>
      <c r="G85" s="53">
        <v>123.64</v>
      </c>
      <c r="H85"/>
      <c r="I85"/>
      <c r="J85" s="107">
        <v>2.3340506538652495E-2</v>
      </c>
      <c r="K85" s="54"/>
      <c r="L85" s="107">
        <v>2.3340506538652495E-2</v>
      </c>
    </row>
    <row r="86" spans="1:12" s="15" customFormat="1" x14ac:dyDescent="0.3">
      <c r="A86" s="17"/>
      <c r="B86"/>
      <c r="C86"/>
      <c r="D86"/>
      <c r="E86"/>
      <c r="F86" s="50">
        <v>39934</v>
      </c>
      <c r="G86" s="53">
        <v>124.87</v>
      </c>
      <c r="H86"/>
      <c r="I86"/>
      <c r="J86" s="107">
        <v>2.1933055078157127E-2</v>
      </c>
      <c r="K86" s="54"/>
      <c r="L86" s="107">
        <v>2.1933055078157127E-2</v>
      </c>
    </row>
    <row r="87" spans="1:12" s="15" customFormat="1" x14ac:dyDescent="0.3">
      <c r="A87" s="17"/>
      <c r="B87"/>
      <c r="C87"/>
      <c r="D87"/>
      <c r="E87"/>
      <c r="F87" s="50">
        <v>39965</v>
      </c>
      <c r="G87" s="53">
        <v>125.93</v>
      </c>
      <c r="H87"/>
      <c r="I87"/>
      <c r="J87" s="107">
        <v>2.4070911604456402E-2</v>
      </c>
      <c r="K87" s="54"/>
      <c r="L87" s="107">
        <v>2.4070911604456402E-2</v>
      </c>
    </row>
    <row r="88" spans="1:12" s="15" customFormat="1" x14ac:dyDescent="0.3">
      <c r="A88" s="17"/>
      <c r="B88"/>
      <c r="C88"/>
      <c r="D88"/>
      <c r="E88"/>
      <c r="F88" s="50">
        <v>39995</v>
      </c>
      <c r="G88" s="53">
        <v>126.29</v>
      </c>
      <c r="H88"/>
      <c r="I88"/>
      <c r="J88" s="107">
        <v>2.1433193141378259E-2</v>
      </c>
      <c r="K88" s="54"/>
      <c r="L88" s="107">
        <v>2.1433193141378259E-2</v>
      </c>
    </row>
    <row r="89" spans="1:12" s="15" customFormat="1" x14ac:dyDescent="0.3">
      <c r="A89" s="17"/>
      <c r="B89"/>
      <c r="C89"/>
      <c r="D89"/>
      <c r="E89"/>
      <c r="F89" s="50">
        <v>40026</v>
      </c>
      <c r="G89" s="53">
        <v>128.09</v>
      </c>
      <c r="H89"/>
      <c r="I89"/>
      <c r="J89" s="107">
        <v>2.5786818291022584E-2</v>
      </c>
      <c r="K89" s="54"/>
      <c r="L89" s="107">
        <v>2.5786818291022584E-2</v>
      </c>
    </row>
    <row r="90" spans="1:12" s="15" customFormat="1" x14ac:dyDescent="0.3">
      <c r="A90" s="17"/>
      <c r="B90"/>
      <c r="C90"/>
      <c r="D90"/>
      <c r="E90"/>
      <c r="F90" s="50">
        <v>40057</v>
      </c>
      <c r="G90" s="53">
        <v>129.12</v>
      </c>
      <c r="H90"/>
      <c r="I90"/>
      <c r="J90" s="107">
        <v>2.5331533391566685E-2</v>
      </c>
      <c r="K90" s="54"/>
      <c r="L90" s="107">
        <v>2.5331533391566685E-2</v>
      </c>
    </row>
    <row r="91" spans="1:12" s="15" customFormat="1" x14ac:dyDescent="0.3">
      <c r="A91" s="17"/>
      <c r="B91"/>
      <c r="C91"/>
      <c r="D91"/>
      <c r="E91"/>
      <c r="F91" s="50">
        <v>40087</v>
      </c>
      <c r="G91" s="53">
        <v>129.79</v>
      </c>
      <c r="H91"/>
      <c r="I91"/>
      <c r="J91" s="107">
        <v>2.7713991606619581E-2</v>
      </c>
      <c r="K91" s="54"/>
      <c r="L91" s="107">
        <v>2.7713991606619581E-2</v>
      </c>
    </row>
    <row r="92" spans="1:12" s="15" customFormat="1" x14ac:dyDescent="0.3">
      <c r="A92" s="17"/>
      <c r="B92"/>
      <c r="C92"/>
      <c r="D92"/>
      <c r="E92"/>
      <c r="F92" s="50">
        <v>40118</v>
      </c>
      <c r="G92" s="53">
        <v>130.02000000000001</v>
      </c>
      <c r="H92"/>
      <c r="I92"/>
      <c r="J92" s="107">
        <v>1.506753064251698E-2</v>
      </c>
      <c r="K92" s="54"/>
      <c r="L92" s="107">
        <v>1.506753064251698E-2</v>
      </c>
    </row>
    <row r="93" spans="1:12" s="15" customFormat="1" x14ac:dyDescent="0.3">
      <c r="A93" s="17"/>
      <c r="B93"/>
      <c r="C93"/>
      <c r="D93"/>
      <c r="E93"/>
      <c r="F93" s="50">
        <v>40148</v>
      </c>
      <c r="G93" s="53">
        <v>131.30000000000001</v>
      </c>
      <c r="H93"/>
      <c r="I93"/>
      <c r="J93" s="107">
        <v>1.6883519206939424E-2</v>
      </c>
      <c r="K93" s="54"/>
      <c r="L93" s="107">
        <v>1.6883519206939424E-2</v>
      </c>
    </row>
    <row r="94" spans="1:12" s="15" customFormat="1" x14ac:dyDescent="0.3">
      <c r="A94" s="17"/>
      <c r="B94"/>
      <c r="C94"/>
      <c r="D94"/>
      <c r="E94"/>
      <c r="F94" s="50">
        <v>40179</v>
      </c>
      <c r="G94" s="53">
        <v>133.47</v>
      </c>
      <c r="H94"/>
      <c r="I94"/>
      <c r="J94" s="107">
        <v>2.8353494105863408E-2</v>
      </c>
      <c r="K94" s="54"/>
      <c r="L94" s="107">
        <v>2.8353494105863408E-2</v>
      </c>
    </row>
    <row r="95" spans="1:12" s="15" customFormat="1" x14ac:dyDescent="0.3">
      <c r="A95" s="17"/>
      <c r="B95"/>
      <c r="C95"/>
      <c r="D95"/>
      <c r="E95"/>
      <c r="F95" s="50">
        <v>40210</v>
      </c>
      <c r="G95" s="53">
        <v>135.16999999999999</v>
      </c>
      <c r="H95"/>
      <c r="I95"/>
      <c r="J95" s="107">
        <v>3.960929087832632E-2</v>
      </c>
      <c r="K95" s="54"/>
      <c r="L95" s="107">
        <v>3.960929087832632E-2</v>
      </c>
    </row>
    <row r="96" spans="1:12" s="15" customFormat="1" x14ac:dyDescent="0.3">
      <c r="A96" s="17"/>
      <c r="B96"/>
      <c r="C96"/>
      <c r="D96"/>
      <c r="E96"/>
      <c r="F96" s="50">
        <v>40238</v>
      </c>
      <c r="G96" s="53">
        <v>136.59</v>
      </c>
      <c r="H96"/>
      <c r="I96"/>
      <c r="J96" s="107">
        <v>4.0289413556740206E-2</v>
      </c>
      <c r="K96" s="54"/>
      <c r="L96" s="107">
        <v>4.0289413556740206E-2</v>
      </c>
    </row>
    <row r="97" spans="1:12" s="15" customFormat="1" x14ac:dyDescent="0.3">
      <c r="A97" s="17"/>
      <c r="B97"/>
      <c r="C97"/>
      <c r="D97"/>
      <c r="E97"/>
      <c r="F97" s="50">
        <v>40269</v>
      </c>
      <c r="G97" s="53">
        <v>137.05000000000001</v>
      </c>
      <c r="H97"/>
      <c r="I97"/>
      <c r="J97" s="107">
        <v>2.682250693039645E-2</v>
      </c>
      <c r="K97" s="54"/>
      <c r="L97" s="107">
        <v>2.682250693039645E-2</v>
      </c>
    </row>
    <row r="98" spans="1:12" s="15" customFormat="1" x14ac:dyDescent="0.3">
      <c r="A98" s="17"/>
      <c r="B98"/>
      <c r="C98"/>
      <c r="D98"/>
      <c r="E98"/>
      <c r="F98" s="50">
        <v>40299</v>
      </c>
      <c r="G98" s="53">
        <v>136.49</v>
      </c>
      <c r="H98"/>
      <c r="I98"/>
      <c r="J98" s="107">
        <v>9.7654805060296557E-3</v>
      </c>
      <c r="K98" s="54"/>
      <c r="L98" s="107">
        <v>9.7654805060296557E-3</v>
      </c>
    </row>
    <row r="99" spans="1:12" s="15" customFormat="1" x14ac:dyDescent="0.3">
      <c r="A99" s="17"/>
      <c r="B99"/>
      <c r="C99"/>
      <c r="D99"/>
      <c r="E99"/>
      <c r="F99" s="50">
        <v>40330</v>
      </c>
      <c r="G99" s="53">
        <v>136.22999999999999</v>
      </c>
      <c r="H99"/>
      <c r="I99"/>
      <c r="J99" s="107">
        <v>-2.6356248627279477E-3</v>
      </c>
      <c r="K99" s="54"/>
      <c r="L99" s="107">
        <v>-2.6356248627279477E-3</v>
      </c>
    </row>
    <row r="100" spans="1:12" s="15" customFormat="1" x14ac:dyDescent="0.3">
      <c r="A100" s="17"/>
      <c r="B100"/>
      <c r="C100"/>
      <c r="D100"/>
      <c r="E100"/>
      <c r="F100" s="50">
        <v>40360</v>
      </c>
      <c r="G100" s="53">
        <v>136.93</v>
      </c>
      <c r="H100"/>
      <c r="I100"/>
      <c r="J100" s="107">
        <v>-8.7559284932514636E-4</v>
      </c>
      <c r="K100" s="54"/>
      <c r="L100" s="107">
        <v>-8.7559284932514636E-4</v>
      </c>
    </row>
    <row r="101" spans="1:12" s="15" customFormat="1" x14ac:dyDescent="0.3">
      <c r="A101" s="17"/>
      <c r="B101"/>
      <c r="C101"/>
      <c r="D101"/>
      <c r="E101"/>
      <c r="F101" s="50">
        <v>40391</v>
      </c>
      <c r="G101" s="53">
        <v>137.66999999999999</v>
      </c>
      <c r="H101"/>
      <c r="I101"/>
      <c r="J101" s="107">
        <v>8.6453220016116106E-3</v>
      </c>
      <c r="K101" s="54"/>
      <c r="L101" s="107">
        <v>8.6453220016116106E-3</v>
      </c>
    </row>
    <row r="102" spans="1:12" s="15" customFormat="1" x14ac:dyDescent="0.3">
      <c r="A102" s="17"/>
      <c r="B102"/>
      <c r="C102"/>
      <c r="D102"/>
      <c r="E102"/>
      <c r="F102" s="50">
        <v>40422</v>
      </c>
      <c r="G102" s="53">
        <v>139.41</v>
      </c>
      <c r="H102"/>
      <c r="I102"/>
      <c r="J102" s="107">
        <v>2.334287601849816E-2</v>
      </c>
      <c r="K102" s="54"/>
      <c r="L102" s="107">
        <v>2.334287601849816E-2</v>
      </c>
    </row>
    <row r="103" spans="1:12" s="15" customFormat="1" x14ac:dyDescent="0.3">
      <c r="A103" s="17"/>
      <c r="B103"/>
      <c r="C103"/>
      <c r="D103"/>
      <c r="E103"/>
      <c r="F103" s="50">
        <v>40452</v>
      </c>
      <c r="G103" s="53">
        <v>138.72</v>
      </c>
      <c r="H103"/>
      <c r="I103"/>
      <c r="J103" s="107">
        <v>1.3072372745198235E-2</v>
      </c>
      <c r="K103" s="54"/>
      <c r="L103" s="107">
        <v>1.3072372745198235E-2</v>
      </c>
    </row>
    <row r="104" spans="1:12" s="15" customFormat="1" x14ac:dyDescent="0.3">
      <c r="A104" s="17"/>
      <c r="B104"/>
      <c r="C104"/>
      <c r="D104"/>
      <c r="E104"/>
      <c r="F104" s="50">
        <v>40483</v>
      </c>
      <c r="G104" s="53">
        <v>140.09</v>
      </c>
      <c r="H104"/>
      <c r="I104"/>
      <c r="J104" s="107">
        <v>1.7578266870051706E-2</v>
      </c>
      <c r="K104" s="54"/>
      <c r="L104" s="107">
        <v>1.7578266870051706E-2</v>
      </c>
    </row>
    <row r="105" spans="1:12" s="15" customFormat="1" x14ac:dyDescent="0.3">
      <c r="A105" s="17"/>
      <c r="B105"/>
      <c r="C105"/>
      <c r="D105"/>
      <c r="E105"/>
      <c r="F105" s="50">
        <v>40513</v>
      </c>
      <c r="G105" s="53">
        <v>138.29</v>
      </c>
      <c r="H105"/>
      <c r="I105"/>
      <c r="J105" s="107">
        <v>-8.0338569686536632E-3</v>
      </c>
      <c r="K105" s="54"/>
      <c r="L105" s="107">
        <v>-8.0338569686536632E-3</v>
      </c>
    </row>
    <row r="106" spans="1:12" s="15" customFormat="1" x14ac:dyDescent="0.3">
      <c r="A106" s="17"/>
      <c r="B106"/>
      <c r="C106"/>
      <c r="D106"/>
      <c r="E106"/>
      <c r="F106" s="50">
        <v>40544</v>
      </c>
      <c r="G106" s="53">
        <v>140.13999999999999</v>
      </c>
      <c r="H106"/>
      <c r="I106"/>
      <c r="J106" s="107">
        <v>1.0236447520184377E-2</v>
      </c>
      <c r="K106" s="54"/>
      <c r="L106" s="107">
        <v>1.0236447520184377E-2</v>
      </c>
    </row>
    <row r="107" spans="1:12" s="15" customFormat="1" x14ac:dyDescent="0.3">
      <c r="A107" s="17"/>
      <c r="B107"/>
      <c r="C107"/>
      <c r="D107"/>
      <c r="E107"/>
      <c r="F107" s="50">
        <v>40575</v>
      </c>
      <c r="G107" s="53">
        <v>140.72</v>
      </c>
      <c r="H107"/>
      <c r="I107"/>
      <c r="J107" s="107">
        <v>4.4971090013561366E-3</v>
      </c>
      <c r="K107" s="54"/>
      <c r="L107" s="107">
        <v>4.4971090013561366E-3</v>
      </c>
    </row>
    <row r="108" spans="1:12" s="15" customFormat="1" x14ac:dyDescent="0.3">
      <c r="A108" s="17"/>
      <c r="B108"/>
      <c r="C108"/>
      <c r="D108"/>
      <c r="E108"/>
      <c r="F108" s="50">
        <v>40603</v>
      </c>
      <c r="G108" s="53">
        <v>141.1</v>
      </c>
      <c r="H108"/>
      <c r="I108"/>
      <c r="J108" s="107">
        <v>2.0319618193651134E-2</v>
      </c>
      <c r="K108" s="54"/>
      <c r="L108" s="107">
        <v>2.0319618193651134E-2</v>
      </c>
    </row>
    <row r="109" spans="1:12" s="15" customFormat="1" x14ac:dyDescent="0.3">
      <c r="A109" s="17"/>
      <c r="B109"/>
      <c r="C109"/>
      <c r="D109"/>
      <c r="E109"/>
      <c r="F109" s="50">
        <v>40634</v>
      </c>
      <c r="G109" s="53">
        <v>140.84</v>
      </c>
      <c r="H109"/>
      <c r="I109"/>
      <c r="J109" s="107">
        <v>4.9950049950051589E-3</v>
      </c>
      <c r="K109" s="54"/>
      <c r="L109" s="107">
        <v>4.9950049950051589E-3</v>
      </c>
    </row>
    <row r="110" spans="1:12" s="15" customFormat="1" x14ac:dyDescent="0.3">
      <c r="A110" s="17"/>
      <c r="B110"/>
      <c r="C110"/>
      <c r="D110"/>
      <c r="E110"/>
      <c r="F110" s="50">
        <v>40664</v>
      </c>
      <c r="G110" s="53">
        <v>141.27000000000001</v>
      </c>
      <c r="H110"/>
      <c r="I110"/>
      <c r="J110" s="107">
        <v>3.9084707220011783E-3</v>
      </c>
      <c r="K110" s="54"/>
      <c r="L110" s="107">
        <v>3.9084707220011783E-3</v>
      </c>
    </row>
    <row r="111" spans="1:12" s="15" customFormat="1" x14ac:dyDescent="0.3">
      <c r="A111" s="17"/>
      <c r="B111"/>
      <c r="C111"/>
      <c r="D111"/>
      <c r="E111"/>
      <c r="F111" s="50">
        <v>40695</v>
      </c>
      <c r="G111" s="53">
        <v>142.22</v>
      </c>
      <c r="H111"/>
      <c r="I111"/>
      <c r="J111" s="107">
        <v>7.9376328844791288E-3</v>
      </c>
      <c r="K111" s="54"/>
      <c r="L111" s="107">
        <v>7.9376328844791288E-3</v>
      </c>
    </row>
    <row r="112" spans="1:12" s="15" customFormat="1" x14ac:dyDescent="0.3">
      <c r="A112" s="17"/>
      <c r="B112"/>
      <c r="C112"/>
      <c r="D112"/>
      <c r="E112"/>
      <c r="F112" s="50">
        <v>40725</v>
      </c>
      <c r="G112" s="53">
        <v>142.25</v>
      </c>
      <c r="H112"/>
      <c r="I112"/>
      <c r="J112" s="107">
        <v>1.0011360408974657E-2</v>
      </c>
      <c r="K112" s="54"/>
      <c r="L112" s="107">
        <v>1.0011360408974657E-2</v>
      </c>
    </row>
    <row r="113" spans="1:12" s="15" customFormat="1" x14ac:dyDescent="0.3">
      <c r="A113" s="17"/>
      <c r="B113"/>
      <c r="C113"/>
      <c r="D113"/>
      <c r="E113"/>
      <c r="F113" s="50">
        <v>40756</v>
      </c>
      <c r="G113" s="53">
        <v>141.96</v>
      </c>
      <c r="H113"/>
      <c r="I113"/>
      <c r="J113" s="107">
        <v>4.8842641749839988E-3</v>
      </c>
      <c r="K113" s="54"/>
      <c r="L113" s="107">
        <v>4.8842641749839988E-3</v>
      </c>
    </row>
    <row r="114" spans="1:12" s="15" customFormat="1" x14ac:dyDescent="0.3">
      <c r="A114" s="17"/>
      <c r="B114"/>
      <c r="C114"/>
      <c r="D114"/>
      <c r="E114"/>
      <c r="F114" s="50">
        <v>40787</v>
      </c>
      <c r="G114" s="53">
        <v>141.79</v>
      </c>
      <c r="H114"/>
      <c r="I114"/>
      <c r="J114" s="107">
        <v>-3.023484741949134E-3</v>
      </c>
      <c r="K114" s="54"/>
      <c r="L114" s="107">
        <v>-3.023484741949134E-3</v>
      </c>
    </row>
    <row r="115" spans="1:12" s="15" customFormat="1" x14ac:dyDescent="0.3">
      <c r="A115" s="17"/>
      <c r="B115"/>
      <c r="C115"/>
      <c r="D115"/>
      <c r="E115"/>
      <c r="F115" s="50">
        <v>40817</v>
      </c>
      <c r="G115" s="53">
        <v>141.58000000000001</v>
      </c>
      <c r="H115"/>
      <c r="I115"/>
      <c r="J115" s="107">
        <v>-4.71001757469236E-3</v>
      </c>
      <c r="K115" s="54"/>
      <c r="L115" s="107">
        <v>-4.71001757469236E-3</v>
      </c>
    </row>
    <row r="116" spans="1:12" s="15" customFormat="1" x14ac:dyDescent="0.3">
      <c r="A116" s="17"/>
      <c r="B116"/>
      <c r="C116"/>
      <c r="D116"/>
      <c r="E116"/>
      <c r="F116" s="50">
        <v>40848</v>
      </c>
      <c r="G116" s="53">
        <v>142.25</v>
      </c>
      <c r="H116"/>
      <c r="I116"/>
      <c r="J116" s="107">
        <v>2.0428289659057963E-3</v>
      </c>
      <c r="K116" s="54"/>
      <c r="L116" s="107">
        <v>2.0428289659057963E-3</v>
      </c>
    </row>
    <row r="117" spans="1:12" s="15" customFormat="1" x14ac:dyDescent="0.3">
      <c r="A117" s="17"/>
      <c r="B117"/>
      <c r="C117"/>
      <c r="D117"/>
      <c r="E117"/>
      <c r="F117" s="50">
        <v>40878</v>
      </c>
      <c r="G117" s="53">
        <v>140.44999999999999</v>
      </c>
      <c r="H117"/>
      <c r="I117"/>
      <c r="J117" s="107">
        <v>-9.4505959517596771E-3</v>
      </c>
      <c r="K117" s="54"/>
      <c r="L117" s="107">
        <v>-9.4505959517596771E-3</v>
      </c>
    </row>
    <row r="118" spans="1:12" s="15" customFormat="1" x14ac:dyDescent="0.3">
      <c r="A118" s="17"/>
      <c r="B118"/>
      <c r="C118"/>
      <c r="D118"/>
      <c r="E118"/>
      <c r="F118" s="50">
        <v>40909</v>
      </c>
      <c r="G118" s="53">
        <v>138.87</v>
      </c>
      <c r="H118"/>
      <c r="I118"/>
      <c r="J118" s="107">
        <v>-1.9141121627348601E-2</v>
      </c>
      <c r="K118" s="54"/>
      <c r="L118" s="107">
        <v>-1.9141121627348601E-2</v>
      </c>
    </row>
    <row r="119" spans="1:12" s="15" customFormat="1" x14ac:dyDescent="0.3">
      <c r="A119" s="17"/>
      <c r="B119"/>
      <c r="C119"/>
      <c r="D119"/>
      <c r="E119"/>
      <c r="F119" s="50">
        <v>40940</v>
      </c>
      <c r="G119" s="53">
        <v>140.49</v>
      </c>
      <c r="H119"/>
      <c r="I119"/>
      <c r="J119" s="107">
        <v>-1.237258347978909E-2</v>
      </c>
      <c r="K119" s="54"/>
      <c r="L119" s="107">
        <v>-1.237258347978909E-2</v>
      </c>
    </row>
    <row r="120" spans="1:12" s="15" customFormat="1" x14ac:dyDescent="0.3">
      <c r="A120" s="17"/>
      <c r="B120"/>
      <c r="C120"/>
      <c r="D120"/>
      <c r="E120"/>
      <c r="F120" s="50">
        <v>40969</v>
      </c>
      <c r="G120" s="53">
        <v>140.06</v>
      </c>
      <c r="H120"/>
      <c r="I120"/>
      <c r="J120" s="107">
        <v>-2.776788892844384E-3</v>
      </c>
      <c r="K120" s="54"/>
      <c r="L120" s="107">
        <v>-2.776788892844384E-3</v>
      </c>
    </row>
    <row r="121" spans="1:12" s="15" customFormat="1" x14ac:dyDescent="0.3">
      <c r="A121" s="17"/>
      <c r="B121"/>
      <c r="C121"/>
      <c r="D121"/>
      <c r="E121"/>
      <c r="F121" s="50">
        <v>41000</v>
      </c>
      <c r="G121" s="53">
        <v>141.04</v>
      </c>
      <c r="H121"/>
      <c r="I121"/>
      <c r="J121" s="107">
        <v>1.5626125153020753E-2</v>
      </c>
      <c r="K121" s="54"/>
      <c r="L121" s="107">
        <v>1.5626125153020753E-2</v>
      </c>
    </row>
    <row r="122" spans="1:12" s="15" customFormat="1" x14ac:dyDescent="0.3">
      <c r="A122" s="17"/>
      <c r="B122"/>
      <c r="C122"/>
      <c r="D122"/>
      <c r="E122"/>
      <c r="F122" s="50">
        <v>41030</v>
      </c>
      <c r="G122" s="53">
        <v>142.66999999999999</v>
      </c>
      <c r="H122"/>
      <c r="I122"/>
      <c r="J122" s="107">
        <v>1.5517118656132034E-2</v>
      </c>
      <c r="K122" s="54"/>
      <c r="L122" s="107">
        <v>1.5517118656132034E-2</v>
      </c>
    </row>
    <row r="123" spans="1:12" s="15" customFormat="1" x14ac:dyDescent="0.3">
      <c r="A123" s="17"/>
      <c r="B123"/>
      <c r="C123"/>
      <c r="D123"/>
      <c r="E123"/>
      <c r="F123" s="50">
        <v>41061</v>
      </c>
      <c r="G123" s="53">
        <v>143.56</v>
      </c>
      <c r="H123"/>
      <c r="I123"/>
      <c r="J123" s="107">
        <v>2.4989290304155309E-2</v>
      </c>
      <c r="K123" s="54"/>
      <c r="L123" s="107">
        <v>2.4989290304155309E-2</v>
      </c>
    </row>
    <row r="124" spans="1:12" s="15" customFormat="1" x14ac:dyDescent="0.3">
      <c r="A124" s="17"/>
      <c r="B124"/>
      <c r="C124"/>
      <c r="D124"/>
      <c r="E124"/>
      <c r="F124" s="50">
        <v>41091</v>
      </c>
      <c r="G124" s="53">
        <v>144.03</v>
      </c>
      <c r="H124"/>
      <c r="I124"/>
      <c r="J124" s="107">
        <v>2.1199659671015336E-2</v>
      </c>
      <c r="K124" s="54"/>
      <c r="L124" s="107">
        <v>2.1199659671015336E-2</v>
      </c>
    </row>
    <row r="125" spans="1:12" s="15" customFormat="1" x14ac:dyDescent="0.3">
      <c r="A125" s="17"/>
      <c r="B125"/>
      <c r="C125"/>
      <c r="D125"/>
      <c r="E125"/>
      <c r="F125" s="50">
        <v>41122</v>
      </c>
      <c r="G125" s="53">
        <v>144.35</v>
      </c>
      <c r="H125"/>
      <c r="I125"/>
      <c r="J125" s="107">
        <v>1.1775425807808215E-2</v>
      </c>
      <c r="K125" s="54"/>
      <c r="L125" s="107">
        <v>1.1775425807808215E-2</v>
      </c>
    </row>
    <row r="126" spans="1:12" s="15" customFormat="1" x14ac:dyDescent="0.3">
      <c r="A126" s="17"/>
      <c r="B126"/>
      <c r="C126"/>
      <c r="D126"/>
      <c r="E126"/>
      <c r="F126" s="50">
        <v>41153</v>
      </c>
      <c r="G126" s="53">
        <v>143.71</v>
      </c>
      <c r="H126"/>
      <c r="I126"/>
      <c r="J126" s="107">
        <v>1.044859292282041E-3</v>
      </c>
      <c r="K126" s="54"/>
      <c r="L126" s="107">
        <v>1.044859292282041E-3</v>
      </c>
    </row>
    <row r="127" spans="1:12" s="15" customFormat="1" x14ac:dyDescent="0.3">
      <c r="A127" s="17"/>
      <c r="B127"/>
      <c r="C127"/>
      <c r="D127"/>
      <c r="E127"/>
      <c r="F127" s="50">
        <v>41183</v>
      </c>
      <c r="G127" s="53">
        <v>144.86000000000001</v>
      </c>
      <c r="H127"/>
      <c r="I127"/>
      <c r="J127" s="107">
        <v>5.7626883288204311E-3</v>
      </c>
      <c r="K127" s="54"/>
      <c r="L127" s="107">
        <v>5.7626883288204311E-3</v>
      </c>
    </row>
    <row r="128" spans="1:12" s="15" customFormat="1" x14ac:dyDescent="0.3">
      <c r="A128" s="17"/>
      <c r="B128"/>
      <c r="C128"/>
      <c r="D128"/>
      <c r="E128"/>
      <c r="F128" s="50">
        <v>41214</v>
      </c>
      <c r="G128" s="53">
        <v>144.58000000000001</v>
      </c>
      <c r="H128"/>
      <c r="I128"/>
      <c r="J128" s="107">
        <v>1.5933494977486973E-3</v>
      </c>
      <c r="K128" s="54"/>
      <c r="L128" s="107">
        <v>1.5933494977486973E-3</v>
      </c>
    </row>
    <row r="129" spans="1:12" s="15" customFormat="1" x14ac:dyDescent="0.3">
      <c r="A129" s="17"/>
      <c r="B129"/>
      <c r="C129"/>
      <c r="D129"/>
      <c r="E129"/>
      <c r="F129" s="50">
        <v>41244</v>
      </c>
      <c r="G129" s="53">
        <v>144.16</v>
      </c>
      <c r="H129"/>
      <c r="I129"/>
      <c r="J129" s="107">
        <v>3.1313061025675104E-3</v>
      </c>
      <c r="K129" s="54"/>
      <c r="L129" s="107">
        <v>3.1313061025675104E-3</v>
      </c>
    </row>
    <row r="130" spans="1:12" s="15" customFormat="1" x14ac:dyDescent="0.3">
      <c r="A130" s="17"/>
      <c r="B130"/>
      <c r="C130"/>
      <c r="D130"/>
      <c r="E130"/>
      <c r="F130" s="50">
        <v>41275</v>
      </c>
      <c r="G130" s="53">
        <v>144.99</v>
      </c>
      <c r="H130"/>
      <c r="I130"/>
      <c r="J130" s="107">
        <v>8.9741819687971791E-4</v>
      </c>
      <c r="K130" s="54"/>
      <c r="L130" s="107">
        <v>8.9741819687971791E-4</v>
      </c>
    </row>
    <row r="131" spans="1:12" s="15" customFormat="1" x14ac:dyDescent="0.3">
      <c r="A131" s="17"/>
      <c r="B131"/>
      <c r="C131"/>
      <c r="D131"/>
      <c r="E131"/>
      <c r="F131" s="50">
        <v>41306</v>
      </c>
      <c r="G131" s="53">
        <v>143.77000000000001</v>
      </c>
      <c r="H131"/>
      <c r="I131"/>
      <c r="J131" s="107">
        <v>-5.6024346382625989E-3</v>
      </c>
      <c r="K131" s="54"/>
      <c r="L131" s="107">
        <v>-5.6024346382625989E-3</v>
      </c>
    </row>
    <row r="132" spans="1:12" s="15" customFormat="1" x14ac:dyDescent="0.3">
      <c r="A132" s="17"/>
      <c r="B132"/>
      <c r="C132"/>
      <c r="D132"/>
      <c r="E132"/>
      <c r="F132" s="50">
        <v>41334</v>
      </c>
      <c r="G132" s="53">
        <v>144.94999999999999</v>
      </c>
      <c r="H132"/>
      <c r="I132"/>
      <c r="J132" s="107">
        <v>5.4800221975581653E-3</v>
      </c>
      <c r="K132" s="54"/>
      <c r="L132" s="107">
        <v>5.4800221975581653E-3</v>
      </c>
    </row>
    <row r="133" spans="1:12" s="15" customFormat="1" x14ac:dyDescent="0.3">
      <c r="A133" s="17"/>
      <c r="B133"/>
      <c r="C133"/>
      <c r="D133"/>
      <c r="E133"/>
      <c r="F133" s="50">
        <v>41365</v>
      </c>
      <c r="G133" s="53">
        <v>146.24</v>
      </c>
      <c r="H133"/>
      <c r="I133"/>
      <c r="J133" s="107">
        <v>8.6212842264983269E-3</v>
      </c>
      <c r="K133" s="54"/>
      <c r="L133" s="107">
        <v>8.6212842264983269E-3</v>
      </c>
    </row>
    <row r="134" spans="1:12" s="15" customFormat="1" x14ac:dyDescent="0.3">
      <c r="A134" s="17"/>
      <c r="B134"/>
      <c r="C134"/>
      <c r="D134"/>
      <c r="E134"/>
      <c r="F134" s="50">
        <v>41395</v>
      </c>
      <c r="G134" s="53">
        <v>146.83000000000001</v>
      </c>
      <c r="H134"/>
      <c r="I134"/>
      <c r="J134" s="107">
        <v>2.1283995270223288E-2</v>
      </c>
      <c r="K134" s="54"/>
      <c r="L134" s="107">
        <v>2.1283995270223288E-2</v>
      </c>
    </row>
    <row r="135" spans="1:12" s="15" customFormat="1" x14ac:dyDescent="0.3">
      <c r="A135" s="17"/>
      <c r="B135"/>
      <c r="C135"/>
      <c r="D135"/>
      <c r="E135"/>
      <c r="F135" s="50">
        <v>41426</v>
      </c>
      <c r="G135" s="53">
        <v>146.35</v>
      </c>
      <c r="H135"/>
      <c r="I135"/>
      <c r="J135" s="107">
        <v>9.6585029320455096E-3</v>
      </c>
      <c r="K135" s="54"/>
      <c r="L135" s="107">
        <v>9.6585029320455096E-3</v>
      </c>
    </row>
    <row r="136" spans="1:12" s="15" customFormat="1" x14ac:dyDescent="0.3">
      <c r="A136" s="17"/>
      <c r="B136"/>
      <c r="C136"/>
      <c r="D136"/>
      <c r="E136"/>
      <c r="F136" s="50">
        <v>41456</v>
      </c>
      <c r="G136" s="53">
        <v>147.19</v>
      </c>
      <c r="H136"/>
      <c r="I136"/>
      <c r="J136" s="107">
        <v>6.4961706783368545E-3</v>
      </c>
      <c r="K136" s="54"/>
      <c r="L136" s="107">
        <v>6.4961706783368545E-3</v>
      </c>
    </row>
    <row r="137" spans="1:12" s="15" customFormat="1" x14ac:dyDescent="0.3">
      <c r="A137" s="17"/>
      <c r="B137"/>
      <c r="C137"/>
      <c r="D137"/>
      <c r="E137"/>
      <c r="F137" s="50">
        <v>41487</v>
      </c>
      <c r="G137" s="53">
        <v>147.11000000000001</v>
      </c>
      <c r="H137"/>
      <c r="I137"/>
      <c r="J137" s="107">
        <v>1.9069672410270133E-3</v>
      </c>
      <c r="K137" s="54"/>
      <c r="L137" s="107">
        <v>1.9069672410270133E-3</v>
      </c>
    </row>
    <row r="138" spans="1:12" s="15" customFormat="1" x14ac:dyDescent="0.3">
      <c r="A138" s="17"/>
      <c r="B138"/>
      <c r="C138"/>
      <c r="D138"/>
      <c r="E138"/>
      <c r="F138" s="50">
        <v>41518</v>
      </c>
      <c r="G138" s="53">
        <v>148.13999999999999</v>
      </c>
      <c r="H138"/>
      <c r="I138"/>
      <c r="J138" s="107">
        <v>1.2230953194396932E-2</v>
      </c>
      <c r="K138" s="54"/>
      <c r="L138" s="107">
        <v>1.2230953194396932E-2</v>
      </c>
    </row>
    <row r="139" spans="1:12" s="15" customFormat="1" x14ac:dyDescent="0.3">
      <c r="A139" s="17"/>
      <c r="B139"/>
      <c r="C139"/>
      <c r="D139"/>
      <c r="E139"/>
      <c r="F139" s="50">
        <v>41548</v>
      </c>
      <c r="G139" s="53">
        <v>147.99</v>
      </c>
      <c r="H139"/>
      <c r="I139"/>
      <c r="J139" s="107">
        <v>5.4351518445547864E-3</v>
      </c>
      <c r="K139" s="54"/>
      <c r="L139" s="107">
        <v>5.4351518445547864E-3</v>
      </c>
    </row>
    <row r="140" spans="1:12" s="15" customFormat="1" x14ac:dyDescent="0.3">
      <c r="A140" s="17"/>
      <c r="B140"/>
      <c r="C140"/>
      <c r="D140"/>
      <c r="E140"/>
      <c r="F140" s="50">
        <v>41579</v>
      </c>
      <c r="G140" s="53">
        <v>148.34</v>
      </c>
      <c r="H140"/>
      <c r="I140"/>
      <c r="J140" s="107">
        <v>8.3610903405613168E-3</v>
      </c>
      <c r="K140" s="54"/>
      <c r="L140" s="107">
        <v>8.3610903405613168E-3</v>
      </c>
    </row>
    <row r="141" spans="1:12" s="15" customFormat="1" x14ac:dyDescent="0.3">
      <c r="A141" s="17"/>
      <c r="B141"/>
      <c r="C141"/>
      <c r="D141"/>
      <c r="E141"/>
      <c r="F141" s="50">
        <v>41609</v>
      </c>
      <c r="G141" s="53">
        <v>148.61000000000001</v>
      </c>
      <c r="H141"/>
      <c r="I141"/>
      <c r="J141" s="107">
        <v>3.1726744970974607E-3</v>
      </c>
      <c r="K141" s="54"/>
      <c r="L141" s="107">
        <v>3.1726744970974607E-3</v>
      </c>
    </row>
    <row r="142" spans="1:12" s="15" customFormat="1" x14ac:dyDescent="0.3">
      <c r="A142" s="17"/>
      <c r="B142"/>
      <c r="C142"/>
      <c r="D142"/>
      <c r="E142"/>
      <c r="F142" s="50">
        <v>41640</v>
      </c>
      <c r="G142" s="53">
        <v>148.27000000000001</v>
      </c>
      <c r="H142"/>
      <c r="I142"/>
      <c r="J142" s="107">
        <v>1.8920197310630105E-3</v>
      </c>
      <c r="K142" s="54"/>
      <c r="L142" s="107">
        <v>1.8920197310630105E-3</v>
      </c>
    </row>
    <row r="143" spans="1:12" s="15" customFormat="1" x14ac:dyDescent="0.3">
      <c r="A143" s="17"/>
      <c r="B143"/>
      <c r="C143"/>
      <c r="D143"/>
      <c r="E143"/>
      <c r="F143" s="50">
        <v>41671</v>
      </c>
      <c r="G143" s="53">
        <v>147.85</v>
      </c>
      <c r="H143"/>
      <c r="I143"/>
      <c r="J143" s="107">
        <v>-3.3032223270864636E-3</v>
      </c>
      <c r="K143" s="54"/>
      <c r="L143" s="107">
        <v>-3.3032223270864636E-3</v>
      </c>
    </row>
    <row r="144" spans="1:12" s="15" customFormat="1" x14ac:dyDescent="0.3">
      <c r="A144" s="17"/>
      <c r="B144"/>
      <c r="C144"/>
      <c r="D144"/>
      <c r="E144"/>
      <c r="F144" s="50">
        <v>41699</v>
      </c>
      <c r="G144" s="53">
        <v>147.88999999999999</v>
      </c>
      <c r="H144"/>
      <c r="I144"/>
      <c r="J144" s="107">
        <v>-4.8448960366060945E-3</v>
      </c>
      <c r="K144" s="54"/>
      <c r="L144" s="107">
        <v>-4.8448960366060945E-3</v>
      </c>
    </row>
    <row r="145" spans="1:12" s="15" customFormat="1" x14ac:dyDescent="0.3">
      <c r="A145" s="17"/>
      <c r="B145"/>
      <c r="C145"/>
      <c r="D145"/>
      <c r="E145"/>
      <c r="F145" s="50">
        <v>41730</v>
      </c>
      <c r="G145" s="53">
        <v>146.88</v>
      </c>
      <c r="H145"/>
      <c r="I145"/>
      <c r="J145" s="107">
        <v>-9.3747892358536644E-3</v>
      </c>
      <c r="K145" s="54"/>
      <c r="L145" s="107">
        <v>-9.3747892358536644E-3</v>
      </c>
    </row>
    <row r="146" spans="1:12" s="15" customFormat="1" x14ac:dyDescent="0.3">
      <c r="A146" s="17"/>
      <c r="B146"/>
      <c r="C146"/>
      <c r="D146"/>
      <c r="E146"/>
      <c r="F146" s="50">
        <v>41760</v>
      </c>
      <c r="G146" s="53">
        <v>146.30000000000001</v>
      </c>
      <c r="H146"/>
      <c r="I146"/>
      <c r="J146" s="107">
        <v>-1.0483598241460834E-2</v>
      </c>
      <c r="K146" s="54"/>
      <c r="L146" s="107">
        <v>-1.0483598241460834E-2</v>
      </c>
    </row>
    <row r="147" spans="1:12" s="15" customFormat="1" x14ac:dyDescent="0.3">
      <c r="A147" s="17"/>
      <c r="B147"/>
      <c r="C147"/>
      <c r="D147"/>
      <c r="E147"/>
      <c r="F147" s="50">
        <v>41791</v>
      </c>
      <c r="G147" s="53">
        <v>143.61000000000001</v>
      </c>
      <c r="H147"/>
      <c r="I147"/>
      <c r="J147" s="107">
        <v>-2.8940428697004306E-2</v>
      </c>
      <c r="K147" s="54"/>
      <c r="L147" s="107">
        <v>-2.8940428697004306E-2</v>
      </c>
    </row>
    <row r="148" spans="1:12" s="15" customFormat="1" x14ac:dyDescent="0.3">
      <c r="A148" s="17"/>
      <c r="B148"/>
      <c r="C148"/>
      <c r="D148"/>
      <c r="E148"/>
      <c r="F148" s="50">
        <v>41821</v>
      </c>
      <c r="G148" s="53">
        <v>144.81</v>
      </c>
      <c r="H148"/>
      <c r="I148"/>
      <c r="J148" s="107">
        <v>-1.4093137254901911E-2</v>
      </c>
      <c r="K148" s="54"/>
      <c r="L148" s="107">
        <v>-1.4093137254901911E-2</v>
      </c>
    </row>
    <row r="149" spans="1:12" s="15" customFormat="1" x14ac:dyDescent="0.3">
      <c r="A149" s="17"/>
      <c r="B149"/>
      <c r="C149"/>
      <c r="D149"/>
      <c r="E149"/>
      <c r="F149" s="50">
        <v>41852</v>
      </c>
      <c r="G149" s="53">
        <v>145.58000000000001</v>
      </c>
      <c r="H149"/>
      <c r="I149"/>
      <c r="J149" s="107">
        <v>-4.9213943950785488E-3</v>
      </c>
      <c r="K149" s="54"/>
      <c r="L149" s="107">
        <v>-4.9213943950785488E-3</v>
      </c>
    </row>
    <row r="150" spans="1:12" s="15" customFormat="1" x14ac:dyDescent="0.3">
      <c r="A150" s="17"/>
      <c r="B150"/>
      <c r="C150"/>
      <c r="D150"/>
      <c r="E150"/>
      <c r="F150" s="50">
        <v>41883</v>
      </c>
      <c r="G150" s="53">
        <v>146.24</v>
      </c>
      <c r="H150"/>
      <c r="I150"/>
      <c r="J150" s="107">
        <v>1.8313487918668603E-2</v>
      </c>
      <c r="K150" s="54"/>
      <c r="L150" s="107">
        <v>1.8313487918668603E-2</v>
      </c>
    </row>
    <row r="151" spans="1:12" s="15" customFormat="1" x14ac:dyDescent="0.3">
      <c r="A151" s="17"/>
      <c r="B151"/>
      <c r="C151"/>
      <c r="D151"/>
      <c r="E151"/>
      <c r="F151" s="50">
        <v>41913</v>
      </c>
      <c r="G151" s="53">
        <v>145.41999999999999</v>
      </c>
      <c r="H151"/>
      <c r="I151"/>
      <c r="J151" s="107">
        <v>4.2124162695944545E-3</v>
      </c>
      <c r="K151" s="54"/>
      <c r="L151" s="107">
        <v>4.2124162695944545E-3</v>
      </c>
    </row>
    <row r="152" spans="1:12" s="15" customFormat="1" x14ac:dyDescent="0.3">
      <c r="A152" s="17"/>
      <c r="B152"/>
      <c r="C152"/>
      <c r="D152"/>
      <c r="E152"/>
      <c r="F152" s="50">
        <v>41944</v>
      </c>
      <c r="G152" s="53">
        <v>145.56</v>
      </c>
      <c r="H152"/>
      <c r="I152"/>
      <c r="J152" s="107">
        <v>-1.373815084489971E-4</v>
      </c>
      <c r="K152" s="54"/>
      <c r="L152" s="107">
        <v>-1.373815084489971E-4</v>
      </c>
    </row>
    <row r="153" spans="1:12" s="15" customFormat="1" x14ac:dyDescent="0.3">
      <c r="A153" s="17"/>
      <c r="B153"/>
      <c r="C153"/>
      <c r="D153"/>
      <c r="E153"/>
      <c r="F153" s="50">
        <v>41974</v>
      </c>
      <c r="G153" s="53">
        <v>146.21</v>
      </c>
      <c r="H153"/>
      <c r="I153"/>
      <c r="J153" s="107">
        <v>-2.0514223194745274E-4</v>
      </c>
      <c r="K153" s="54"/>
      <c r="L153" s="107">
        <v>-2.0514223194745274E-4</v>
      </c>
    </row>
    <row r="154" spans="1:12" s="15" customFormat="1" x14ac:dyDescent="0.3">
      <c r="A154" s="17"/>
      <c r="B154"/>
      <c r="C154"/>
      <c r="D154"/>
      <c r="E154"/>
      <c r="F154" s="50">
        <v>42005</v>
      </c>
      <c r="G154" s="53">
        <v>144.96</v>
      </c>
      <c r="H154"/>
      <c r="I154"/>
      <c r="J154" s="107">
        <v>-3.1632512721769812E-3</v>
      </c>
      <c r="K154" s="54"/>
      <c r="L154" s="107">
        <v>-3.1632512721769812E-3</v>
      </c>
    </row>
    <row r="155" spans="1:12" s="15" customFormat="1" x14ac:dyDescent="0.3">
      <c r="A155" s="17"/>
      <c r="B155"/>
      <c r="C155"/>
      <c r="D155"/>
      <c r="E155"/>
      <c r="F155" s="50">
        <v>42036</v>
      </c>
      <c r="G155" s="53">
        <v>143.97999999999999</v>
      </c>
      <c r="H155"/>
      <c r="I155"/>
      <c r="J155" s="107">
        <v>-1.0854630392965192E-2</v>
      </c>
      <c r="K155" s="54"/>
      <c r="L155" s="107">
        <v>-1.0854630392965192E-2</v>
      </c>
    </row>
    <row r="156" spans="1:12" s="15" customFormat="1" x14ac:dyDescent="0.3">
      <c r="A156" s="17"/>
      <c r="B156"/>
      <c r="C156"/>
      <c r="D156"/>
      <c r="E156"/>
      <c r="F156" s="50">
        <v>42064</v>
      </c>
      <c r="G156" s="53">
        <v>143.72999999999999</v>
      </c>
      <c r="H156"/>
      <c r="I156"/>
      <c r="J156" s="107">
        <v>-1.6961904110526116E-2</v>
      </c>
      <c r="K156" s="54"/>
      <c r="L156" s="107">
        <v>-1.6961904110526116E-2</v>
      </c>
    </row>
    <row r="157" spans="1:12" s="15" customFormat="1" x14ac:dyDescent="0.3">
      <c r="A157" s="17"/>
      <c r="B157"/>
      <c r="C157"/>
      <c r="D157"/>
      <c r="E157"/>
      <c r="F157" s="50">
        <v>42095</v>
      </c>
      <c r="G157" s="53">
        <v>142.38</v>
      </c>
      <c r="H157"/>
      <c r="I157"/>
      <c r="J157" s="107">
        <v>-1.7798013245033162E-2</v>
      </c>
      <c r="K157" s="54"/>
      <c r="L157" s="107">
        <v>-1.7798013245033162E-2</v>
      </c>
    </row>
    <row r="158" spans="1:12" s="15" customFormat="1" x14ac:dyDescent="0.3">
      <c r="A158" s="17"/>
      <c r="B158"/>
      <c r="C158"/>
      <c r="D158"/>
      <c r="E158"/>
      <c r="F158" s="50">
        <v>42125</v>
      </c>
      <c r="G158" s="53">
        <v>141.08000000000001</v>
      </c>
      <c r="H158"/>
      <c r="I158"/>
      <c r="J158" s="107">
        <v>-2.0141686345325538E-2</v>
      </c>
      <c r="K158" s="54"/>
      <c r="L158" s="107">
        <v>-2.0141686345325538E-2</v>
      </c>
    </row>
    <row r="159" spans="1:12" s="15" customFormat="1" x14ac:dyDescent="0.3">
      <c r="A159" s="17"/>
      <c r="B159"/>
      <c r="C159"/>
      <c r="D159"/>
      <c r="E159"/>
      <c r="F159" s="50">
        <v>42156</v>
      </c>
      <c r="G159" s="53">
        <v>139.58000000000001</v>
      </c>
      <c r="H159"/>
      <c r="I159"/>
      <c r="J159" s="107">
        <v>-2.8873582411465759E-2</v>
      </c>
      <c r="K159" s="54"/>
      <c r="L159" s="107">
        <v>-2.8873582411465759E-2</v>
      </c>
    </row>
    <row r="160" spans="1:12" s="15" customFormat="1" x14ac:dyDescent="0.3">
      <c r="A160" s="17"/>
      <c r="B160"/>
      <c r="C160"/>
      <c r="D160"/>
      <c r="E160"/>
      <c r="F160" s="50">
        <v>42186</v>
      </c>
      <c r="G160" s="53">
        <v>138.66999999999999</v>
      </c>
      <c r="H160"/>
      <c r="I160"/>
      <c r="J160" s="107">
        <v>-2.6057030481809296E-2</v>
      </c>
      <c r="K160" s="54"/>
      <c r="L160" s="107">
        <v>-2.6057030481809296E-2</v>
      </c>
    </row>
    <row r="161" spans="1:12" s="15" customFormat="1" x14ac:dyDescent="0.3">
      <c r="A161" s="17"/>
      <c r="B161"/>
      <c r="C161"/>
      <c r="D161"/>
      <c r="E161"/>
      <c r="F161" s="50">
        <v>42217</v>
      </c>
      <c r="G161" s="53">
        <v>138.93</v>
      </c>
      <c r="H161"/>
      <c r="I161"/>
      <c r="J161" s="107">
        <v>-1.5239580379926343E-2</v>
      </c>
      <c r="K161" s="54"/>
      <c r="L161" s="107">
        <v>-1.5239580379926343E-2</v>
      </c>
    </row>
    <row r="162" spans="1:12" s="15" customFormat="1" x14ac:dyDescent="0.3">
      <c r="A162" s="17"/>
      <c r="B162"/>
      <c r="C162"/>
      <c r="D162"/>
      <c r="E162"/>
      <c r="F162" s="50">
        <v>42248</v>
      </c>
      <c r="G162" s="53">
        <v>137.57</v>
      </c>
      <c r="H162"/>
      <c r="I162"/>
      <c r="J162" s="107">
        <v>-1.4400343888809397E-2</v>
      </c>
      <c r="K162" s="54"/>
      <c r="L162" s="107">
        <v>-1.4400343888809397E-2</v>
      </c>
    </row>
    <row r="163" spans="1:12" s="15" customFormat="1" x14ac:dyDescent="0.3">
      <c r="A163" s="17"/>
      <c r="B163"/>
      <c r="C163"/>
      <c r="D163"/>
      <c r="E163"/>
      <c r="F163" s="50">
        <v>42278</v>
      </c>
      <c r="G163" s="53">
        <v>138.51</v>
      </c>
      <c r="H163"/>
      <c r="I163"/>
      <c r="J163" s="107">
        <v>-1.1538184178264688E-3</v>
      </c>
      <c r="K163" s="54"/>
      <c r="L163" s="107">
        <v>-1.1538184178264688E-3</v>
      </c>
    </row>
    <row r="164" spans="1:12" s="15" customFormat="1" x14ac:dyDescent="0.3">
      <c r="A164" s="17"/>
      <c r="B164"/>
      <c r="C164"/>
      <c r="D164"/>
      <c r="E164"/>
      <c r="F164" s="50">
        <v>42309</v>
      </c>
      <c r="G164" s="53">
        <v>136.68</v>
      </c>
      <c r="H164"/>
      <c r="I164"/>
      <c r="J164" s="107">
        <v>-1.6195206218959202E-2</v>
      </c>
      <c r="K164" s="54"/>
      <c r="L164" s="107">
        <v>-1.6195206218959202E-2</v>
      </c>
    </row>
    <row r="165" spans="1:12" s="15" customFormat="1" x14ac:dyDescent="0.3">
      <c r="A165" s="17"/>
      <c r="B165"/>
      <c r="C165"/>
      <c r="D165"/>
      <c r="E165"/>
      <c r="F165" s="50">
        <v>42339</v>
      </c>
      <c r="G165" s="53">
        <v>136.31</v>
      </c>
      <c r="H165"/>
      <c r="I165"/>
      <c r="J165" s="107">
        <v>-9.1589736134330968E-3</v>
      </c>
      <c r="K165" s="54"/>
      <c r="L165" s="107">
        <v>-9.1589736134330968E-3</v>
      </c>
    </row>
    <row r="166" spans="1:12" s="15" customFormat="1" x14ac:dyDescent="0.3">
      <c r="A166" s="17"/>
      <c r="B166"/>
      <c r="C166"/>
      <c r="D166"/>
      <c r="E166"/>
      <c r="F166" s="50">
        <v>42370</v>
      </c>
      <c r="G166" s="53">
        <v>135.52000000000001</v>
      </c>
      <c r="H166"/>
      <c r="I166"/>
      <c r="J166" s="107">
        <v>-2.1586889033282652E-2</v>
      </c>
      <c r="K166" s="54"/>
      <c r="L166" s="107">
        <v>-2.1586889033282652E-2</v>
      </c>
    </row>
    <row r="167" spans="1:12" s="15" customFormat="1" x14ac:dyDescent="0.3">
      <c r="A167" s="17"/>
      <c r="B167"/>
      <c r="C167"/>
      <c r="D167"/>
      <c r="E167"/>
      <c r="F167" s="50">
        <v>42401</v>
      </c>
      <c r="G167" s="53">
        <v>135.51</v>
      </c>
      <c r="H167"/>
      <c r="I167"/>
      <c r="J167" s="107">
        <v>-8.5601404741002529E-3</v>
      </c>
      <c r="K167" s="54"/>
      <c r="L167" s="107">
        <v>-8.5601404741002529E-3</v>
      </c>
    </row>
    <row r="168" spans="1:12" s="15" customFormat="1" x14ac:dyDescent="0.3">
      <c r="A168" s="17"/>
      <c r="B168"/>
      <c r="C168"/>
      <c r="D168"/>
      <c r="E168"/>
      <c r="F168" s="50">
        <v>42430</v>
      </c>
      <c r="G168" s="53">
        <v>134.61000000000001</v>
      </c>
      <c r="H168"/>
      <c r="I168"/>
      <c r="J168" s="107">
        <v>-1.2471572151712906E-2</v>
      </c>
      <c r="K168" s="54"/>
      <c r="L168" s="107">
        <v>-1.2471572151712906E-2</v>
      </c>
    </row>
    <row r="169" spans="1:12" s="15" customFormat="1" x14ac:dyDescent="0.3">
      <c r="A169" s="17"/>
      <c r="B169"/>
      <c r="C169"/>
      <c r="D169"/>
      <c r="E169"/>
      <c r="F169" s="50">
        <v>42461</v>
      </c>
      <c r="G169" s="53">
        <v>134.72999999999999</v>
      </c>
      <c r="H169"/>
      <c r="I169"/>
      <c r="J169" s="107">
        <v>-5.8293978748525932E-3</v>
      </c>
      <c r="K169" s="54"/>
      <c r="L169" s="107">
        <v>-5.8293978748525932E-3</v>
      </c>
    </row>
    <row r="170" spans="1:12" s="15" customFormat="1" x14ac:dyDescent="0.3">
      <c r="A170" s="17"/>
      <c r="B170"/>
      <c r="C170"/>
      <c r="D170"/>
      <c r="E170"/>
      <c r="F170" s="50">
        <v>42491</v>
      </c>
      <c r="G170" s="53">
        <v>134.29</v>
      </c>
      <c r="H170"/>
      <c r="I170"/>
      <c r="J170" s="107">
        <v>-9.0030256069663084E-3</v>
      </c>
      <c r="K170" s="54"/>
      <c r="L170" s="107">
        <v>-9.0030256069663084E-3</v>
      </c>
    </row>
    <row r="171" spans="1:12" s="15" customFormat="1" x14ac:dyDescent="0.3">
      <c r="A171" s="17"/>
      <c r="B171"/>
      <c r="C171"/>
      <c r="D171"/>
      <c r="E171"/>
      <c r="F171" s="50">
        <v>42522</v>
      </c>
      <c r="G171" s="53">
        <v>134.84</v>
      </c>
      <c r="H171"/>
      <c r="I171"/>
      <c r="J171" s="107">
        <v>1.7086397741623571E-3</v>
      </c>
      <c r="K171" s="54"/>
      <c r="L171" s="107">
        <v>1.7086397741623571E-3</v>
      </c>
    </row>
    <row r="172" spans="1:12" s="15" customFormat="1" x14ac:dyDescent="0.3">
      <c r="A172" s="17"/>
      <c r="B172"/>
      <c r="C172"/>
      <c r="D172"/>
      <c r="E172"/>
      <c r="F172" s="50">
        <v>42552</v>
      </c>
      <c r="G172" s="53">
        <v>134.61000000000001</v>
      </c>
      <c r="H172"/>
      <c r="I172"/>
      <c r="J172" s="107">
        <v>-8.9067022934741225E-4</v>
      </c>
      <c r="K172" s="54"/>
      <c r="L172" s="107">
        <v>-8.9067022934741225E-4</v>
      </c>
    </row>
    <row r="173" spans="1:12" s="15" customFormat="1" x14ac:dyDescent="0.3">
      <c r="A173" s="17"/>
      <c r="B173"/>
      <c r="C173"/>
      <c r="D173"/>
      <c r="E173"/>
      <c r="F173" s="50">
        <v>42583</v>
      </c>
      <c r="G173" s="53">
        <v>134</v>
      </c>
      <c r="H173"/>
      <c r="I173"/>
      <c r="J173" s="107">
        <v>-2.159505547695173E-3</v>
      </c>
      <c r="K173" s="54"/>
      <c r="L173" s="107">
        <v>-2.159505547695173E-3</v>
      </c>
    </row>
    <row r="174" spans="1:12" s="15" customFormat="1" x14ac:dyDescent="0.3">
      <c r="A174" s="17"/>
      <c r="B174"/>
      <c r="C174"/>
      <c r="D174"/>
      <c r="E174"/>
      <c r="F174" s="50">
        <v>42614</v>
      </c>
      <c r="G174" s="53">
        <v>133.75</v>
      </c>
      <c r="H174"/>
      <c r="I174"/>
      <c r="J174" s="107">
        <v>-8.083654701868892E-3</v>
      </c>
      <c r="K174" s="54"/>
      <c r="L174" s="107">
        <v>-8.083654701868892E-3</v>
      </c>
    </row>
    <row r="175" spans="1:12" s="15" customFormat="1" x14ac:dyDescent="0.3">
      <c r="A175" s="17"/>
      <c r="B175"/>
      <c r="C175"/>
      <c r="D175"/>
      <c r="E175"/>
      <c r="F175" s="50">
        <v>42644</v>
      </c>
      <c r="G175" s="53">
        <v>133.30000000000001</v>
      </c>
      <c r="H175"/>
      <c r="I175"/>
      <c r="J175" s="107">
        <v>-9.7318178441423431E-3</v>
      </c>
      <c r="K175" s="54"/>
      <c r="L175" s="107">
        <v>-9.7318178441423431E-3</v>
      </c>
    </row>
    <row r="176" spans="1:12" s="15" customFormat="1" x14ac:dyDescent="0.3">
      <c r="A176" s="17"/>
      <c r="B176"/>
      <c r="C176"/>
      <c r="D176"/>
      <c r="E176"/>
      <c r="F176" s="50">
        <v>42675</v>
      </c>
      <c r="G176" s="53">
        <v>133.02000000000001</v>
      </c>
      <c r="H176"/>
      <c r="I176"/>
      <c r="J176" s="107">
        <v>-7.3134328358208656E-3</v>
      </c>
      <c r="K176" s="54"/>
      <c r="L176" s="107">
        <v>-7.3134328358208656E-3</v>
      </c>
    </row>
    <row r="177" spans="1:12" s="15" customFormat="1" x14ac:dyDescent="0.3">
      <c r="A177" s="17"/>
      <c r="B177"/>
      <c r="C177"/>
      <c r="D177"/>
      <c r="E177"/>
      <c r="F177" s="50">
        <v>42705</v>
      </c>
      <c r="G177" s="53">
        <v>132.36000000000001</v>
      </c>
      <c r="H177"/>
      <c r="I177"/>
      <c r="J177" s="107">
        <v>-1.0392523364485928E-2</v>
      </c>
      <c r="K177" s="54"/>
      <c r="L177" s="107">
        <v>-1.0392523364485928E-2</v>
      </c>
    </row>
    <row r="178" spans="1:12" s="15" customFormat="1" x14ac:dyDescent="0.3">
      <c r="A178" s="17"/>
      <c r="B178"/>
      <c r="C178"/>
      <c r="D178"/>
      <c r="E178"/>
      <c r="F178" s="50">
        <v>42736</v>
      </c>
      <c r="G178" s="53">
        <v>133.37</v>
      </c>
      <c r="H178"/>
      <c r="I178"/>
      <c r="J178" s="107">
        <v>5.251312828207233E-4</v>
      </c>
      <c r="K178" s="54"/>
      <c r="L178" s="107">
        <v>5.251312828207233E-4</v>
      </c>
    </row>
    <row r="179" spans="1:12" s="15" customFormat="1" x14ac:dyDescent="0.3">
      <c r="A179" s="17"/>
      <c r="B179"/>
      <c r="C179"/>
      <c r="D179"/>
      <c r="E179"/>
      <c r="F179" s="50">
        <v>42767</v>
      </c>
      <c r="G179" s="53">
        <v>135.4</v>
      </c>
      <c r="H179"/>
      <c r="I179"/>
      <c r="J179" s="107">
        <v>1.7892046308825682E-2</v>
      </c>
      <c r="K179" s="54"/>
      <c r="L179" s="107">
        <v>1.7892046308825682E-2</v>
      </c>
    </row>
    <row r="180" spans="1:12" s="15" customFormat="1" x14ac:dyDescent="0.3">
      <c r="A180" s="17"/>
      <c r="B180"/>
      <c r="C180"/>
      <c r="D180"/>
      <c r="E180"/>
      <c r="F180" s="50">
        <v>42795</v>
      </c>
      <c r="G180" s="53">
        <v>135.65</v>
      </c>
      <c r="H180"/>
      <c r="I180"/>
      <c r="J180" s="107">
        <v>2.4856452100332271E-2</v>
      </c>
      <c r="K180" s="54"/>
      <c r="L180" s="107">
        <v>2.4856452100332271E-2</v>
      </c>
    </row>
    <row r="181" spans="1:12" s="15" customFormat="1" x14ac:dyDescent="0.3">
      <c r="A181" s="17"/>
      <c r="B181"/>
      <c r="C181"/>
      <c r="D181"/>
      <c r="E181"/>
      <c r="F181" s="50">
        <v>42826</v>
      </c>
      <c r="G181" s="53">
        <v>135.77000000000001</v>
      </c>
      <c r="H181"/>
      <c r="I181"/>
      <c r="J181" s="107">
        <v>1.7995051360875758E-2</v>
      </c>
      <c r="K181" s="54"/>
      <c r="L181" s="107">
        <v>1.7995051360875758E-2</v>
      </c>
    </row>
    <row r="182" spans="1:12" s="15" customFormat="1" x14ac:dyDescent="0.3">
      <c r="A182" s="17"/>
      <c r="B182"/>
      <c r="C182"/>
      <c r="D182"/>
      <c r="E182"/>
      <c r="F182" s="50">
        <v>42856</v>
      </c>
      <c r="G182" s="53">
        <v>135.16999999999999</v>
      </c>
      <c r="H182"/>
      <c r="I182"/>
      <c r="J182" s="107">
        <v>-1.6986706056131284E-3</v>
      </c>
      <c r="K182" s="54"/>
      <c r="L182" s="107">
        <v>-1.6986706056131284E-3</v>
      </c>
    </row>
    <row r="183" spans="1:12" s="15" customFormat="1" x14ac:dyDescent="0.3">
      <c r="A183" s="17"/>
      <c r="B183"/>
      <c r="C183"/>
      <c r="D183"/>
      <c r="E183"/>
      <c r="F183" s="50">
        <v>42887</v>
      </c>
      <c r="G183" s="53">
        <v>136.04</v>
      </c>
      <c r="H183"/>
      <c r="I183"/>
      <c r="J183" s="107">
        <v>2.8750460744562112E-3</v>
      </c>
      <c r="K183" s="54"/>
      <c r="L183" s="107">
        <v>2.8750460744562112E-3</v>
      </c>
    </row>
    <row r="184" spans="1:12" s="15" customFormat="1" x14ac:dyDescent="0.3">
      <c r="A184" s="17"/>
      <c r="B184"/>
      <c r="C184"/>
      <c r="D184"/>
      <c r="E184"/>
      <c r="F184" s="50">
        <v>42917</v>
      </c>
      <c r="G184" s="53">
        <v>136.49</v>
      </c>
      <c r="H184"/>
      <c r="I184"/>
      <c r="J184" s="107">
        <v>5.3030861014951025E-3</v>
      </c>
      <c r="K184" s="54"/>
      <c r="L184" s="107">
        <v>5.3030861014951025E-3</v>
      </c>
    </row>
    <row r="185" spans="1:12" s="15" customFormat="1" x14ac:dyDescent="0.3">
      <c r="A185" s="17"/>
      <c r="B185"/>
      <c r="C185"/>
      <c r="D185"/>
      <c r="E185"/>
      <c r="F185" s="50">
        <v>42948</v>
      </c>
      <c r="G185" s="53">
        <v>135.81</v>
      </c>
      <c r="H185"/>
      <c r="I185"/>
      <c r="J185" s="107">
        <v>4.7347784271658533E-3</v>
      </c>
      <c r="K185" s="54"/>
      <c r="L185" s="107">
        <v>4.7347784271658533E-3</v>
      </c>
    </row>
    <row r="186" spans="1:12" s="15" customFormat="1" x14ac:dyDescent="0.3">
      <c r="A186" s="17"/>
      <c r="B186"/>
      <c r="C186"/>
      <c r="D186"/>
      <c r="E186"/>
      <c r="F186" s="50">
        <v>42979</v>
      </c>
      <c r="G186" s="53">
        <v>135.49</v>
      </c>
      <c r="H186"/>
      <c r="I186"/>
      <c r="J186" s="107">
        <v>-4.0429285504262058E-3</v>
      </c>
      <c r="K186" s="54"/>
      <c r="L186" s="107">
        <v>-4.0429285504262058E-3</v>
      </c>
    </row>
    <row r="187" spans="1:12" s="15" customFormat="1" x14ac:dyDescent="0.3">
      <c r="A187" s="17"/>
      <c r="B187"/>
      <c r="C187"/>
      <c r="D187"/>
      <c r="E187"/>
      <c r="F187" s="50">
        <v>43009</v>
      </c>
      <c r="G187" s="53">
        <v>135.77000000000001</v>
      </c>
      <c r="H187"/>
      <c r="I187"/>
      <c r="J187" s="107">
        <v>-5.2751117297969996E-3</v>
      </c>
      <c r="K187" s="54"/>
      <c r="L187" s="107">
        <v>-5.2751117297969996E-3</v>
      </c>
    </row>
    <row r="188" spans="1:12" s="15" customFormat="1" x14ac:dyDescent="0.3">
      <c r="A188" s="17"/>
      <c r="B188"/>
      <c r="C188"/>
      <c r="D188"/>
      <c r="E188"/>
      <c r="F188" s="50">
        <v>43040</v>
      </c>
      <c r="G188" s="53">
        <v>135.57</v>
      </c>
      <c r="H188"/>
      <c r="I188"/>
      <c r="J188" s="107">
        <v>-1.7671747294014661E-3</v>
      </c>
      <c r="K188" s="54"/>
      <c r="L188" s="107">
        <v>-1.7671747294014661E-3</v>
      </c>
    </row>
    <row r="189" spans="1:12" s="15" customFormat="1" x14ac:dyDescent="0.3">
      <c r="A189" s="17"/>
      <c r="B189"/>
      <c r="C189"/>
      <c r="D189"/>
      <c r="E189"/>
      <c r="F189" s="50">
        <v>43070</v>
      </c>
      <c r="G189" s="53">
        <v>137.43</v>
      </c>
      <c r="H189"/>
      <c r="I189"/>
      <c r="J189" s="107">
        <v>1.4318399881910082E-2</v>
      </c>
      <c r="K189" s="54"/>
      <c r="L189" s="107">
        <v>1.4318399881910082E-2</v>
      </c>
    </row>
    <row r="190" spans="1:12" s="15" customFormat="1" x14ac:dyDescent="0.3">
      <c r="A190" s="17"/>
      <c r="B190"/>
      <c r="C190"/>
      <c r="D190"/>
      <c r="E190"/>
      <c r="F190" s="50">
        <v>43101</v>
      </c>
      <c r="G190" s="53">
        <v>136.85</v>
      </c>
      <c r="H190"/>
      <c r="I190"/>
      <c r="J190" s="107">
        <v>7.9546291522425427E-3</v>
      </c>
      <c r="K190" s="54"/>
      <c r="L190" s="107">
        <v>7.9546291522425427E-3</v>
      </c>
    </row>
    <row r="191" spans="1:12" s="15" customFormat="1" x14ac:dyDescent="0.3">
      <c r="A191" s="17"/>
      <c r="B191"/>
      <c r="C191"/>
      <c r="D191"/>
      <c r="E191"/>
      <c r="F191" s="50">
        <v>43132</v>
      </c>
      <c r="G191" s="53">
        <v>136.63999999999999</v>
      </c>
      <c r="H191"/>
      <c r="I191"/>
      <c r="J191" s="107">
        <v>7.8926016080254069E-3</v>
      </c>
      <c r="K191" s="54"/>
      <c r="L191" s="107">
        <v>7.8926016080254069E-3</v>
      </c>
    </row>
    <row r="192" spans="1:12" s="15" customFormat="1" x14ac:dyDescent="0.3">
      <c r="A192" s="17"/>
      <c r="B192"/>
      <c r="C192"/>
      <c r="D192"/>
      <c r="E192"/>
      <c r="F192" s="50">
        <v>43160</v>
      </c>
      <c r="G192" s="53">
        <v>137.26</v>
      </c>
      <c r="H192"/>
      <c r="I192"/>
      <c r="J192" s="107">
        <v>-1.2369933784472931E-3</v>
      </c>
      <c r="K192" s="54"/>
      <c r="L192" s="107">
        <v>-1.2369933784472931E-3</v>
      </c>
    </row>
    <row r="193" spans="1:12" s="15" customFormat="1" x14ac:dyDescent="0.3">
      <c r="A193" s="17"/>
      <c r="B193"/>
      <c r="C193"/>
      <c r="D193"/>
      <c r="E193"/>
      <c r="F193" s="50">
        <v>43191</v>
      </c>
      <c r="G193" s="53">
        <v>138.36000000000001</v>
      </c>
      <c r="H193"/>
      <c r="I193"/>
      <c r="J193" s="107">
        <v>1.1033978808915101E-2</v>
      </c>
      <c r="K193" s="54"/>
      <c r="L193" s="107">
        <v>1.1033978808915101E-2</v>
      </c>
    </row>
    <row r="194" spans="1:12" s="15" customFormat="1" x14ac:dyDescent="0.3">
      <c r="A194" s="17"/>
      <c r="B194"/>
      <c r="C194"/>
      <c r="D194"/>
      <c r="E194"/>
      <c r="F194" s="50">
        <v>43221</v>
      </c>
      <c r="G194" s="53">
        <v>133.38999999999999</v>
      </c>
      <c r="H194"/>
      <c r="I194"/>
      <c r="J194" s="107">
        <v>-2.3785128805620559E-2</v>
      </c>
      <c r="K194" s="54"/>
      <c r="L194" s="107">
        <v>-2.3785128805620559E-2</v>
      </c>
    </row>
    <row r="195" spans="1:12" s="15" customFormat="1" x14ac:dyDescent="0.3">
      <c r="A195" s="17"/>
      <c r="B195"/>
      <c r="C195"/>
      <c r="D195"/>
      <c r="E195"/>
      <c r="F195" s="50">
        <v>43252</v>
      </c>
      <c r="G195" s="53">
        <v>137.44</v>
      </c>
      <c r="H195"/>
      <c r="I195"/>
      <c r="J195" s="107">
        <v>1.311379863033757E-3</v>
      </c>
      <c r="K195" s="54"/>
      <c r="L195" s="107">
        <v>1.311379863033757E-3</v>
      </c>
    </row>
    <row r="196" spans="1:12" s="15" customFormat="1" x14ac:dyDescent="0.3">
      <c r="A196" s="17"/>
      <c r="B196"/>
      <c r="C196"/>
      <c r="D196"/>
      <c r="E196"/>
      <c r="F196" s="50">
        <v>43282</v>
      </c>
      <c r="G196" s="53">
        <v>138.04</v>
      </c>
      <c r="H196"/>
      <c r="I196"/>
      <c r="J196" s="107">
        <v>-2.3128071697023911E-3</v>
      </c>
      <c r="K196" s="54"/>
      <c r="L196" s="107">
        <v>-2.3128071697023911E-3</v>
      </c>
    </row>
    <row r="197" spans="1:12" s="15" customFormat="1" x14ac:dyDescent="0.3">
      <c r="A197" s="17"/>
      <c r="B197"/>
      <c r="C197"/>
      <c r="D197"/>
      <c r="E197"/>
      <c r="F197" s="50">
        <v>43313</v>
      </c>
      <c r="G197" s="53">
        <v>139.32</v>
      </c>
      <c r="H197"/>
      <c r="I197"/>
      <c r="J197" s="107">
        <v>4.4456106154884267E-2</v>
      </c>
      <c r="K197" s="54"/>
      <c r="L197" s="107">
        <v>4.4456106154884267E-2</v>
      </c>
    </row>
    <row r="198" spans="1:12" s="15" customFormat="1" x14ac:dyDescent="0.3">
      <c r="A198" s="17"/>
      <c r="B198"/>
      <c r="C198"/>
      <c r="D198"/>
      <c r="E198"/>
      <c r="F198" s="50">
        <v>43344</v>
      </c>
      <c r="G198" s="53">
        <v>137.99</v>
      </c>
      <c r="H198"/>
      <c r="I198"/>
      <c r="J198" s="107">
        <v>4.0017462165309325E-3</v>
      </c>
      <c r="K198" s="54"/>
      <c r="L198" s="107">
        <v>4.0017462165309325E-3</v>
      </c>
    </row>
    <row r="199" spans="1:12" s="15" customFormat="1" x14ac:dyDescent="0.3">
      <c r="A199" s="17"/>
      <c r="B199"/>
      <c r="C199"/>
      <c r="D199"/>
      <c r="E199"/>
      <c r="F199" s="50">
        <v>43374</v>
      </c>
      <c r="G199" s="53">
        <v>138.06</v>
      </c>
      <c r="H199"/>
      <c r="I199"/>
      <c r="J199" s="107">
        <v>1.4488554042313417E-4</v>
      </c>
      <c r="K199" s="54"/>
      <c r="L199" s="107">
        <v>1.4488554042313417E-4</v>
      </c>
    </row>
    <row r="200" spans="1:12" s="15" customFormat="1" x14ac:dyDescent="0.3">
      <c r="A200" s="17"/>
      <c r="B200"/>
      <c r="C200"/>
      <c r="D200"/>
      <c r="E200"/>
      <c r="F200" s="50">
        <v>43405</v>
      </c>
      <c r="G200" s="53">
        <v>137.86000000000001</v>
      </c>
      <c r="H200"/>
      <c r="I200"/>
      <c r="J200" s="107">
        <v>-1.0479471719781697E-2</v>
      </c>
      <c r="K200" s="54"/>
      <c r="L200" s="107">
        <v>-1.0479471719781697E-2</v>
      </c>
    </row>
    <row r="201" spans="1:12" s="15" customFormat="1" x14ac:dyDescent="0.3">
      <c r="A201" s="17"/>
      <c r="B201"/>
      <c r="C201"/>
      <c r="D201"/>
      <c r="E201"/>
      <c r="F201" s="50">
        <v>43435</v>
      </c>
      <c r="G201" s="53">
        <v>138.53</v>
      </c>
      <c r="H201"/>
      <c r="I201"/>
      <c r="J201" s="107">
        <v>3.9133270526849895E-3</v>
      </c>
      <c r="K201" s="54"/>
      <c r="L201" s="107">
        <v>3.9133270526849895E-3</v>
      </c>
    </row>
    <row r="202" spans="1:12" s="15" customFormat="1" x14ac:dyDescent="0.3">
      <c r="A202" s="17"/>
      <c r="B202"/>
      <c r="C202"/>
      <c r="D202"/>
      <c r="E202"/>
      <c r="F202" s="50">
        <v>43466</v>
      </c>
      <c r="G202" s="53">
        <v>138.47999999999999</v>
      </c>
      <c r="H202"/>
      <c r="I202"/>
      <c r="J202" s="107">
        <v>3.042155584528361E-3</v>
      </c>
      <c r="K202" s="54"/>
      <c r="L202" s="107">
        <v>3.042155584528361E-3</v>
      </c>
    </row>
    <row r="203" spans="1:12" s="15" customFormat="1" x14ac:dyDescent="0.3">
      <c r="A203" s="17"/>
      <c r="B203"/>
      <c r="C203"/>
      <c r="D203"/>
      <c r="E203"/>
      <c r="F203" s="50">
        <v>43497</v>
      </c>
      <c r="G203" s="53">
        <v>137.38</v>
      </c>
      <c r="H203"/>
      <c r="I203"/>
      <c r="J203" s="107">
        <v>-3.481793123458754E-3</v>
      </c>
      <c r="K203" s="54"/>
      <c r="L203" s="107">
        <v>-3.481793123458754E-3</v>
      </c>
    </row>
    <row r="204" spans="1:12" s="15" customFormat="1" x14ac:dyDescent="0.3">
      <c r="A204" s="17"/>
      <c r="B204"/>
      <c r="C204"/>
      <c r="D204"/>
      <c r="E204"/>
      <c r="F204" s="50">
        <v>43525</v>
      </c>
      <c r="G204" s="53">
        <v>138.41999999999999</v>
      </c>
      <c r="H204"/>
      <c r="I204"/>
      <c r="J204" s="107">
        <v>-7.9405182992864365E-4</v>
      </c>
      <c r="K204" s="54"/>
      <c r="L204" s="107">
        <v>-7.9405182992864365E-4</v>
      </c>
    </row>
    <row r="205" spans="1:12" s="15" customFormat="1" x14ac:dyDescent="0.3">
      <c r="A205" s="17"/>
      <c r="B205"/>
      <c r="C205"/>
      <c r="D205"/>
      <c r="E205"/>
      <c r="F205" s="50">
        <v>43556</v>
      </c>
      <c r="G205" s="53">
        <v>138.09</v>
      </c>
      <c r="H205"/>
      <c r="I205"/>
      <c r="J205" s="107">
        <v>-2.8162911611784303E-3</v>
      </c>
      <c r="K205" s="54"/>
      <c r="L205" s="107">
        <v>-2.8162911611784303E-3</v>
      </c>
    </row>
    <row r="206" spans="1:12" s="15" customFormat="1" x14ac:dyDescent="0.3">
      <c r="A206" s="17"/>
      <c r="B206"/>
      <c r="C206"/>
      <c r="D206"/>
      <c r="E206"/>
      <c r="F206" s="50">
        <v>43586</v>
      </c>
      <c r="G206" s="53">
        <v>138.96</v>
      </c>
      <c r="H206"/>
      <c r="I206"/>
      <c r="J206" s="107">
        <v>1.1500946280390334E-2</v>
      </c>
      <c r="K206" s="54"/>
      <c r="L206" s="107">
        <v>1.1500946280390334E-2</v>
      </c>
    </row>
    <row r="207" spans="1:12" s="15" customFormat="1" x14ac:dyDescent="0.3">
      <c r="A207" s="17"/>
      <c r="B207"/>
      <c r="C207"/>
      <c r="D207"/>
      <c r="E207"/>
      <c r="F207" s="50">
        <v>43617</v>
      </c>
      <c r="G207" s="53">
        <v>138.99</v>
      </c>
      <c r="H207"/>
      <c r="I207"/>
      <c r="J207" s="107">
        <v>4.1179020372779096E-3</v>
      </c>
      <c r="K207" s="54"/>
      <c r="L207" s="107">
        <v>4.1179020372779096E-3</v>
      </c>
    </row>
    <row r="208" spans="1:12" s="15" customFormat="1" x14ac:dyDescent="0.3">
      <c r="A208" s="17"/>
      <c r="B208"/>
      <c r="C208"/>
      <c r="D208"/>
      <c r="E208"/>
      <c r="F208" s="50">
        <v>43647</v>
      </c>
      <c r="G208" s="53">
        <v>138.56</v>
      </c>
      <c r="H208"/>
      <c r="I208"/>
      <c r="J208" s="107">
        <v>3.4035773770728639E-3</v>
      </c>
      <c r="K208" s="54"/>
      <c r="L208" s="107">
        <v>3.4035773770728639E-3</v>
      </c>
    </row>
    <row r="209" spans="1:12" s="15" customFormat="1" x14ac:dyDescent="0.3">
      <c r="A209" s="17"/>
      <c r="B209"/>
      <c r="C209"/>
      <c r="D209"/>
      <c r="E209"/>
      <c r="F209" s="50">
        <v>43678</v>
      </c>
      <c r="G209" s="53">
        <v>138.59</v>
      </c>
      <c r="H209"/>
      <c r="I209"/>
      <c r="J209" s="107">
        <v>-2.6626367299942277E-3</v>
      </c>
      <c r="K209" s="54"/>
      <c r="L209" s="107">
        <v>-2.6626367299942277E-3</v>
      </c>
    </row>
    <row r="210" spans="1:12" s="15" customFormat="1" x14ac:dyDescent="0.3">
      <c r="A210" s="17"/>
      <c r="B210"/>
      <c r="C210"/>
      <c r="D210"/>
      <c r="E210"/>
      <c r="F210" s="50">
        <v>43709</v>
      </c>
      <c r="G210" s="53">
        <v>139.09</v>
      </c>
      <c r="H210"/>
      <c r="I210"/>
      <c r="J210" s="107">
        <v>7.1947622131074418E-4</v>
      </c>
      <c r="K210" s="54"/>
      <c r="L210" s="107">
        <v>7.1947622131074418E-4</v>
      </c>
    </row>
    <row r="211" spans="1:12" s="15" customFormat="1" x14ac:dyDescent="0.3">
      <c r="A211" s="17"/>
      <c r="B211"/>
      <c r="C211"/>
      <c r="D211"/>
      <c r="E211"/>
      <c r="F211" s="50">
        <v>43739</v>
      </c>
      <c r="G211" s="53">
        <v>139.96</v>
      </c>
      <c r="H211"/>
      <c r="I211"/>
      <c r="J211" s="107">
        <v>1.0103926096997728E-2</v>
      </c>
      <c r="K211" s="54"/>
      <c r="L211" s="107">
        <v>1.0103926096997728E-2</v>
      </c>
    </row>
    <row r="212" spans="1:12" s="15" customFormat="1" x14ac:dyDescent="0.3">
      <c r="A212" s="17"/>
      <c r="B212"/>
      <c r="C212"/>
      <c r="D212"/>
      <c r="E212"/>
      <c r="F212" s="50">
        <v>43770</v>
      </c>
      <c r="G212" s="53">
        <v>138.79</v>
      </c>
      <c r="H212"/>
      <c r="I212"/>
      <c r="J212" s="107">
        <v>1.4431055631718426E-3</v>
      </c>
      <c r="K212" s="54"/>
      <c r="L212" s="107">
        <v>1.4431055631718426E-3</v>
      </c>
    </row>
    <row r="213" spans="1:12" s="15" customFormat="1" x14ac:dyDescent="0.3">
      <c r="A213" s="17"/>
      <c r="B213"/>
      <c r="C213"/>
      <c r="D213"/>
      <c r="E213"/>
      <c r="F213" s="50">
        <v>43800</v>
      </c>
      <c r="G213" s="53">
        <v>138.09</v>
      </c>
      <c r="H213"/>
      <c r="I213"/>
      <c r="J213" s="107">
        <v>-7.1895894744410382E-3</v>
      </c>
      <c r="K213" s="54"/>
      <c r="L213" s="107">
        <v>-7.1895894744410382E-3</v>
      </c>
    </row>
    <row r="214" spans="1:12" s="15" customFormat="1" x14ac:dyDescent="0.3">
      <c r="A214" s="17"/>
      <c r="B214"/>
      <c r="C214"/>
      <c r="D214"/>
      <c r="E214"/>
      <c r="F214" s="50">
        <v>43831</v>
      </c>
      <c r="G214" s="53">
        <v>138.83000000000001</v>
      </c>
      <c r="H214"/>
      <c r="I214"/>
      <c r="J214" s="107">
        <v>-8.073735352957967E-3</v>
      </c>
      <c r="K214" s="54"/>
      <c r="L214" s="107">
        <v>-8.073735352957967E-3</v>
      </c>
    </row>
    <row r="215" spans="1:12" s="15" customFormat="1" x14ac:dyDescent="0.3">
      <c r="A215" s="17"/>
      <c r="B215"/>
      <c r="C215"/>
      <c r="D215"/>
      <c r="E215"/>
      <c r="F215" s="50">
        <v>43862</v>
      </c>
      <c r="G215" s="53">
        <v>139.36000000000001</v>
      </c>
      <c r="H215"/>
      <c r="I215"/>
      <c r="J215" s="107">
        <v>4.1069241299807047E-3</v>
      </c>
      <c r="K215" s="54"/>
      <c r="L215" s="107">
        <v>4.1069241299807047E-3</v>
      </c>
    </row>
    <row r="216" spans="1:12" s="15" customFormat="1" x14ac:dyDescent="0.3">
      <c r="A216" s="17"/>
      <c r="B216"/>
      <c r="C216"/>
      <c r="D216"/>
      <c r="E216"/>
      <c r="F216" s="50">
        <v>43891</v>
      </c>
      <c r="G216" s="53">
        <v>132.13</v>
      </c>
      <c r="H216"/>
      <c r="I216"/>
      <c r="J216" s="107">
        <v>-4.316025780288224E-2</v>
      </c>
      <c r="K216" s="54"/>
      <c r="L216" s="107">
        <v>-4.316025780288224E-2</v>
      </c>
    </row>
    <row r="217" spans="1:12" s="15" customFormat="1" x14ac:dyDescent="0.3">
      <c r="A217" s="17"/>
      <c r="B217"/>
      <c r="C217"/>
      <c r="D217"/>
      <c r="E217"/>
      <c r="F217" s="50">
        <v>43922</v>
      </c>
      <c r="G217" s="53">
        <v>118.98</v>
      </c>
      <c r="H217"/>
      <c r="I217"/>
      <c r="J217" s="107">
        <v>-0.14298062378448462</v>
      </c>
      <c r="K217" s="54"/>
      <c r="L217" s="107">
        <v>-0.14298062378448462</v>
      </c>
    </row>
    <row r="218" spans="1:12" s="15" customFormat="1" x14ac:dyDescent="0.3">
      <c r="A218" s="17"/>
      <c r="B218"/>
      <c r="C218"/>
      <c r="D218"/>
      <c r="E218"/>
      <c r="F218" s="50">
        <v>43952</v>
      </c>
      <c r="G218" s="53">
        <v>121.47</v>
      </c>
      <c r="H218"/>
      <c r="I218"/>
      <c r="J218" s="107">
        <v>-0.12837256027554544</v>
      </c>
      <c r="K218" s="54"/>
      <c r="L218" s="107">
        <v>-0.12837256027554544</v>
      </c>
    </row>
    <row r="219" spans="1:12" s="15" customFormat="1" x14ac:dyDescent="0.3">
      <c r="A219" s="17"/>
      <c r="B219"/>
      <c r="C219"/>
      <c r="D219"/>
      <c r="E219"/>
      <c r="F219" s="50">
        <v>43983</v>
      </c>
      <c r="G219" s="53">
        <v>127.62</v>
      </c>
      <c r="H219"/>
      <c r="I219"/>
      <c r="J219" s="107">
        <v>-3.4133050783319407E-2</v>
      </c>
      <c r="K219" s="54"/>
      <c r="L219" s="107">
        <v>-3.4133050783319407E-2</v>
      </c>
    </row>
    <row r="220" spans="1:12" s="15" customFormat="1" x14ac:dyDescent="0.3">
      <c r="A220" s="17"/>
      <c r="B220"/>
      <c r="C220"/>
      <c r="D220"/>
      <c r="E220"/>
      <c r="F220" s="50">
        <v>44013</v>
      </c>
      <c r="G220" s="53">
        <v>131.76</v>
      </c>
      <c r="H220"/>
      <c r="I220"/>
      <c r="J220" s="107">
        <v>0.10741301059001507</v>
      </c>
      <c r="K220" s="54"/>
      <c r="L220" s="107">
        <v>0.10741301059001507</v>
      </c>
    </row>
    <row r="221" spans="1:12" s="15" customFormat="1" x14ac:dyDescent="0.3">
      <c r="A221" s="17"/>
      <c r="B221"/>
      <c r="C221"/>
      <c r="D221"/>
      <c r="E221"/>
      <c r="F221" s="50">
        <v>44044</v>
      </c>
      <c r="G221" s="53">
        <v>134.5</v>
      </c>
      <c r="H221"/>
      <c r="I221"/>
      <c r="J221" s="107">
        <v>0.10726928459701979</v>
      </c>
      <c r="K221" s="54"/>
      <c r="L221" s="107">
        <v>0.10726928459701979</v>
      </c>
    </row>
    <row r="222" spans="1:12" s="15" customFormat="1" x14ac:dyDescent="0.3">
      <c r="A222" s="17"/>
      <c r="B222"/>
      <c r="C222"/>
      <c r="D222"/>
      <c r="E222"/>
      <c r="F222" s="50">
        <v>44075</v>
      </c>
      <c r="G222" s="53">
        <v>136.44</v>
      </c>
      <c r="H222"/>
      <c r="I222"/>
      <c r="J222" s="107">
        <v>6.9111424541607791E-2</v>
      </c>
      <c r="K222" s="54"/>
      <c r="L222" s="107">
        <v>6.9111424541607791E-2</v>
      </c>
    </row>
    <row r="223" spans="1:12" s="15" customFormat="1" x14ac:dyDescent="0.3">
      <c r="A223" s="17"/>
      <c r="B223"/>
      <c r="C223"/>
      <c r="D223"/>
      <c r="E223"/>
      <c r="F223" s="50">
        <v>44105</v>
      </c>
      <c r="G223" s="53">
        <v>138.36000000000001</v>
      </c>
      <c r="H223"/>
      <c r="I223"/>
      <c r="J223" s="107">
        <v>5.0091074681238856E-2</v>
      </c>
      <c r="K223" s="54"/>
      <c r="L223" s="107">
        <v>5.0091074681238856E-2</v>
      </c>
    </row>
    <row r="224" spans="1:12" s="15" customFormat="1" x14ac:dyDescent="0.3">
      <c r="A224" s="17"/>
      <c r="B224"/>
      <c r="C224"/>
      <c r="D224"/>
      <c r="E224"/>
      <c r="F224" s="50">
        <v>44136</v>
      </c>
      <c r="G224" s="53">
        <v>137.9</v>
      </c>
      <c r="H224"/>
      <c r="I224"/>
      <c r="J224" s="107">
        <v>2.5278810408921881E-2</v>
      </c>
      <c r="K224" s="54"/>
      <c r="L224" s="107">
        <v>2.5278810408921881E-2</v>
      </c>
    </row>
    <row r="225" spans="1:12" s="15" customFormat="1" x14ac:dyDescent="0.3">
      <c r="A225" s="17"/>
      <c r="B225"/>
      <c r="C225"/>
      <c r="D225"/>
      <c r="E225"/>
      <c r="F225" s="50">
        <v>44166</v>
      </c>
      <c r="G225" s="53">
        <v>138.19</v>
      </c>
      <c r="H225"/>
      <c r="I225"/>
      <c r="J225" s="107">
        <v>1.2826150688947546E-2</v>
      </c>
      <c r="K225" s="54"/>
      <c r="L225" s="107">
        <v>1.2826150688947546E-2</v>
      </c>
    </row>
    <row r="226" spans="1:12" s="15" customFormat="1" x14ac:dyDescent="0.3">
      <c r="A226" s="17"/>
      <c r="B226"/>
      <c r="C226"/>
      <c r="D226"/>
      <c r="E226"/>
      <c r="F226" s="50">
        <v>44197</v>
      </c>
      <c r="G226" s="53">
        <v>139.01</v>
      </c>
      <c r="H226"/>
      <c r="I226"/>
      <c r="J226" s="107">
        <v>4.6978895634575135E-3</v>
      </c>
      <c r="K226" s="54"/>
      <c r="L226" s="107">
        <v>4.6978895634575135E-3</v>
      </c>
    </row>
    <row r="227" spans="1:12" s="15" customFormat="1" x14ac:dyDescent="0.3">
      <c r="A227" s="17"/>
      <c r="B227"/>
      <c r="C227"/>
      <c r="D227"/>
      <c r="E227"/>
      <c r="F227" s="50">
        <v>44228</v>
      </c>
      <c r="G227" s="53">
        <v>141.1</v>
      </c>
      <c r="H227"/>
      <c r="I227"/>
      <c r="J227" s="107">
        <v>2.3205221174764201E-2</v>
      </c>
      <c r="K227" s="54"/>
      <c r="L227" s="107">
        <v>2.3205221174764201E-2</v>
      </c>
    </row>
    <row r="228" spans="1:12" s="15" customFormat="1" x14ac:dyDescent="0.3">
      <c r="A228" s="17"/>
      <c r="B228"/>
      <c r="C228"/>
      <c r="D228"/>
      <c r="E228"/>
      <c r="F228" s="50">
        <v>44256</v>
      </c>
      <c r="G228" s="53">
        <v>138.85</v>
      </c>
      <c r="H228"/>
      <c r="I228"/>
      <c r="J228" s="107">
        <v>4.7760329980461869E-3</v>
      </c>
      <c r="K228" s="54"/>
      <c r="L228" s="107">
        <v>4.7760329980461869E-3</v>
      </c>
    </row>
    <row r="229" spans="1:12" s="15" customFormat="1" x14ac:dyDescent="0.3">
      <c r="A229" s="17"/>
      <c r="B229"/>
      <c r="C229"/>
      <c r="D229"/>
      <c r="E229"/>
      <c r="F229" s="50">
        <v>44287</v>
      </c>
      <c r="G229" s="53">
        <v>139.22999999999999</v>
      </c>
      <c r="H229"/>
      <c r="I229"/>
      <c r="J229" s="107">
        <v>1.5826199553989895E-3</v>
      </c>
      <c r="K229" s="54"/>
      <c r="L229" s="107">
        <v>1.5826199553989895E-3</v>
      </c>
    </row>
    <row r="230" spans="1:12" s="15" customFormat="1" x14ac:dyDescent="0.3">
      <c r="A230" s="17"/>
      <c r="B230"/>
      <c r="C230"/>
      <c r="D230"/>
      <c r="E230"/>
      <c r="F230" s="50">
        <v>44317</v>
      </c>
      <c r="G230" s="53">
        <v>139.28</v>
      </c>
      <c r="H230"/>
      <c r="I230"/>
      <c r="J230" s="107">
        <v>-1.2898653437278473E-2</v>
      </c>
      <c r="K230" s="54"/>
      <c r="L230" s="107">
        <v>-1.2898653437278473E-2</v>
      </c>
    </row>
    <row r="231" spans="1:12" s="15" customFormat="1" x14ac:dyDescent="0.3">
      <c r="A231" s="17"/>
      <c r="B231"/>
      <c r="C231"/>
      <c r="D231"/>
      <c r="E231"/>
      <c r="F231" s="50">
        <v>44348</v>
      </c>
      <c r="G231" s="53">
        <v>139.53</v>
      </c>
      <c r="H231"/>
      <c r="I231"/>
      <c r="J231" s="107">
        <v>4.8973712639539535E-3</v>
      </c>
      <c r="K231" s="54"/>
      <c r="L231" s="107">
        <v>4.8973712639539535E-3</v>
      </c>
    </row>
    <row r="232" spans="1:12" s="15" customFormat="1" x14ac:dyDescent="0.3">
      <c r="A232" s="17"/>
      <c r="B232"/>
      <c r="C232"/>
      <c r="D232"/>
      <c r="E232"/>
      <c r="F232" s="50">
        <v>44378</v>
      </c>
      <c r="G232" s="53">
        <v>139.36000000000001</v>
      </c>
      <c r="H232"/>
      <c r="I232"/>
      <c r="J232" s="107">
        <v>9.3370681605997596E-4</v>
      </c>
      <c r="K232" s="54"/>
      <c r="L232" s="107">
        <v>9.3370681605997596E-4</v>
      </c>
    </row>
    <row r="233" spans="1:12" s="15" customFormat="1" x14ac:dyDescent="0.3">
      <c r="A233" s="17"/>
      <c r="B233"/>
      <c r="C233"/>
      <c r="D233"/>
      <c r="E233"/>
      <c r="F233" s="50">
        <v>44409</v>
      </c>
      <c r="G233" s="53">
        <v>139.5</v>
      </c>
      <c r="H233"/>
      <c r="I233"/>
      <c r="J233" s="107">
        <v>1.5795519816197423E-3</v>
      </c>
      <c r="K233" s="54"/>
      <c r="L233" s="107">
        <v>1.5795519816197423E-3</v>
      </c>
    </row>
    <row r="234" spans="1:12" s="15" customFormat="1" x14ac:dyDescent="0.3">
      <c r="A234" s="17"/>
      <c r="B234"/>
      <c r="C234"/>
      <c r="D234"/>
      <c r="E234"/>
      <c r="F234" s="50">
        <v>44440</v>
      </c>
      <c r="G234" s="53">
        <v>138.69999999999999</v>
      </c>
      <c r="H234"/>
      <c r="I234"/>
      <c r="J234" s="107">
        <v>-5.9485415322870772E-3</v>
      </c>
      <c r="K234" s="54"/>
      <c r="L234" s="107">
        <v>-5.9485415322870772E-3</v>
      </c>
    </row>
    <row r="235" spans="1:12" s="15" customFormat="1" x14ac:dyDescent="0.3">
      <c r="A235" s="17"/>
      <c r="B235"/>
      <c r="C235"/>
      <c r="D235"/>
      <c r="E235"/>
      <c r="F235" s="50">
        <v>44470</v>
      </c>
      <c r="G235" s="53">
        <v>138.77000000000001</v>
      </c>
      <c r="H235"/>
      <c r="I235"/>
      <c r="J235" s="107">
        <v>-4.2336394948335743E-3</v>
      </c>
      <c r="K235" s="54"/>
      <c r="L235" s="107">
        <v>-4.2336394948335743E-3</v>
      </c>
    </row>
    <row r="236" spans="1:12" s="15" customFormat="1" x14ac:dyDescent="0.3">
      <c r="A236" s="17"/>
      <c r="B236"/>
      <c r="C236"/>
      <c r="D236"/>
      <c r="E236"/>
      <c r="F236" s="50">
        <v>44501</v>
      </c>
      <c r="G236" s="53">
        <v>139.4</v>
      </c>
      <c r="H236"/>
      <c r="I236"/>
      <c r="J236" s="107">
        <v>-7.1684587813614087E-4</v>
      </c>
      <c r="K236" s="54"/>
      <c r="L236" s="107">
        <v>-7.1684587813614087E-4</v>
      </c>
    </row>
    <row r="237" spans="1:12" s="15" customFormat="1" x14ac:dyDescent="0.3">
      <c r="A237" s="17"/>
      <c r="B237"/>
      <c r="C237"/>
      <c r="D237"/>
      <c r="E237"/>
      <c r="F237" s="50">
        <v>44531</v>
      </c>
      <c r="G237" s="53">
        <v>139.85</v>
      </c>
      <c r="H237"/>
      <c r="I237"/>
      <c r="J237" s="107">
        <v>8.2912761355444786E-3</v>
      </c>
      <c r="K237" s="54"/>
      <c r="L237" s="107">
        <v>8.2912761355444786E-3</v>
      </c>
    </row>
    <row r="238" spans="1:12" s="15" customFormat="1" x14ac:dyDescent="0.3">
      <c r="A238" s="17"/>
      <c r="B238"/>
      <c r="C238"/>
      <c r="D238"/>
      <c r="E238"/>
      <c r="F238" s="50">
        <v>44562</v>
      </c>
      <c r="G238" s="53">
        <v>138.83000000000001</v>
      </c>
      <c r="H238"/>
      <c r="I238"/>
      <c r="J238" s="107">
        <v>4.3237010881314042E-4</v>
      </c>
      <c r="K238" s="54"/>
      <c r="L238" s="107">
        <v>4.3237010881314042E-4</v>
      </c>
    </row>
    <row r="239" spans="1:12" s="15" customFormat="1" x14ac:dyDescent="0.3">
      <c r="A239" s="17"/>
      <c r="B239"/>
      <c r="C239"/>
      <c r="D239"/>
      <c r="E239"/>
      <c r="F239" s="50">
        <v>44593</v>
      </c>
      <c r="G239" s="53">
        <v>139.30000000000001</v>
      </c>
      <c r="H239"/>
      <c r="I239"/>
      <c r="J239" s="107">
        <v>-7.1736011477763206E-4</v>
      </c>
      <c r="K239" s="54"/>
      <c r="L239" s="107">
        <v>-7.1736011477763206E-4</v>
      </c>
    </row>
    <row r="240" spans="1:12" s="15" customFormat="1" x14ac:dyDescent="0.3">
      <c r="A240" s="17"/>
      <c r="B240"/>
      <c r="C240"/>
      <c r="D240"/>
      <c r="E240"/>
      <c r="F240"/>
      <c r="G240"/>
      <c r="H240"/>
      <c r="I240"/>
      <c r="J240" s="54"/>
      <c r="K240" s="54"/>
      <c r="L240" s="54"/>
    </row>
    <row r="241" spans="1:12" s="15" customFormat="1" x14ac:dyDescent="0.3">
      <c r="A241" s="17"/>
      <c r="B241"/>
      <c r="C241"/>
      <c r="D241"/>
      <c r="E241"/>
      <c r="F241"/>
      <c r="G241"/>
      <c r="H241"/>
      <c r="I241"/>
      <c r="J241" s="54"/>
      <c r="K241" s="54"/>
      <c r="L241" s="54"/>
    </row>
    <row r="242" spans="1:12" s="15" customFormat="1" x14ac:dyDescent="0.3">
      <c r="A242" s="17"/>
      <c r="B242"/>
      <c r="C242"/>
      <c r="D242"/>
      <c r="E242"/>
      <c r="F242"/>
      <c r="G242"/>
      <c r="H242"/>
      <c r="I242"/>
      <c r="J242" s="54"/>
      <c r="K242" s="54"/>
      <c r="L242" s="54"/>
    </row>
    <row r="243" spans="1:12" s="15" customFormat="1" x14ac:dyDescent="0.3">
      <c r="A243" s="17"/>
      <c r="B243"/>
      <c r="C243"/>
      <c r="D243"/>
      <c r="E243"/>
      <c r="F243"/>
      <c r="G243"/>
      <c r="H243"/>
      <c r="I243"/>
      <c r="J243" s="54"/>
      <c r="K243" s="54"/>
      <c r="L243" s="54"/>
    </row>
    <row r="244" spans="1:12" s="15" customFormat="1" x14ac:dyDescent="0.3">
      <c r="A244" s="17"/>
      <c r="B244"/>
      <c r="C244"/>
      <c r="D244"/>
      <c r="E244"/>
      <c r="F244"/>
      <c r="G244"/>
      <c r="H244"/>
      <c r="I244"/>
      <c r="J244" s="54"/>
      <c r="K244" s="54"/>
      <c r="L244" s="54"/>
    </row>
    <row r="245" spans="1:12" s="15" customFormat="1" x14ac:dyDescent="0.3">
      <c r="A245" s="17"/>
      <c r="B245"/>
      <c r="C245"/>
      <c r="D245"/>
      <c r="E245"/>
      <c r="F245"/>
      <c r="G245"/>
      <c r="H245"/>
      <c r="I245"/>
      <c r="J245" s="54"/>
      <c r="K245" s="54"/>
      <c r="L245" s="54"/>
    </row>
    <row r="246" spans="1:12" s="15" customFormat="1" x14ac:dyDescent="0.3">
      <c r="A246" s="17"/>
      <c r="B246"/>
      <c r="C246"/>
      <c r="D246"/>
      <c r="E246"/>
      <c r="F246"/>
      <c r="G246"/>
      <c r="H246"/>
      <c r="I246"/>
      <c r="J246" s="54"/>
      <c r="K246" s="54"/>
      <c r="L246" s="54"/>
    </row>
    <row r="247" spans="1:12" s="15" customFormat="1" x14ac:dyDescent="0.3">
      <c r="A247" s="17"/>
      <c r="B247"/>
      <c r="C247"/>
      <c r="D247"/>
      <c r="E247"/>
      <c r="F247"/>
      <c r="G247"/>
      <c r="H247"/>
      <c r="I247"/>
      <c r="J247" s="54"/>
      <c r="K247" s="54"/>
      <c r="L247" s="54"/>
    </row>
    <row r="248" spans="1:12" s="15" customFormat="1" x14ac:dyDescent="0.3">
      <c r="A248" s="17"/>
      <c r="B248"/>
      <c r="C248"/>
      <c r="D248"/>
      <c r="E248"/>
      <c r="F248"/>
      <c r="G248"/>
      <c r="H248"/>
      <c r="I248"/>
      <c r="J248" s="54"/>
      <c r="K248" s="54"/>
      <c r="L248" s="54"/>
    </row>
    <row r="249" spans="1:12" s="15" customFormat="1" x14ac:dyDescent="0.3">
      <c r="A249" s="17"/>
      <c r="B249"/>
      <c r="C249"/>
      <c r="D249"/>
      <c r="E249"/>
      <c r="F249"/>
      <c r="G249"/>
      <c r="H249"/>
      <c r="I249"/>
      <c r="J249" s="54"/>
      <c r="K249" s="54"/>
      <c r="L249" s="54"/>
    </row>
    <row r="250" spans="1:12" s="15" customFormat="1" x14ac:dyDescent="0.3">
      <c r="A250" s="17"/>
      <c r="B250"/>
      <c r="C250"/>
      <c r="D250"/>
      <c r="E250"/>
      <c r="F250"/>
      <c r="G250"/>
      <c r="H250"/>
      <c r="I250"/>
      <c r="J250" s="27"/>
      <c r="K250" s="27"/>
      <c r="L250" s="27"/>
    </row>
    <row r="251" spans="1:12" s="15" customFormat="1" x14ac:dyDescent="0.3">
      <c r="A251" s="17"/>
      <c r="B251"/>
      <c r="C251"/>
      <c r="D251"/>
      <c r="E251"/>
      <c r="F251"/>
      <c r="G251"/>
      <c r="H251"/>
      <c r="I251"/>
      <c r="J251" s="27"/>
      <c r="K251" s="27"/>
      <c r="L251" s="27"/>
    </row>
    <row r="252" spans="1:12" s="15" customFormat="1" x14ac:dyDescent="0.3">
      <c r="A252" s="17"/>
      <c r="B252"/>
      <c r="C252"/>
      <c r="D252"/>
      <c r="E252"/>
      <c r="F252"/>
      <c r="G252"/>
      <c r="H252"/>
      <c r="I252"/>
      <c r="J252" s="27"/>
      <c r="K252" s="27"/>
      <c r="L252" s="27"/>
    </row>
    <row r="253" spans="1:12" s="15" customFormat="1" x14ac:dyDescent="0.3">
      <c r="A253" s="17"/>
      <c r="B253"/>
      <c r="C253"/>
      <c r="D253"/>
      <c r="E253"/>
      <c r="F253"/>
      <c r="G253"/>
      <c r="H253"/>
      <c r="I253"/>
      <c r="J253" s="27"/>
      <c r="K253" s="27"/>
      <c r="L253" s="27"/>
    </row>
    <row r="254" spans="1:12" s="15" customFormat="1" x14ac:dyDescent="0.3">
      <c r="A254" s="17"/>
      <c r="B254"/>
      <c r="C254"/>
      <c r="D254"/>
      <c r="E254"/>
      <c r="F254"/>
      <c r="G254"/>
      <c r="H254"/>
      <c r="I254"/>
      <c r="J254" s="27"/>
      <c r="K254" s="27"/>
      <c r="L254" s="27"/>
    </row>
    <row r="255" spans="1:12" s="15" customFormat="1" x14ac:dyDescent="0.3">
      <c r="A255" s="17"/>
      <c r="B255"/>
      <c r="C255"/>
      <c r="D255"/>
      <c r="E255"/>
      <c r="F255"/>
      <c r="G255"/>
      <c r="H255"/>
      <c r="I255"/>
      <c r="J255" s="27"/>
      <c r="K255" s="27"/>
      <c r="L255" s="27"/>
    </row>
    <row r="256" spans="1:12" s="15" customFormat="1" x14ac:dyDescent="0.3">
      <c r="A256" s="17"/>
      <c r="B256"/>
      <c r="C256"/>
      <c r="D256"/>
      <c r="E256"/>
      <c r="F256"/>
      <c r="G256"/>
      <c r="H256"/>
      <c r="I256"/>
      <c r="J256" s="27"/>
      <c r="K256" s="27"/>
      <c r="L256" s="27"/>
    </row>
    <row r="257" spans="1:12" s="15" customFormat="1" x14ac:dyDescent="0.3">
      <c r="A257" s="17"/>
      <c r="B257"/>
      <c r="C257"/>
      <c r="D257"/>
      <c r="E257"/>
      <c r="F257"/>
      <c r="G257"/>
      <c r="H257"/>
      <c r="I257"/>
      <c r="J257" s="27"/>
      <c r="K257" s="27"/>
      <c r="L257" s="27"/>
    </row>
    <row r="258" spans="1:12" s="15" customFormat="1" x14ac:dyDescent="0.3">
      <c r="A258" s="17"/>
      <c r="B258"/>
      <c r="C258"/>
      <c r="D258"/>
      <c r="E258"/>
      <c r="F258"/>
      <c r="G258"/>
      <c r="H258"/>
      <c r="I258"/>
      <c r="J258" s="27"/>
      <c r="K258" s="27"/>
      <c r="L258" s="27"/>
    </row>
    <row r="259" spans="1:12" s="15" customFormat="1" x14ac:dyDescent="0.3">
      <c r="A259" s="17"/>
      <c r="B259"/>
      <c r="C259"/>
      <c r="D259"/>
      <c r="E259"/>
      <c r="F259"/>
      <c r="G259"/>
      <c r="H259"/>
      <c r="I259"/>
      <c r="J259" s="27"/>
      <c r="K259" s="27"/>
      <c r="L259" s="27"/>
    </row>
    <row r="260" spans="1:12" s="15" customFormat="1" x14ac:dyDescent="0.3">
      <c r="A260" s="17"/>
      <c r="B260"/>
      <c r="C260"/>
      <c r="D260"/>
      <c r="E260"/>
      <c r="F260"/>
      <c r="G260"/>
      <c r="H260"/>
      <c r="I260"/>
      <c r="J260" s="27"/>
      <c r="K260" s="27"/>
      <c r="L260" s="27"/>
    </row>
    <row r="261" spans="1:12" s="15" customFormat="1" x14ac:dyDescent="0.3">
      <c r="A261" s="17"/>
      <c r="B261"/>
      <c r="C261"/>
      <c r="D261"/>
      <c r="E261"/>
      <c r="F261"/>
      <c r="G261"/>
      <c r="H261"/>
      <c r="I261"/>
      <c r="J261" s="27"/>
      <c r="K261" s="27"/>
      <c r="L261" s="27"/>
    </row>
    <row r="262" spans="1:12" s="15" customFormat="1" x14ac:dyDescent="0.3">
      <c r="A262" s="17"/>
      <c r="B262"/>
      <c r="C262"/>
      <c r="D262"/>
      <c r="E262"/>
      <c r="F262"/>
      <c r="G262"/>
      <c r="H262"/>
      <c r="I262"/>
      <c r="J262" s="27"/>
      <c r="K262" s="27"/>
      <c r="L262" s="27"/>
    </row>
    <row r="263" spans="1:12" s="15" customFormat="1" x14ac:dyDescent="0.3">
      <c r="A263" s="17"/>
      <c r="B263"/>
      <c r="C263"/>
      <c r="D263"/>
      <c r="E263"/>
      <c r="F263"/>
      <c r="G263"/>
      <c r="H263"/>
      <c r="I263"/>
      <c r="J263" s="27"/>
      <c r="K263" s="27"/>
      <c r="L263" s="27"/>
    </row>
    <row r="264" spans="1:12" s="15" customFormat="1" x14ac:dyDescent="0.3">
      <c r="A264" s="17"/>
      <c r="B264"/>
      <c r="C264"/>
      <c r="D264"/>
      <c r="E264"/>
      <c r="F264"/>
      <c r="G264"/>
      <c r="H264"/>
      <c r="I264"/>
      <c r="J264" s="27"/>
      <c r="K264" s="27"/>
      <c r="L264" s="27"/>
    </row>
    <row r="265" spans="1:12" s="15" customFormat="1" x14ac:dyDescent="0.3">
      <c r="A265" s="17"/>
      <c r="B265"/>
      <c r="C265"/>
      <c r="D265"/>
      <c r="E265"/>
      <c r="F265"/>
      <c r="G265"/>
      <c r="H265"/>
      <c r="I265"/>
      <c r="J265" s="27"/>
      <c r="K265" s="27"/>
      <c r="L265" s="27"/>
    </row>
    <row r="266" spans="1:12" s="15" customFormat="1" x14ac:dyDescent="0.3">
      <c r="A266" s="17"/>
      <c r="B266"/>
      <c r="C266"/>
      <c r="D266"/>
      <c r="E266"/>
      <c r="F266"/>
      <c r="G266"/>
      <c r="H266"/>
      <c r="I266"/>
      <c r="J266" s="27"/>
      <c r="K266" s="27"/>
      <c r="L266" s="27"/>
    </row>
    <row r="267" spans="1:12" s="15" customFormat="1" x14ac:dyDescent="0.3">
      <c r="A267" s="17"/>
      <c r="B267"/>
      <c r="C267"/>
      <c r="D267"/>
      <c r="E267"/>
      <c r="F267"/>
      <c r="G267"/>
      <c r="H267"/>
      <c r="I267"/>
      <c r="J267" s="27"/>
      <c r="K267" s="27"/>
      <c r="L267" s="27"/>
    </row>
    <row r="268" spans="1:12" s="15" customFormat="1" x14ac:dyDescent="0.3">
      <c r="A268" s="17"/>
      <c r="B268"/>
      <c r="C268"/>
      <c r="D268"/>
      <c r="E268"/>
      <c r="F268"/>
      <c r="G268"/>
      <c r="H268"/>
      <c r="I268"/>
      <c r="J268" s="27"/>
      <c r="K268" s="27"/>
      <c r="L268" s="27"/>
    </row>
    <row r="269" spans="1:12" s="15" customFormat="1" x14ac:dyDescent="0.3">
      <c r="A269" s="17"/>
      <c r="B269"/>
      <c r="C269"/>
      <c r="D269"/>
      <c r="E269"/>
      <c r="F269"/>
      <c r="G269"/>
      <c r="H269"/>
      <c r="I269"/>
      <c r="J269" s="27"/>
      <c r="K269" s="27"/>
      <c r="L269" s="27"/>
    </row>
    <row r="270" spans="1:12" s="15" customFormat="1" x14ac:dyDescent="0.3">
      <c r="A270" s="17"/>
      <c r="B270"/>
      <c r="C270"/>
      <c r="D270"/>
      <c r="E270"/>
      <c r="F270"/>
      <c r="G270"/>
      <c r="H270"/>
      <c r="I270"/>
      <c r="J270" s="27"/>
      <c r="K270" s="27"/>
      <c r="L270" s="27"/>
    </row>
    <row r="271" spans="1:12" s="15" customFormat="1" x14ac:dyDescent="0.3">
      <c r="A271" s="17"/>
      <c r="B271"/>
      <c r="C271"/>
      <c r="D271"/>
      <c r="E271"/>
      <c r="F271"/>
      <c r="G271"/>
      <c r="H271"/>
      <c r="I271"/>
      <c r="J271" s="27"/>
      <c r="K271" s="27"/>
      <c r="L271" s="27"/>
    </row>
    <row r="272" spans="1:12" s="15" customFormat="1" x14ac:dyDescent="0.3">
      <c r="A272" s="17"/>
      <c r="B272"/>
      <c r="C272"/>
      <c r="D272"/>
      <c r="E272"/>
      <c r="F272"/>
      <c r="G272"/>
      <c r="H272"/>
      <c r="I272"/>
      <c r="J272" s="27"/>
      <c r="K272" s="27"/>
      <c r="L272" s="27"/>
    </row>
    <row r="273" spans="1:12" s="15" customFormat="1" x14ac:dyDescent="0.3">
      <c r="A273" s="17"/>
      <c r="B273"/>
      <c r="C273"/>
      <c r="D273"/>
      <c r="E273"/>
      <c r="F273"/>
      <c r="G273"/>
      <c r="H273"/>
      <c r="I273"/>
      <c r="J273" s="27"/>
      <c r="K273" s="27"/>
      <c r="L273" s="27"/>
    </row>
    <row r="274" spans="1:12" s="15" customFormat="1" x14ac:dyDescent="0.3">
      <c r="A274" s="17"/>
      <c r="B274"/>
      <c r="C274"/>
      <c r="D274"/>
      <c r="E274"/>
      <c r="F274"/>
      <c r="G274"/>
      <c r="H274"/>
      <c r="I274"/>
      <c r="J274" s="27"/>
      <c r="K274" s="27"/>
      <c r="L274" s="27"/>
    </row>
    <row r="275" spans="1:12" s="15" customFormat="1" x14ac:dyDescent="0.3">
      <c r="A275" s="17"/>
      <c r="B275"/>
      <c r="C275"/>
      <c r="D275"/>
      <c r="E275"/>
      <c r="F275"/>
      <c r="G275"/>
      <c r="H275"/>
      <c r="I275"/>
      <c r="J275" s="27"/>
      <c r="K275" s="27"/>
      <c r="L275" s="27"/>
    </row>
    <row r="276" spans="1:12" s="15" customFormat="1" x14ac:dyDescent="0.3">
      <c r="A276" s="17"/>
      <c r="B276"/>
      <c r="C276"/>
      <c r="D276"/>
      <c r="E276"/>
      <c r="F276"/>
      <c r="G276"/>
      <c r="H276"/>
      <c r="I276"/>
      <c r="J276" s="27"/>
      <c r="K276" s="27"/>
      <c r="L276" s="27"/>
    </row>
    <row r="277" spans="1:12" s="15" customFormat="1" x14ac:dyDescent="0.3">
      <c r="A277" s="17"/>
      <c r="B277"/>
      <c r="C277"/>
      <c r="D277"/>
      <c r="E277"/>
      <c r="F277"/>
      <c r="G277"/>
      <c r="H277"/>
      <c r="I277"/>
      <c r="J277" s="27"/>
      <c r="K277" s="27"/>
      <c r="L277" s="27"/>
    </row>
    <row r="278" spans="1:12" s="15" customFormat="1" x14ac:dyDescent="0.3">
      <c r="A278" s="17"/>
      <c r="B278"/>
      <c r="C278"/>
      <c r="D278"/>
      <c r="E278"/>
      <c r="F278"/>
      <c r="G278"/>
      <c r="H278"/>
      <c r="I278"/>
      <c r="J278" s="27"/>
      <c r="K278" s="27"/>
      <c r="L278" s="27"/>
    </row>
    <row r="279" spans="1:12" s="15" customFormat="1" x14ac:dyDescent="0.3">
      <c r="A279" s="17"/>
      <c r="B279"/>
      <c r="C279"/>
      <c r="D279"/>
      <c r="E279"/>
      <c r="F279"/>
      <c r="G279"/>
      <c r="H279"/>
      <c r="I279"/>
      <c r="J279" s="27"/>
      <c r="K279" s="27"/>
      <c r="L279" s="27"/>
    </row>
    <row r="280" spans="1:12" s="15" customFormat="1" x14ac:dyDescent="0.3">
      <c r="A280" s="17"/>
      <c r="B280"/>
      <c r="C280"/>
      <c r="D280"/>
      <c r="E280"/>
      <c r="F280"/>
      <c r="G280"/>
      <c r="H280"/>
      <c r="I280"/>
      <c r="J280" s="27"/>
      <c r="K280" s="27"/>
      <c r="L280" s="27"/>
    </row>
    <row r="281" spans="1:12" s="15" customFormat="1" x14ac:dyDescent="0.3">
      <c r="A281" s="17"/>
      <c r="B281"/>
      <c r="C281"/>
      <c r="D281"/>
      <c r="E281"/>
      <c r="F281"/>
      <c r="G281"/>
      <c r="H281"/>
      <c r="I281"/>
      <c r="J281" s="27"/>
      <c r="K281" s="27"/>
      <c r="L281" s="27"/>
    </row>
    <row r="282" spans="1:12" s="15" customFormat="1" x14ac:dyDescent="0.3">
      <c r="A282" s="17"/>
      <c r="B282"/>
      <c r="C282"/>
      <c r="D282"/>
      <c r="E282"/>
      <c r="F282"/>
      <c r="G282"/>
      <c r="H282"/>
      <c r="I282"/>
      <c r="J282" s="27"/>
      <c r="K282" s="27"/>
      <c r="L282" s="27"/>
    </row>
    <row r="283" spans="1:12" s="15" customFormat="1" x14ac:dyDescent="0.3">
      <c r="A283" s="17"/>
      <c r="B283"/>
      <c r="C283"/>
      <c r="D283"/>
      <c r="E283"/>
      <c r="F283"/>
      <c r="G283"/>
      <c r="H283"/>
      <c r="I283"/>
      <c r="J283" s="27"/>
      <c r="K283" s="27"/>
      <c r="L283" s="27"/>
    </row>
    <row r="284" spans="1:12" s="15" customFormat="1" x14ac:dyDescent="0.3">
      <c r="A284" s="17"/>
      <c r="B284"/>
      <c r="C284"/>
      <c r="D284"/>
      <c r="E284"/>
      <c r="F284"/>
      <c r="G284"/>
      <c r="H284"/>
      <c r="I284"/>
      <c r="J284" s="27"/>
      <c r="K284" s="27"/>
      <c r="L284" s="27"/>
    </row>
    <row r="285" spans="1:12" s="15" customFormat="1" x14ac:dyDescent="0.3">
      <c r="A285" s="17"/>
      <c r="B285"/>
      <c r="C285"/>
      <c r="D285"/>
      <c r="E285"/>
      <c r="F285"/>
      <c r="G285"/>
      <c r="H285"/>
      <c r="I285"/>
      <c r="J285" s="27"/>
      <c r="K285" s="27"/>
      <c r="L285" s="27"/>
    </row>
    <row r="286" spans="1:12" s="15" customFormat="1" x14ac:dyDescent="0.3">
      <c r="A286" s="17"/>
      <c r="B286"/>
      <c r="C286"/>
      <c r="D286"/>
      <c r="E286"/>
      <c r="F286"/>
      <c r="G286"/>
      <c r="H286"/>
      <c r="I286"/>
      <c r="J286" s="27"/>
      <c r="K286" s="27"/>
      <c r="L286" s="27"/>
    </row>
    <row r="287" spans="1:12" s="15" customFormat="1" x14ac:dyDescent="0.3">
      <c r="A287" s="17"/>
      <c r="B287"/>
      <c r="C287"/>
      <c r="D287"/>
      <c r="E287"/>
      <c r="F287"/>
      <c r="G287"/>
      <c r="H287"/>
      <c r="I287"/>
      <c r="J287" s="27"/>
      <c r="K287" s="27"/>
      <c r="L287" s="27"/>
    </row>
    <row r="288" spans="1:12" s="15" customFormat="1" x14ac:dyDescent="0.3">
      <c r="A288" s="17"/>
      <c r="B288"/>
      <c r="C288"/>
      <c r="D288"/>
      <c r="E288"/>
      <c r="F288"/>
      <c r="G288"/>
      <c r="H288"/>
      <c r="I288"/>
      <c r="J288" s="27"/>
      <c r="K288" s="27"/>
      <c r="L288" s="27"/>
    </row>
    <row r="289" spans="1:12" s="15" customFormat="1" x14ac:dyDescent="0.3">
      <c r="A289" s="17"/>
      <c r="B289"/>
      <c r="C289"/>
      <c r="D289"/>
      <c r="E289"/>
      <c r="F289"/>
      <c r="G289"/>
      <c r="H289"/>
      <c r="I289"/>
      <c r="J289" s="27"/>
      <c r="K289" s="27"/>
      <c r="L289" s="27"/>
    </row>
    <row r="290" spans="1:12" s="15" customFormat="1" x14ac:dyDescent="0.3">
      <c r="A290" s="17"/>
      <c r="B290"/>
      <c r="C290"/>
      <c r="D290"/>
      <c r="E290"/>
      <c r="F290"/>
      <c r="G290"/>
      <c r="H290"/>
      <c r="I290"/>
      <c r="J290" s="27"/>
      <c r="K290" s="27"/>
      <c r="L290" s="27"/>
    </row>
    <row r="291" spans="1:12" s="15" customFormat="1" x14ac:dyDescent="0.3">
      <c r="A291" s="17"/>
      <c r="B291"/>
      <c r="C291"/>
      <c r="D291"/>
      <c r="E291"/>
      <c r="F291"/>
      <c r="G291"/>
      <c r="H291"/>
      <c r="I291"/>
      <c r="J291" s="27"/>
      <c r="K291" s="27"/>
      <c r="L291" s="27"/>
    </row>
    <row r="292" spans="1:12" s="15" customFormat="1" x14ac:dyDescent="0.3">
      <c r="A292" s="17"/>
      <c r="B292"/>
      <c r="C292"/>
      <c r="D292"/>
      <c r="E292"/>
      <c r="F292"/>
      <c r="G292"/>
      <c r="H292"/>
      <c r="I292"/>
      <c r="J292" s="27"/>
      <c r="K292" s="27"/>
      <c r="L292" s="27"/>
    </row>
    <row r="293" spans="1:12" s="15" customFormat="1" x14ac:dyDescent="0.3">
      <c r="A293" s="17"/>
      <c r="B293"/>
      <c r="C293"/>
      <c r="D293"/>
      <c r="E293"/>
      <c r="F293"/>
      <c r="G293"/>
      <c r="H293"/>
      <c r="I293"/>
      <c r="J293" s="27"/>
      <c r="K293" s="27"/>
      <c r="L293" s="27"/>
    </row>
    <row r="294" spans="1:12" s="15" customFormat="1" x14ac:dyDescent="0.3">
      <c r="A294" s="17"/>
      <c r="B294"/>
      <c r="C294"/>
      <c r="D294"/>
      <c r="E294"/>
      <c r="F294"/>
      <c r="G294"/>
      <c r="H294"/>
      <c r="I294"/>
      <c r="J294" s="27"/>
      <c r="K294" s="27"/>
      <c r="L294" s="27"/>
    </row>
    <row r="295" spans="1:12" s="15" customFormat="1" x14ac:dyDescent="0.3">
      <c r="A295" s="17"/>
      <c r="B295"/>
      <c r="C295"/>
      <c r="D295"/>
      <c r="E295"/>
      <c r="F295"/>
      <c r="G295"/>
      <c r="H295"/>
      <c r="I295"/>
      <c r="J295" s="27"/>
      <c r="K295" s="27"/>
      <c r="L295" s="27"/>
    </row>
    <row r="296" spans="1:12" s="15" customFormat="1" x14ac:dyDescent="0.3">
      <c r="A296" s="17"/>
      <c r="B296"/>
      <c r="C296"/>
      <c r="D296"/>
      <c r="E296"/>
      <c r="F296"/>
      <c r="G296"/>
      <c r="H296"/>
      <c r="I296"/>
      <c r="J296" s="27"/>
      <c r="K296" s="27"/>
      <c r="L296" s="27"/>
    </row>
    <row r="297" spans="1:12" s="15" customFormat="1" x14ac:dyDescent="0.3">
      <c r="A297" s="17"/>
      <c r="B297"/>
      <c r="C297"/>
      <c r="D297"/>
      <c r="E297"/>
      <c r="F297"/>
      <c r="G297"/>
      <c r="H297"/>
      <c r="I297"/>
      <c r="J297" s="27"/>
      <c r="K297" s="27"/>
      <c r="L297" s="27"/>
    </row>
    <row r="298" spans="1:12" s="15" customFormat="1" x14ac:dyDescent="0.3">
      <c r="A298" s="17"/>
      <c r="B298"/>
      <c r="C298"/>
      <c r="D298"/>
      <c r="E298"/>
      <c r="F298"/>
      <c r="G298"/>
      <c r="H298"/>
      <c r="I298"/>
      <c r="J298" s="27"/>
      <c r="K298" s="27"/>
      <c r="L298" s="27"/>
    </row>
    <row r="299" spans="1:12" s="15" customFormat="1" x14ac:dyDescent="0.3">
      <c r="A299" s="17"/>
      <c r="B299"/>
      <c r="C299"/>
      <c r="D299"/>
      <c r="E299"/>
      <c r="F299"/>
      <c r="G299"/>
      <c r="H299"/>
      <c r="I299"/>
      <c r="J299" s="27"/>
      <c r="K299" s="27"/>
      <c r="L299" s="27"/>
    </row>
  </sheetData>
  <mergeCells count="1">
    <mergeCell ref="D13:D14"/>
  </mergeCells>
  <pageMargins left="0.511811024" right="0.511811024" top="0.78740157499999996" bottom="0.78740157499999996" header="0.31496062000000002" footer="0.31496062000000002"/>
  <ignoredErrors>
    <ignoredError sqref="L10:L12" evalError="1"/>
  </ignoredErrors>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269AD-FD41-46C2-B874-BFA7454EDB24}">
  <sheetPr codeName="Planilha3">
    <tabColor theme="9" tint="0.59999389629810485"/>
  </sheetPr>
  <dimension ref="A1:P18"/>
  <sheetViews>
    <sheetView showGridLines="0" workbookViewId="0">
      <selection activeCell="A2" sqref="A2"/>
    </sheetView>
  </sheetViews>
  <sheetFormatPr defaultColWidth="8.85546875" defaultRowHeight="18.75" x14ac:dyDescent="0.3"/>
  <cols>
    <col min="1" max="1" width="12.7109375" style="17" customWidth="1"/>
    <col min="2" max="2" width="24.85546875" bestFit="1" customWidth="1"/>
    <col min="8" max="16" width="9.140625" style="15"/>
  </cols>
  <sheetData>
    <row r="1" spans="1:16" x14ac:dyDescent="0.3">
      <c r="A1" s="16" t="s">
        <v>14</v>
      </c>
      <c r="H1" s="14"/>
      <c r="I1" s="14"/>
      <c r="J1" s="14"/>
      <c r="K1" s="14"/>
      <c r="L1" s="14"/>
      <c r="M1" s="14"/>
      <c r="N1" s="14"/>
      <c r="O1" s="14"/>
      <c r="P1" s="14"/>
    </row>
    <row r="2" spans="1:16" x14ac:dyDescent="0.3">
      <c r="A2" s="17" t="s">
        <v>19</v>
      </c>
      <c r="H2" s="14"/>
      <c r="I2" s="14"/>
      <c r="J2" s="14"/>
      <c r="K2" s="14"/>
      <c r="L2" s="14"/>
      <c r="M2" s="14"/>
      <c r="N2" s="14"/>
      <c r="O2" s="14"/>
      <c r="P2" s="14"/>
    </row>
    <row r="4" spans="1:16" ht="15.75" x14ac:dyDescent="0.25">
      <c r="A4" s="2" t="s">
        <v>15</v>
      </c>
      <c r="B4" s="2" t="s">
        <v>16</v>
      </c>
    </row>
    <row r="5" spans="1:16" ht="31.5" x14ac:dyDescent="0.25">
      <c r="A5" s="19" t="s">
        <v>36</v>
      </c>
      <c r="B5" s="18" t="s">
        <v>18</v>
      </c>
    </row>
    <row r="6" spans="1:16" ht="47.25" x14ac:dyDescent="0.25">
      <c r="A6" s="19" t="s">
        <v>38</v>
      </c>
      <c r="B6" s="18" t="s">
        <v>39</v>
      </c>
    </row>
    <row r="7" spans="1:16" x14ac:dyDescent="0.3">
      <c r="D7" s="1" t="s">
        <v>17</v>
      </c>
      <c r="E7" s="13" t="s">
        <v>36</v>
      </c>
      <c r="F7" s="12">
        <v>3</v>
      </c>
    </row>
    <row r="9" spans="1:16" x14ac:dyDescent="0.3">
      <c r="H9" s="15" cm="1">
        <f t="array" ref="H9:J11">_xlfn.LAMBDA(_xlpm.n,_xlop.m, _xlfn.LET(_xlpm.m, IF(_xlfn.ISOMITTED(_xlpm.m),_xlpm.n,_xlpm.m), IF(_xlpm.n=_xlpm.m,_xlfn.MUNIT(_xlpm.n),HORZCAT(_xlfn.MUNIT(_xlpm.n),ZEROS(_xlpm.n,_xlpm.m-_xlpm.n)))))($F$7)</f>
        <v>1</v>
      </c>
      <c r="I9" s="15">
        <v>0</v>
      </c>
      <c r="J9" s="15">
        <v>0</v>
      </c>
    </row>
    <row r="10" spans="1:16" x14ac:dyDescent="0.3">
      <c r="H10" s="15">
        <v>0</v>
      </c>
      <c r="I10" s="15">
        <v>1</v>
      </c>
      <c r="J10" s="15">
        <v>0</v>
      </c>
    </row>
    <row r="11" spans="1:16" x14ac:dyDescent="0.3">
      <c r="H11" s="15">
        <v>0</v>
      </c>
      <c r="I11" s="15">
        <v>0</v>
      </c>
      <c r="J11" s="15">
        <v>1</v>
      </c>
    </row>
    <row r="14" spans="1:16" x14ac:dyDescent="0.3">
      <c r="D14" s="1" t="s">
        <v>17</v>
      </c>
      <c r="E14" s="13" t="s">
        <v>36</v>
      </c>
      <c r="F14" s="12">
        <v>3</v>
      </c>
    </row>
    <row r="15" spans="1:16" x14ac:dyDescent="0.3">
      <c r="E15" s="13" t="s">
        <v>37</v>
      </c>
      <c r="F15" s="12">
        <v>5</v>
      </c>
    </row>
    <row r="16" spans="1:16" x14ac:dyDescent="0.3">
      <c r="H16" s="15" cm="1">
        <f t="array" ref="H16:L18">_xlfn.LAMBDA(_xlpm.n,_xlop.m, _xlfn.LET(_xlpm.m, IF(_xlfn.ISOMITTED(_xlpm.m),_xlpm.n,_xlpm.m), IF(_xlpm.n=_xlpm.m,_xlfn.MUNIT(_xlpm.n),HORZCAT(_xlfn.MUNIT(_xlpm.n),ZEROS(_xlpm.n,_xlpm.m-_xlpm.n)))))($F$14,$F$15)</f>
        <v>1</v>
      </c>
      <c r="I16" s="15">
        <v>0</v>
      </c>
      <c r="J16" s="15">
        <v>0</v>
      </c>
      <c r="K16" s="15">
        <v>0</v>
      </c>
      <c r="L16" s="15">
        <v>0</v>
      </c>
    </row>
    <row r="17" spans="8:12" x14ac:dyDescent="0.3">
      <c r="H17" s="15">
        <v>0</v>
      </c>
      <c r="I17" s="15">
        <v>1</v>
      </c>
      <c r="J17" s="15">
        <v>0</v>
      </c>
      <c r="K17" s="15">
        <v>0</v>
      </c>
      <c r="L17" s="15">
        <v>0</v>
      </c>
    </row>
    <row r="18" spans="8:12" x14ac:dyDescent="0.3">
      <c r="H18" s="15">
        <v>0</v>
      </c>
      <c r="I18" s="15">
        <v>0</v>
      </c>
      <c r="J18" s="15">
        <v>1</v>
      </c>
      <c r="K18" s="15">
        <v>0</v>
      </c>
      <c r="L18" s="15">
        <v>0</v>
      </c>
    </row>
  </sheetData>
  <pageMargins left="0.511811024" right="0.511811024" top="0.78740157499999996" bottom="0.78740157499999996" header="0.31496062000000002" footer="0.3149606200000000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5963FC-F00F-4897-BFD5-7FEB2F924484}">
  <sheetPr codeName="Planilha4">
    <tabColor theme="9" tint="0.59999389629810485"/>
  </sheetPr>
  <dimension ref="A1:P20"/>
  <sheetViews>
    <sheetView showGridLines="0" workbookViewId="0">
      <selection activeCell="H9" sqref="H9"/>
    </sheetView>
  </sheetViews>
  <sheetFormatPr defaultColWidth="8.85546875" defaultRowHeight="18.75" x14ac:dyDescent="0.3"/>
  <cols>
    <col min="1" max="1" width="12.7109375" style="17" customWidth="1"/>
    <col min="2" max="2" width="24.85546875" bestFit="1" customWidth="1"/>
    <col min="8" max="16" width="9.140625" style="15"/>
  </cols>
  <sheetData>
    <row r="1" spans="1:16" x14ac:dyDescent="0.3">
      <c r="A1" s="16" t="s">
        <v>23</v>
      </c>
      <c r="H1" s="14"/>
      <c r="I1" s="14"/>
      <c r="J1" s="14"/>
      <c r="K1" s="14"/>
      <c r="L1" s="14"/>
      <c r="M1" s="14"/>
      <c r="N1" s="14"/>
      <c r="O1" s="14"/>
      <c r="P1" s="14"/>
    </row>
    <row r="2" spans="1:16" x14ac:dyDescent="0.3">
      <c r="A2" s="17" t="s">
        <v>24</v>
      </c>
      <c r="H2" s="14"/>
      <c r="I2" s="14"/>
      <c r="J2" s="14"/>
      <c r="K2" s="14"/>
      <c r="L2" s="14"/>
      <c r="M2" s="14"/>
      <c r="N2" s="14"/>
      <c r="O2" s="14"/>
      <c r="P2" s="14"/>
    </row>
    <row r="4" spans="1:16" ht="15.75" x14ac:dyDescent="0.25">
      <c r="A4" s="2" t="s">
        <v>15</v>
      </c>
      <c r="B4" s="2" t="s">
        <v>16</v>
      </c>
    </row>
    <row r="5" spans="1:16" ht="31.5" x14ac:dyDescent="0.25">
      <c r="A5" s="19" t="s">
        <v>36</v>
      </c>
      <c r="B5" s="18" t="s">
        <v>34</v>
      </c>
    </row>
    <row r="6" spans="1:16" ht="47.25" x14ac:dyDescent="0.25">
      <c r="A6" s="19" t="s">
        <v>38</v>
      </c>
      <c r="B6" s="18" t="s">
        <v>40</v>
      </c>
    </row>
    <row r="7" spans="1:16" x14ac:dyDescent="0.3">
      <c r="D7" s="1" t="s">
        <v>17</v>
      </c>
      <c r="E7" s="13" t="s">
        <v>36</v>
      </c>
      <c r="F7" s="12">
        <v>4</v>
      </c>
    </row>
    <row r="9" spans="1:16" x14ac:dyDescent="0.3">
      <c r="H9" s="15" cm="1">
        <f t="array" ref="H9:K12">_xlfn.LAMBDA(_xlpm.n,_xlop.m, _xlfn.LET(_xlpm.m, IF(_xlfn.ISOMITTED(_xlpm.m),_xlpm.n,IF(_xlpm.m=0,_xlpm.n,_xlpm.m)), _xlfn.MAKEARRAY(_xlpm.n, _xlpm.m,_xlfn.LAMBDA(_xlpm.lin,_xlpm.col,0))) )($F$7)</f>
        <v>0</v>
      </c>
      <c r="I9" s="15">
        <v>0</v>
      </c>
      <c r="J9" s="15">
        <v>0</v>
      </c>
      <c r="K9" s="15">
        <v>0</v>
      </c>
    </row>
    <row r="10" spans="1:16" x14ac:dyDescent="0.3">
      <c r="H10" s="15">
        <v>0</v>
      </c>
      <c r="I10" s="15">
        <v>0</v>
      </c>
      <c r="J10" s="15">
        <v>0</v>
      </c>
      <c r="K10" s="15">
        <v>0</v>
      </c>
    </row>
    <row r="11" spans="1:16" x14ac:dyDescent="0.3">
      <c r="H11" s="15">
        <v>0</v>
      </c>
      <c r="I11" s="15">
        <v>0</v>
      </c>
      <c r="J11" s="15">
        <v>0</v>
      </c>
      <c r="K11" s="15">
        <v>0</v>
      </c>
    </row>
    <row r="12" spans="1:16" x14ac:dyDescent="0.3">
      <c r="H12" s="15">
        <v>0</v>
      </c>
      <c r="I12" s="15">
        <v>0</v>
      </c>
      <c r="J12" s="15">
        <v>0</v>
      </c>
      <c r="K12" s="15">
        <v>0</v>
      </c>
    </row>
    <row r="15" spans="1:16" x14ac:dyDescent="0.3">
      <c r="D15" s="1" t="s">
        <v>17</v>
      </c>
      <c r="E15" s="13" t="s">
        <v>36</v>
      </c>
      <c r="F15" s="12">
        <v>4</v>
      </c>
    </row>
    <row r="16" spans="1:16" x14ac:dyDescent="0.3">
      <c r="E16" s="13" t="s">
        <v>37</v>
      </c>
      <c r="F16" s="12">
        <v>2</v>
      </c>
    </row>
    <row r="17" spans="8:9" x14ac:dyDescent="0.3">
      <c r="H17" s="15" cm="1">
        <f t="array" ref="H17:I20">_xlfn.LAMBDA(_xlpm.n,_xlop.m, _xlfn.LET(_xlpm.m, IF(_xlfn.ISOMITTED(_xlpm.m),_xlpm.n,IF(_xlpm.m=0,_xlpm.n,_xlpm.m)), _xlfn.MAKEARRAY(_xlpm.n, _xlpm.m,_xlfn.LAMBDA(_xlpm.lin,_xlpm.col,0))) )($F$15,$F$16)</f>
        <v>0</v>
      </c>
      <c r="I17" s="15">
        <v>0</v>
      </c>
    </row>
    <row r="18" spans="8:9" x14ac:dyDescent="0.3">
      <c r="H18" s="15">
        <v>0</v>
      </c>
      <c r="I18" s="15">
        <v>0</v>
      </c>
    </row>
    <row r="19" spans="8:9" x14ac:dyDescent="0.3">
      <c r="H19" s="15">
        <v>0</v>
      </c>
      <c r="I19" s="15">
        <v>0</v>
      </c>
    </row>
    <row r="20" spans="8:9" x14ac:dyDescent="0.3">
      <c r="H20" s="15">
        <v>0</v>
      </c>
      <c r="I20" s="15">
        <v>0</v>
      </c>
    </row>
  </sheetData>
  <pageMargins left="0.511811024" right="0.511811024" top="0.78740157499999996" bottom="0.78740157499999996" header="0.31496062000000002" footer="0.3149606200000000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1A8BE3-C3AC-4575-A0E7-496C1643E2AC}">
  <sheetPr codeName="Planilha8">
    <tabColor theme="9" tint="0.59999389629810485"/>
  </sheetPr>
  <dimension ref="A1:P20"/>
  <sheetViews>
    <sheetView showGridLines="0" workbookViewId="0">
      <selection activeCell="D5" sqref="D5"/>
    </sheetView>
  </sheetViews>
  <sheetFormatPr defaultColWidth="8.85546875" defaultRowHeight="18.75" x14ac:dyDescent="0.3"/>
  <cols>
    <col min="1" max="1" width="12.7109375" style="17" customWidth="1"/>
    <col min="2" max="2" width="24.85546875" bestFit="1" customWidth="1"/>
    <col min="8" max="16" width="9.140625" style="15"/>
  </cols>
  <sheetData>
    <row r="1" spans="1:16" x14ac:dyDescent="0.3">
      <c r="A1" s="16" t="s">
        <v>32</v>
      </c>
      <c r="H1" s="14"/>
      <c r="I1" s="14"/>
      <c r="J1" s="14"/>
      <c r="K1" s="14"/>
      <c r="L1" s="14"/>
      <c r="M1" s="14"/>
      <c r="N1" s="14"/>
      <c r="O1" s="14"/>
      <c r="P1" s="14"/>
    </row>
    <row r="2" spans="1:16" x14ac:dyDescent="0.3">
      <c r="A2" s="17" t="s">
        <v>33</v>
      </c>
      <c r="H2" s="14"/>
      <c r="I2" s="14"/>
      <c r="J2" s="14"/>
      <c r="K2" s="14"/>
      <c r="L2" s="14"/>
      <c r="M2" s="14"/>
      <c r="N2" s="14"/>
      <c r="O2" s="14"/>
      <c r="P2" s="14"/>
    </row>
    <row r="4" spans="1:16" ht="15.75" x14ac:dyDescent="0.25">
      <c r="A4" s="2" t="s">
        <v>15</v>
      </c>
      <c r="B4" s="2" t="s">
        <v>16</v>
      </c>
    </row>
    <row r="5" spans="1:16" ht="31.5" x14ac:dyDescent="0.25">
      <c r="A5" s="19" t="s">
        <v>36</v>
      </c>
      <c r="B5" s="18" t="s">
        <v>35</v>
      </c>
    </row>
    <row r="6" spans="1:16" ht="47.25" x14ac:dyDescent="0.25">
      <c r="A6" s="19" t="s">
        <v>38</v>
      </c>
      <c r="B6" s="18" t="s">
        <v>40</v>
      </c>
    </row>
    <row r="7" spans="1:16" x14ac:dyDescent="0.3">
      <c r="D7" s="1" t="s">
        <v>17</v>
      </c>
      <c r="E7" s="13" t="s">
        <v>36</v>
      </c>
      <c r="F7" s="12">
        <v>4</v>
      </c>
    </row>
    <row r="9" spans="1:16" x14ac:dyDescent="0.3">
      <c r="H9" s="15" cm="1">
        <f t="array" ref="H9:K12">_xlfn.LAMBDA(_xlpm.n,_xlop.m, _xlfn.LET(_xlpm.m, IF(_xlfn.ISOMITTED(_xlpm.m),_xlpm.n,IF(_xlpm.m=0,_xlpm.n,_xlpm.m)), _xlfn.MAKEARRAY(_xlpm.n, _xlpm.m,_xlfn.LAMBDA(_xlpm.lin,_xlpm.col,1))) )($F$7)</f>
        <v>1</v>
      </c>
      <c r="I9" s="15">
        <v>1</v>
      </c>
      <c r="J9" s="15">
        <v>1</v>
      </c>
      <c r="K9" s="15">
        <v>1</v>
      </c>
    </row>
    <row r="10" spans="1:16" x14ac:dyDescent="0.3">
      <c r="H10" s="15">
        <v>1</v>
      </c>
      <c r="I10" s="15">
        <v>1</v>
      </c>
      <c r="J10" s="15">
        <v>1</v>
      </c>
      <c r="K10" s="15">
        <v>1</v>
      </c>
    </row>
    <row r="11" spans="1:16" x14ac:dyDescent="0.3">
      <c r="H11" s="15">
        <v>1</v>
      </c>
      <c r="I11" s="15">
        <v>1</v>
      </c>
      <c r="J11" s="15">
        <v>1</v>
      </c>
      <c r="K11" s="15">
        <v>1</v>
      </c>
    </row>
    <row r="12" spans="1:16" x14ac:dyDescent="0.3">
      <c r="H12" s="15">
        <v>1</v>
      </c>
      <c r="I12" s="15">
        <v>1</v>
      </c>
      <c r="J12" s="15">
        <v>1</v>
      </c>
      <c r="K12" s="15">
        <v>1</v>
      </c>
    </row>
    <row r="15" spans="1:16" x14ac:dyDescent="0.3">
      <c r="D15" s="1" t="s">
        <v>17</v>
      </c>
      <c r="E15" s="13" t="s">
        <v>36</v>
      </c>
      <c r="F15" s="12">
        <v>4</v>
      </c>
    </row>
    <row r="16" spans="1:16" x14ac:dyDescent="0.3">
      <c r="E16" s="13" t="s">
        <v>37</v>
      </c>
      <c r="F16" s="12">
        <v>2</v>
      </c>
    </row>
    <row r="17" spans="8:9" x14ac:dyDescent="0.3">
      <c r="H17" s="15" cm="1">
        <f t="array" ref="H17:I20">_xlfn.LAMBDA(_xlpm.n,_xlop.m, _xlfn.LET(_xlpm.m, IF(_xlfn.ISOMITTED(_xlpm.m),_xlpm.n,IF(_xlpm.m=0,_xlpm.n,_xlpm.m)), _xlfn.MAKEARRAY(_xlpm.n, _xlpm.m,_xlfn.LAMBDA(_xlpm.lin,_xlpm.col,1))) )($F$15,$F$16)</f>
        <v>1</v>
      </c>
      <c r="I17" s="15">
        <v>1</v>
      </c>
    </row>
    <row r="18" spans="8:9" x14ac:dyDescent="0.3">
      <c r="H18" s="15">
        <v>1</v>
      </c>
      <c r="I18" s="15">
        <v>1</v>
      </c>
    </row>
    <row r="19" spans="8:9" x14ac:dyDescent="0.3">
      <c r="H19" s="15">
        <v>1</v>
      </c>
      <c r="I19" s="15">
        <v>1</v>
      </c>
    </row>
    <row r="20" spans="8:9" x14ac:dyDescent="0.3">
      <c r="H20" s="15">
        <v>1</v>
      </c>
      <c r="I20" s="15">
        <v>1</v>
      </c>
    </row>
  </sheetData>
  <pageMargins left="0.511811024" right="0.511811024" top="0.78740157499999996" bottom="0.78740157499999996" header="0.31496062000000002" footer="0.3149606200000000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656C5-0298-4732-A389-ECE823DAA134}">
  <sheetPr codeName="Planilha5">
    <tabColor theme="9" tint="0.59999389629810485"/>
  </sheetPr>
  <dimension ref="A1:Q41"/>
  <sheetViews>
    <sheetView showGridLines="0" workbookViewId="0">
      <selection activeCell="K7" sqref="K7"/>
    </sheetView>
  </sheetViews>
  <sheetFormatPr defaultColWidth="8.85546875" defaultRowHeight="18.75" x14ac:dyDescent="0.3"/>
  <cols>
    <col min="1" max="1" width="12.7109375" style="17" customWidth="1"/>
    <col min="2" max="2" width="30.42578125" bestFit="1" customWidth="1"/>
    <col min="5" max="5" width="12.28515625" bestFit="1" customWidth="1"/>
    <col min="6" max="6" width="12.42578125" bestFit="1" customWidth="1"/>
    <col min="11" max="16" width="9.140625" style="15"/>
    <col min="17" max="17" width="12.42578125" style="15" bestFit="1" customWidth="1"/>
    <col min="18" max="19" width="12.42578125" bestFit="1" customWidth="1"/>
  </cols>
  <sheetData>
    <row r="1" spans="1:17" x14ac:dyDescent="0.3">
      <c r="A1" s="16" t="s">
        <v>20</v>
      </c>
      <c r="K1" s="14"/>
      <c r="L1" s="14"/>
      <c r="M1" s="14"/>
      <c r="N1" s="14"/>
      <c r="O1" s="14"/>
      <c r="P1" s="14"/>
      <c r="Q1" s="14"/>
    </row>
    <row r="2" spans="1:17" x14ac:dyDescent="0.3">
      <c r="A2" s="17" t="s">
        <v>21</v>
      </c>
      <c r="K2" s="14"/>
      <c r="L2" s="14"/>
      <c r="M2" s="14"/>
      <c r="N2" s="14"/>
      <c r="O2" s="14"/>
      <c r="P2" s="14"/>
      <c r="Q2" s="14"/>
    </row>
    <row r="4" spans="1:17" ht="15.75" x14ac:dyDescent="0.25">
      <c r="A4" s="2" t="s">
        <v>15</v>
      </c>
      <c r="B4" s="2" t="s">
        <v>16</v>
      </c>
    </row>
    <row r="5" spans="1:17" ht="78.75" x14ac:dyDescent="0.25">
      <c r="A5" s="19" t="s">
        <v>22</v>
      </c>
      <c r="B5" s="20" t="s">
        <v>25</v>
      </c>
    </row>
    <row r="6" spans="1:17" ht="63" x14ac:dyDescent="0.25">
      <c r="A6" s="19" t="s">
        <v>26</v>
      </c>
      <c r="B6" s="18" t="s">
        <v>27</v>
      </c>
    </row>
    <row r="7" spans="1:17" x14ac:dyDescent="0.3">
      <c r="D7" s="1" t="s">
        <v>17</v>
      </c>
      <c r="E7" s="13" t="s">
        <v>22</v>
      </c>
      <c r="F7" s="12">
        <v>1</v>
      </c>
      <c r="G7" s="12">
        <v>2</v>
      </c>
      <c r="H7" s="12">
        <v>3</v>
      </c>
      <c r="K7" s="15" cm="1">
        <f t="array" ref="K7:K9">_xlfn.LAMBDA(_xlpm.matrix,_xlop.k,
_xlfn.LET(_xlpm.k,IF(_xlfn.ISOMITTED(_xlpm.k),0,_xlpm.k),
IF(
AND(ROWS(_xlpm.matrix)&gt;1, COLUMNS(_xlpm.matrix)&gt;1), _xlfn._xlws.FILTER(VEC(_xlpm.matrix),VEC(_xlfn.MAKEARRAY(ROWS(_xlpm.matrix),COLUMNS(_xlpm.matrix),_xlfn.LAMBDA(_xlpm.lin,_xlpm.col,_xlpm.col=(_xlpm.lin+_xlpm.k))))),
IF(ROWS(_xlpm.matrix)=1, _xlpm.matrix*_xlfn.MUNIT(COLUMNS(_xlpm.matrix)),
IF(COLUMNS(_xlpm.matrix)=1,_xlpm.matrix*_xlfn.MUNIT(ROWS(_xlpm.matrix))
))))
)($F$7:$H$9)</f>
        <v>1</v>
      </c>
    </row>
    <row r="8" spans="1:17" x14ac:dyDescent="0.3">
      <c r="F8" s="12">
        <v>4</v>
      </c>
      <c r="G8" s="12">
        <v>5</v>
      </c>
      <c r="H8" s="12">
        <v>6</v>
      </c>
      <c r="K8" s="15">
        <v>5</v>
      </c>
    </row>
    <row r="9" spans="1:17" x14ac:dyDescent="0.3">
      <c r="F9" s="12">
        <v>7</v>
      </c>
      <c r="G9" s="12">
        <v>8</v>
      </c>
      <c r="H9" s="12">
        <v>9</v>
      </c>
      <c r="K9" s="15">
        <v>9</v>
      </c>
    </row>
    <row r="13" spans="1:17" x14ac:dyDescent="0.3">
      <c r="D13" s="1" t="s">
        <v>17</v>
      </c>
      <c r="E13" s="13" t="s">
        <v>22</v>
      </c>
      <c r="F13" s="12">
        <v>1</v>
      </c>
      <c r="G13" s="12">
        <v>2</v>
      </c>
      <c r="H13" s="12">
        <v>3</v>
      </c>
      <c r="K13" s="15" cm="1">
        <f t="array" ref="K13:M15">DIAG(DIAG(F13:H15))</f>
        <v>1</v>
      </c>
      <c r="L13" s="15">
        <v>0</v>
      </c>
      <c r="M13" s="15">
        <v>0</v>
      </c>
    </row>
    <row r="14" spans="1:17" x14ac:dyDescent="0.3">
      <c r="F14" s="12">
        <v>4</v>
      </c>
      <c r="G14" s="12">
        <v>5</v>
      </c>
      <c r="H14" s="12">
        <v>6</v>
      </c>
      <c r="K14" s="15">
        <v>0</v>
      </c>
      <c r="L14" s="15">
        <v>5</v>
      </c>
      <c r="M14" s="15">
        <v>0</v>
      </c>
    </row>
    <row r="15" spans="1:17" x14ac:dyDescent="0.3">
      <c r="F15" s="12">
        <v>7</v>
      </c>
      <c r="G15" s="12">
        <v>8</v>
      </c>
      <c r="H15" s="12">
        <v>9</v>
      </c>
      <c r="K15" s="15">
        <v>0</v>
      </c>
      <c r="L15" s="15">
        <v>0</v>
      </c>
      <c r="M15" s="15">
        <v>9</v>
      </c>
    </row>
    <row r="19" spans="4:13" x14ac:dyDescent="0.3">
      <c r="D19" s="1" t="s">
        <v>17</v>
      </c>
      <c r="E19" s="13" t="s">
        <v>22</v>
      </c>
      <c r="F19" s="12">
        <v>5</v>
      </c>
      <c r="G19" s="12"/>
      <c r="H19" s="12"/>
      <c r="K19" s="15" cm="1">
        <f t="array" ref="K19:M21">DIAG($F$19:$F$21)</f>
        <v>5</v>
      </c>
      <c r="L19" s="15">
        <v>0</v>
      </c>
      <c r="M19" s="15">
        <v>0</v>
      </c>
    </row>
    <row r="20" spans="4:13" x14ac:dyDescent="0.3">
      <c r="F20" s="12">
        <v>4</v>
      </c>
      <c r="G20" s="12"/>
      <c r="H20" s="12"/>
      <c r="K20" s="15">
        <v>0</v>
      </c>
      <c r="L20" s="15">
        <v>4</v>
      </c>
      <c r="M20" s="15">
        <v>0</v>
      </c>
    </row>
    <row r="21" spans="4:13" x14ac:dyDescent="0.3">
      <c r="F21" s="12">
        <v>7</v>
      </c>
      <c r="G21" s="12"/>
      <c r="H21" s="12"/>
      <c r="K21" s="15">
        <v>0</v>
      </c>
      <c r="L21" s="15">
        <v>0</v>
      </c>
      <c r="M21" s="15">
        <v>7</v>
      </c>
    </row>
    <row r="25" spans="4:13" x14ac:dyDescent="0.3">
      <c r="D25" s="1" t="s">
        <v>17</v>
      </c>
      <c r="E25" s="13" t="s">
        <v>22</v>
      </c>
      <c r="F25" s="12">
        <v>5</v>
      </c>
      <c r="G25" s="12">
        <v>4</v>
      </c>
      <c r="H25" s="12">
        <v>7</v>
      </c>
      <c r="K25" s="15" cm="1">
        <f t="array" ref="K25:M27">DIAG($F$25:$H$25)</f>
        <v>5</v>
      </c>
      <c r="L25" s="15">
        <v>0</v>
      </c>
      <c r="M25" s="15">
        <v>0</v>
      </c>
    </row>
    <row r="26" spans="4:13" x14ac:dyDescent="0.3">
      <c r="F26" s="12"/>
      <c r="G26" s="12"/>
      <c r="H26" s="12"/>
      <c r="K26" s="15">
        <v>0</v>
      </c>
      <c r="L26" s="15">
        <v>4</v>
      </c>
      <c r="M26" s="15">
        <v>0</v>
      </c>
    </row>
    <row r="27" spans="4:13" x14ac:dyDescent="0.3">
      <c r="F27" s="12"/>
      <c r="G27" s="12"/>
      <c r="H27" s="12"/>
      <c r="K27" s="15">
        <v>0</v>
      </c>
      <c r="L27" s="15">
        <v>0</v>
      </c>
      <c r="M27" s="15">
        <v>7</v>
      </c>
    </row>
    <row r="31" spans="4:13" x14ac:dyDescent="0.3">
      <c r="D31" s="1" t="s">
        <v>17</v>
      </c>
      <c r="E31" s="13" t="s">
        <v>22</v>
      </c>
      <c r="F31" s="12">
        <v>1</v>
      </c>
      <c r="G31" s="12">
        <v>2</v>
      </c>
      <c r="H31" s="12">
        <v>3</v>
      </c>
      <c r="K31" s="15" cm="1">
        <f t="array" ref="K31:K32">DIAG($F$31:$H$33,$F$34)</f>
        <v>2</v>
      </c>
    </row>
    <row r="32" spans="4:13" x14ac:dyDescent="0.3">
      <c r="F32" s="12">
        <v>4</v>
      </c>
      <c r="G32" s="12">
        <v>5</v>
      </c>
      <c r="H32" s="12">
        <v>6</v>
      </c>
      <c r="K32" s="15">
        <v>6</v>
      </c>
    </row>
    <row r="33" spans="4:11" x14ac:dyDescent="0.3">
      <c r="F33" s="12">
        <v>7</v>
      </c>
      <c r="G33" s="12">
        <v>8</v>
      </c>
      <c r="H33" s="12">
        <v>9</v>
      </c>
    </row>
    <row r="34" spans="4:11" x14ac:dyDescent="0.3">
      <c r="E34" s="13" t="s">
        <v>26</v>
      </c>
      <c r="F34" s="12">
        <v>1</v>
      </c>
    </row>
    <row r="38" spans="4:11" x14ac:dyDescent="0.3">
      <c r="D38" s="1" t="s">
        <v>17</v>
      </c>
      <c r="E38" s="13" t="s">
        <v>22</v>
      </c>
      <c r="F38" s="12">
        <v>1</v>
      </c>
      <c r="G38" s="12">
        <v>2</v>
      </c>
      <c r="K38" s="15" cm="1">
        <f t="array" ref="K38:K39">DIAG($F$38:$G$40,$F$41)</f>
        <v>4</v>
      </c>
    </row>
    <row r="39" spans="4:11" x14ac:dyDescent="0.3">
      <c r="F39" s="12">
        <v>4</v>
      </c>
      <c r="G39" s="12">
        <v>5</v>
      </c>
      <c r="K39" s="15">
        <v>8</v>
      </c>
    </row>
    <row r="40" spans="4:11" x14ac:dyDescent="0.3">
      <c r="F40" s="12">
        <v>7</v>
      </c>
      <c r="G40" s="12">
        <v>8</v>
      </c>
    </row>
    <row r="41" spans="4:11" x14ac:dyDescent="0.3">
      <c r="E41" s="13" t="s">
        <v>26</v>
      </c>
      <c r="F41" s="12">
        <v>-1</v>
      </c>
    </row>
  </sheetData>
  <pageMargins left="0.511811024" right="0.511811024" top="0.78740157499999996" bottom="0.78740157499999996" header="0.31496062000000002" footer="0.3149606200000000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F42A2-5F1C-4A99-AEA1-29C2348D1606}">
  <sheetPr codeName="Planilha6">
    <tabColor theme="9" tint="0.59999389629810485"/>
  </sheetPr>
  <dimension ref="A1:P16"/>
  <sheetViews>
    <sheetView showGridLines="0" workbookViewId="0">
      <selection activeCell="D5" sqref="D5"/>
    </sheetView>
  </sheetViews>
  <sheetFormatPr defaultColWidth="8.85546875" defaultRowHeight="18.75" x14ac:dyDescent="0.3"/>
  <cols>
    <col min="1" max="1" width="12.7109375" style="17" customWidth="1"/>
    <col min="2" max="2" width="30.42578125" bestFit="1" customWidth="1"/>
    <col min="5" max="5" width="12.28515625" bestFit="1" customWidth="1"/>
    <col min="6" max="6" width="12.42578125" bestFit="1" customWidth="1"/>
    <col min="10" max="10" width="12.42578125" style="15" bestFit="1" customWidth="1"/>
    <col min="11" max="15" width="9.140625" style="15"/>
    <col min="16" max="16" width="12.42578125" style="15" bestFit="1" customWidth="1"/>
  </cols>
  <sheetData>
    <row r="1" spans="1:16" x14ac:dyDescent="0.3">
      <c r="A1" s="16" t="s">
        <v>30</v>
      </c>
      <c r="J1" s="14"/>
      <c r="K1" s="14"/>
      <c r="L1" s="14"/>
      <c r="M1" s="14"/>
      <c r="N1" s="14"/>
      <c r="O1" s="14"/>
      <c r="P1" s="14"/>
    </row>
    <row r="2" spans="1:16" x14ac:dyDescent="0.3">
      <c r="A2" s="17" t="s">
        <v>54</v>
      </c>
      <c r="J2" s="14"/>
      <c r="K2" s="14"/>
      <c r="L2" s="14"/>
      <c r="M2" s="14"/>
      <c r="N2" s="14"/>
      <c r="O2" s="14"/>
      <c r="P2" s="14"/>
    </row>
    <row r="4" spans="1:16" ht="15.75" x14ac:dyDescent="0.25">
      <c r="A4" s="2" t="s">
        <v>15</v>
      </c>
      <c r="B4" s="2" t="s">
        <v>16</v>
      </c>
    </row>
    <row r="5" spans="1:16" ht="47.25" x14ac:dyDescent="0.25">
      <c r="A5" s="19" t="s">
        <v>22</v>
      </c>
      <c r="B5" s="20" t="s">
        <v>28</v>
      </c>
    </row>
    <row r="6" spans="1:16" ht="47.25" x14ac:dyDescent="0.25">
      <c r="A6" s="19" t="s">
        <v>26</v>
      </c>
      <c r="B6" s="18" t="s">
        <v>29</v>
      </c>
    </row>
    <row r="7" spans="1:16" x14ac:dyDescent="0.3">
      <c r="D7" s="1" t="s">
        <v>17</v>
      </c>
      <c r="E7" s="13" t="s">
        <v>22</v>
      </c>
      <c r="F7" s="12">
        <v>1</v>
      </c>
      <c r="G7" s="12">
        <v>2</v>
      </c>
      <c r="H7" s="12">
        <v>3</v>
      </c>
      <c r="J7" s="15" cm="1">
        <f t="array" ref="J7:L9">_xlfn.LAMBDA(_xlpm.matrix,_xlop.K,_xlfn.MAKEARRAY(ROWS(_xlpm.matrix),COLUMNS(_xlpm.matrix),_xlfn.LAMBDA(_xlpm.lin,_xlpm.col,_xlpm.col&lt;=(_xlpm.lin+_xlpm.K)))*_xlpm.matrix)(F7:H9)</f>
        <v>1</v>
      </c>
      <c r="K7" s="15">
        <v>0</v>
      </c>
      <c r="L7" s="15">
        <v>0</v>
      </c>
    </row>
    <row r="8" spans="1:16" x14ac:dyDescent="0.3">
      <c r="F8" s="12">
        <v>4</v>
      </c>
      <c r="G8" s="12">
        <v>5</v>
      </c>
      <c r="H8" s="12">
        <v>6</v>
      </c>
      <c r="J8" s="15">
        <v>4</v>
      </c>
      <c r="K8" s="15">
        <v>5</v>
      </c>
      <c r="L8" s="15">
        <v>0</v>
      </c>
    </row>
    <row r="9" spans="1:16" x14ac:dyDescent="0.3">
      <c r="F9" s="12">
        <v>7</v>
      </c>
      <c r="G9" s="12">
        <v>8</v>
      </c>
      <c r="H9" s="12">
        <v>9</v>
      </c>
      <c r="J9" s="15">
        <v>7</v>
      </c>
      <c r="K9" s="15">
        <v>8</v>
      </c>
      <c r="L9" s="15">
        <v>9</v>
      </c>
    </row>
    <row r="13" spans="1:16" x14ac:dyDescent="0.3">
      <c r="D13" s="1" t="s">
        <v>17</v>
      </c>
      <c r="E13" s="13" t="s">
        <v>22</v>
      </c>
      <c r="F13" s="12">
        <v>1</v>
      </c>
      <c r="G13" s="12">
        <v>2</v>
      </c>
      <c r="H13" s="12">
        <v>3</v>
      </c>
      <c r="J13" s="15" cm="1">
        <f t="array" ref="J13:L15">TRIL(F13:H15,F16)</f>
        <v>0</v>
      </c>
      <c r="K13" s="15">
        <v>0</v>
      </c>
      <c r="L13" s="15">
        <v>0</v>
      </c>
    </row>
    <row r="14" spans="1:16" x14ac:dyDescent="0.3">
      <c r="F14" s="12">
        <v>4</v>
      </c>
      <c r="G14" s="12">
        <v>5</v>
      </c>
      <c r="H14" s="12">
        <v>6</v>
      </c>
      <c r="J14" s="15">
        <v>4</v>
      </c>
      <c r="K14" s="15">
        <v>0</v>
      </c>
      <c r="L14" s="15">
        <v>0</v>
      </c>
    </row>
    <row r="15" spans="1:16" x14ac:dyDescent="0.3">
      <c r="F15" s="12">
        <v>7</v>
      </c>
      <c r="G15" s="12">
        <v>8</v>
      </c>
      <c r="H15" s="12">
        <v>9</v>
      </c>
      <c r="J15" s="15">
        <v>7</v>
      </c>
      <c r="K15" s="15">
        <v>8</v>
      </c>
      <c r="L15" s="15">
        <v>0</v>
      </c>
    </row>
    <row r="16" spans="1:16" x14ac:dyDescent="0.3">
      <c r="E16" s="13" t="s">
        <v>44</v>
      </c>
      <c r="F16" s="12">
        <v>-1</v>
      </c>
    </row>
  </sheetData>
  <pageMargins left="0.511811024" right="0.511811024" top="0.78740157499999996" bottom="0.78740157499999996" header="0.31496062000000002" footer="0.3149606200000000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F0B1A3-0EDF-4665-9E05-96427E8C5CF2}">
  <sheetPr codeName="Planilha7">
    <tabColor theme="9" tint="0.59999389629810485"/>
  </sheetPr>
  <dimension ref="A1:P16"/>
  <sheetViews>
    <sheetView showGridLines="0" workbookViewId="0">
      <selection activeCell="D5" sqref="D5"/>
    </sheetView>
  </sheetViews>
  <sheetFormatPr defaultColWidth="8.85546875" defaultRowHeight="18.75" x14ac:dyDescent="0.3"/>
  <cols>
    <col min="1" max="1" width="12.7109375" style="17" customWidth="1"/>
    <col min="2" max="2" width="30.42578125" bestFit="1" customWidth="1"/>
    <col min="5" max="5" width="12.28515625" bestFit="1" customWidth="1"/>
    <col min="6" max="6" width="12.42578125" bestFit="1" customWidth="1"/>
    <col min="10" max="10" width="12.42578125" style="15" bestFit="1" customWidth="1"/>
    <col min="11" max="15" width="9.140625" style="15"/>
    <col min="16" max="16" width="12.42578125" style="15" bestFit="1" customWidth="1"/>
  </cols>
  <sheetData>
    <row r="1" spans="1:16" x14ac:dyDescent="0.3">
      <c r="A1" s="16" t="s">
        <v>31</v>
      </c>
      <c r="J1" s="14"/>
      <c r="K1" s="14"/>
      <c r="L1" s="14"/>
      <c r="M1" s="14"/>
      <c r="N1" s="14"/>
      <c r="O1" s="14"/>
      <c r="P1" s="14"/>
    </row>
    <row r="2" spans="1:16" x14ac:dyDescent="0.3">
      <c r="A2" s="17" t="s">
        <v>53</v>
      </c>
      <c r="J2" s="14"/>
      <c r="K2" s="14"/>
      <c r="L2" s="14"/>
      <c r="M2" s="14"/>
      <c r="N2" s="14"/>
      <c r="O2" s="14"/>
      <c r="P2" s="14"/>
    </row>
    <row r="4" spans="1:16" ht="15.75" x14ac:dyDescent="0.25">
      <c r="A4" s="2" t="s">
        <v>15</v>
      </c>
      <c r="B4" s="2" t="s">
        <v>16</v>
      </c>
    </row>
    <row r="5" spans="1:16" ht="47.25" x14ac:dyDescent="0.25">
      <c r="A5" s="19" t="s">
        <v>22</v>
      </c>
      <c r="B5" s="20" t="s">
        <v>43</v>
      </c>
    </row>
    <row r="6" spans="1:16" ht="47.25" x14ac:dyDescent="0.25">
      <c r="A6" s="19" t="s">
        <v>26</v>
      </c>
      <c r="B6" s="18" t="s">
        <v>29</v>
      </c>
    </row>
    <row r="7" spans="1:16" x14ac:dyDescent="0.3">
      <c r="D7" s="1" t="s">
        <v>17</v>
      </c>
      <c r="E7" s="13" t="s">
        <v>22</v>
      </c>
      <c r="F7" s="12">
        <v>1</v>
      </c>
      <c r="G7" s="12">
        <v>2</v>
      </c>
      <c r="H7" s="12">
        <v>3</v>
      </c>
      <c r="J7" s="15" cm="1">
        <f t="array" ref="J7:L9">_xlfn.LAMBDA(_xlpm.matrix,_xlop.K,_xlfn.MAKEARRAY(ROWS(_xlpm.matrix),COLUMNS(_xlpm.matrix),_xlfn.LAMBDA(_xlpm.lin,_xlpm.col,_xlpm.col&gt;=(_xlpm.lin+_xlpm.K)))*_xlpm.matrix)(F7:H9)</f>
        <v>1</v>
      </c>
      <c r="K7" s="15">
        <v>2</v>
      </c>
      <c r="L7" s="15">
        <v>3</v>
      </c>
    </row>
    <row r="8" spans="1:16" x14ac:dyDescent="0.3">
      <c r="F8" s="12">
        <v>4</v>
      </c>
      <c r="G8" s="12">
        <v>5</v>
      </c>
      <c r="H8" s="12">
        <v>6</v>
      </c>
      <c r="J8" s="15">
        <v>0</v>
      </c>
      <c r="K8" s="15">
        <v>5</v>
      </c>
      <c r="L8" s="15">
        <v>6</v>
      </c>
    </row>
    <row r="9" spans="1:16" x14ac:dyDescent="0.3">
      <c r="F9" s="12">
        <v>7</v>
      </c>
      <c r="G9" s="12">
        <v>8</v>
      </c>
      <c r="H9" s="12">
        <v>9</v>
      </c>
      <c r="J9" s="15">
        <v>0</v>
      </c>
      <c r="K9" s="15">
        <v>0</v>
      </c>
      <c r="L9" s="15">
        <v>9</v>
      </c>
    </row>
    <row r="13" spans="1:16" x14ac:dyDescent="0.3">
      <c r="D13" s="1" t="s">
        <v>17</v>
      </c>
      <c r="E13" s="13" t="s">
        <v>22</v>
      </c>
      <c r="F13" s="12">
        <v>1</v>
      </c>
      <c r="G13" s="12">
        <v>2</v>
      </c>
      <c r="H13" s="12">
        <v>3</v>
      </c>
      <c r="J13" s="15" cm="1">
        <f t="array" ref="J13:L15">TRIU(F13:H15,F16)</f>
        <v>0</v>
      </c>
      <c r="K13" s="15">
        <v>2</v>
      </c>
      <c r="L13" s="15">
        <v>3</v>
      </c>
    </row>
    <row r="14" spans="1:16" x14ac:dyDescent="0.3">
      <c r="F14" s="12">
        <v>4</v>
      </c>
      <c r="G14" s="12">
        <v>5</v>
      </c>
      <c r="H14" s="12">
        <v>6</v>
      </c>
      <c r="J14" s="15">
        <v>0</v>
      </c>
      <c r="K14" s="15">
        <v>0</v>
      </c>
      <c r="L14" s="15">
        <v>6</v>
      </c>
    </row>
    <row r="15" spans="1:16" x14ac:dyDescent="0.3">
      <c r="F15" s="12">
        <v>7</v>
      </c>
      <c r="G15" s="12">
        <v>8</v>
      </c>
      <c r="H15" s="12">
        <v>9</v>
      </c>
      <c r="J15" s="15">
        <v>0</v>
      </c>
      <c r="K15" s="15">
        <v>0</v>
      </c>
      <c r="L15" s="15">
        <v>0</v>
      </c>
    </row>
    <row r="16" spans="1:16" x14ac:dyDescent="0.3">
      <c r="E16" s="13" t="s">
        <v>44</v>
      </c>
      <c r="F16" s="12">
        <v>1</v>
      </c>
    </row>
  </sheetData>
  <pageMargins left="0.511811024" right="0.511811024" top="0.78740157499999996" bottom="0.78740157499999996" header="0.31496062000000002" footer="0.3149606200000000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53021-1C77-490D-A75C-6E51718CFDEE}">
  <sheetPr codeName="Planilha9">
    <tabColor theme="9" tint="0.59999389629810485"/>
  </sheetPr>
  <dimension ref="A1:Q28"/>
  <sheetViews>
    <sheetView showGridLines="0" workbookViewId="0">
      <selection activeCell="K9" sqref="K9"/>
    </sheetView>
  </sheetViews>
  <sheetFormatPr defaultColWidth="8.85546875" defaultRowHeight="18.75" x14ac:dyDescent="0.3"/>
  <cols>
    <col min="1" max="1" width="12.7109375" style="17" customWidth="1"/>
    <col min="2" max="2" width="30.42578125" bestFit="1" customWidth="1"/>
    <col min="5" max="5" width="12.28515625" bestFit="1" customWidth="1"/>
    <col min="6" max="6" width="12.42578125" bestFit="1" customWidth="1"/>
    <col min="11" max="11" width="11.28515625" style="15" bestFit="1" customWidth="1"/>
    <col min="12" max="16" width="9.140625" style="15"/>
    <col min="17" max="17" width="12.42578125" style="15" bestFit="1" customWidth="1"/>
    <col min="18" max="19" width="12.42578125" bestFit="1" customWidth="1"/>
  </cols>
  <sheetData>
    <row r="1" spans="1:17" x14ac:dyDescent="0.3">
      <c r="A1" s="16" t="s">
        <v>41</v>
      </c>
      <c r="K1" s="14"/>
      <c r="L1" s="14"/>
      <c r="M1" s="14"/>
      <c r="N1" s="14"/>
      <c r="O1" s="14"/>
      <c r="P1" s="14"/>
      <c r="Q1" s="14"/>
    </row>
    <row r="2" spans="1:17" x14ac:dyDescent="0.3">
      <c r="A2" s="17" t="s">
        <v>132</v>
      </c>
      <c r="K2" s="14"/>
      <c r="L2" s="14"/>
      <c r="M2" s="14"/>
      <c r="N2" s="14"/>
      <c r="O2" s="14"/>
      <c r="P2" s="14"/>
      <c r="Q2" s="14"/>
    </row>
    <row r="4" spans="1:17" ht="15.75" x14ac:dyDescent="0.25">
      <c r="A4" s="2" t="s">
        <v>15</v>
      </c>
      <c r="B4" s="2" t="s">
        <v>16</v>
      </c>
    </row>
    <row r="5" spans="1:17" ht="31.5" x14ac:dyDescent="0.25">
      <c r="A5" s="19" t="s">
        <v>22</v>
      </c>
      <c r="B5" s="20" t="s">
        <v>42</v>
      </c>
    </row>
    <row r="6" spans="1:17" ht="63" x14ac:dyDescent="0.25">
      <c r="A6" s="23" t="s">
        <v>129</v>
      </c>
      <c r="B6" s="24" t="s">
        <v>130</v>
      </c>
    </row>
    <row r="9" spans="1:17" x14ac:dyDescent="0.3">
      <c r="D9" s="1" t="s">
        <v>17</v>
      </c>
      <c r="E9" s="13" t="s">
        <v>22</v>
      </c>
      <c r="F9" s="12">
        <v>1</v>
      </c>
      <c r="G9" s="12">
        <v>2</v>
      </c>
      <c r="H9" s="12">
        <v>3</v>
      </c>
      <c r="K9" s="15" cm="1">
        <f t="array" ref="K9:K17">_xlfn.LAMBDA(_xlpm.matrix,_xlop.rowsToCols,
_xlfn.LET( _xlpm.rowsToCols, IF(_xlfn.ISOMITTED(_xlpm.rowsToCols),FALSE,_xlpm.rowsToCols),
_xlpm.matrix, IF(_xlpm.rowsToCols, _xlpm.matrix, TRANSPOSE(_xlpm.matrix)),
INDEX(_xlpm.matrix,
_xlfn.MAKEARRAY(ROWS(_xlpm.matrix)*COLUMNS(_xlpm.matrix),1,_xlfn.LAMBDA(_xlpm.lin,_xlpm.col,ROUNDUP(_xlpm.lin/COLUMNS(_xlpm.matrix),0))),
_xlfn.MAKEARRAY(ROWS(_xlpm.matrix)*COLUMNS(_xlpm.matrix),1,_xlfn.LAMBDA(_xlpm.lin,_xlpm.col,MOD(_xlpm.lin-1,COLUMNS(_xlpm.matrix))+1))
))
)($F$9:$H$11,$F$13)</f>
        <v>1</v>
      </c>
    </row>
    <row r="10" spans="1:17" x14ac:dyDescent="0.3">
      <c r="F10" s="12">
        <v>4</v>
      </c>
      <c r="G10" s="12">
        <v>5</v>
      </c>
      <c r="H10" s="12">
        <v>6</v>
      </c>
      <c r="K10" s="15">
        <v>4</v>
      </c>
    </row>
    <row r="11" spans="1:17" x14ac:dyDescent="0.3">
      <c r="F11" s="12">
        <v>7</v>
      </c>
      <c r="G11" s="12">
        <v>8</v>
      </c>
      <c r="H11" s="12">
        <v>9</v>
      </c>
      <c r="K11" s="15">
        <v>7</v>
      </c>
    </row>
    <row r="12" spans="1:17" x14ac:dyDescent="0.3">
      <c r="K12" s="15">
        <v>2</v>
      </c>
    </row>
    <row r="13" spans="1:17" x14ac:dyDescent="0.3">
      <c r="E13" s="13" t="s">
        <v>131</v>
      </c>
      <c r="F13" s="12" t="b">
        <v>0</v>
      </c>
      <c r="K13" s="15">
        <v>5</v>
      </c>
    </row>
    <row r="14" spans="1:17" x14ac:dyDescent="0.3">
      <c r="K14" s="15">
        <v>8</v>
      </c>
    </row>
    <row r="15" spans="1:17" x14ac:dyDescent="0.3">
      <c r="K15" s="15">
        <v>3</v>
      </c>
    </row>
    <row r="16" spans="1:17" x14ac:dyDescent="0.3">
      <c r="K16" s="15">
        <v>6</v>
      </c>
    </row>
    <row r="17" spans="4:11" x14ac:dyDescent="0.3">
      <c r="K17" s="15">
        <v>9</v>
      </c>
    </row>
    <row r="20" spans="4:11" x14ac:dyDescent="0.3">
      <c r="D20" s="1" t="s">
        <v>17</v>
      </c>
      <c r="E20" s="13" t="s">
        <v>22</v>
      </c>
      <c r="F20" s="12">
        <v>1</v>
      </c>
      <c r="G20" s="12">
        <v>2</v>
      </c>
      <c r="H20" s="12">
        <v>3</v>
      </c>
      <c r="K20" s="15" cm="1">
        <f t="array" ref="K20:K28">VEC($F$20:$H$22,$F$24)</f>
        <v>1</v>
      </c>
    </row>
    <row r="21" spans="4:11" x14ac:dyDescent="0.3">
      <c r="F21" s="12">
        <v>4</v>
      </c>
      <c r="G21" s="12">
        <v>5</v>
      </c>
      <c r="H21" s="12">
        <v>6</v>
      </c>
      <c r="K21" s="15">
        <v>2</v>
      </c>
    </row>
    <row r="22" spans="4:11" x14ac:dyDescent="0.3">
      <c r="F22" s="12">
        <v>7</v>
      </c>
      <c r="G22" s="12">
        <v>8</v>
      </c>
      <c r="H22" s="12">
        <v>9</v>
      </c>
      <c r="K22" s="15">
        <v>3</v>
      </c>
    </row>
    <row r="23" spans="4:11" x14ac:dyDescent="0.3">
      <c r="K23" s="15">
        <v>4</v>
      </c>
    </row>
    <row r="24" spans="4:11" x14ac:dyDescent="0.3">
      <c r="E24" s="13" t="s">
        <v>131</v>
      </c>
      <c r="F24" s="12" t="b">
        <v>1</v>
      </c>
      <c r="K24" s="15">
        <v>5</v>
      </c>
    </row>
    <row r="25" spans="4:11" x14ac:dyDescent="0.3">
      <c r="K25" s="15">
        <v>6</v>
      </c>
    </row>
    <row r="26" spans="4:11" x14ac:dyDescent="0.3">
      <c r="K26" s="15">
        <v>7</v>
      </c>
    </row>
    <row r="27" spans="4:11" x14ac:dyDescent="0.3">
      <c r="K27" s="15">
        <v>8</v>
      </c>
    </row>
    <row r="28" spans="4:11" x14ac:dyDescent="0.3">
      <c r="K28" s="15">
        <v>9</v>
      </c>
    </row>
  </sheetData>
  <pageMargins left="0.511811024" right="0.511811024" top="0.78740157499999996" bottom="0.78740157499999996" header="0.31496062000000002" footer="0.3149606200000000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6E71AD-9CA6-480E-AF47-13505DC15D2B}">
  <sheetPr codeName="Planilha16">
    <tabColor theme="9" tint="0.59999389629810485"/>
  </sheetPr>
  <dimension ref="A1:Q34"/>
  <sheetViews>
    <sheetView showGridLines="0" workbookViewId="0">
      <selection activeCell="H5" sqref="H5"/>
    </sheetView>
  </sheetViews>
  <sheetFormatPr defaultColWidth="8.85546875" defaultRowHeight="18.75" x14ac:dyDescent="0.3"/>
  <cols>
    <col min="1" max="1" width="12.7109375" style="17" customWidth="1"/>
    <col min="2" max="2" width="30.42578125" bestFit="1" customWidth="1"/>
    <col min="5" max="5" width="12.28515625" bestFit="1" customWidth="1"/>
    <col min="6" max="6" width="12.42578125" bestFit="1" customWidth="1"/>
    <col min="11" max="11" width="11.28515625" style="15" bestFit="1" customWidth="1"/>
    <col min="12" max="16" width="8.85546875" style="15"/>
    <col min="17" max="17" width="12.42578125" style="15" bestFit="1" customWidth="1"/>
    <col min="18" max="19" width="12.42578125" bestFit="1" customWidth="1"/>
  </cols>
  <sheetData>
    <row r="1" spans="1:17" x14ac:dyDescent="0.3">
      <c r="A1" s="16" t="s">
        <v>124</v>
      </c>
      <c r="K1" s="14"/>
      <c r="L1" s="14"/>
      <c r="M1" s="14"/>
      <c r="N1" s="14"/>
      <c r="O1" s="14"/>
      <c r="P1" s="14"/>
      <c r="Q1" s="14"/>
    </row>
    <row r="2" spans="1:17" x14ac:dyDescent="0.3">
      <c r="A2" s="17" t="s">
        <v>125</v>
      </c>
      <c r="K2" s="14"/>
      <c r="L2" s="14"/>
      <c r="M2" s="14"/>
      <c r="N2" s="14"/>
      <c r="O2" s="14"/>
      <c r="P2" s="14"/>
      <c r="Q2" s="14"/>
    </row>
    <row r="4" spans="1:17" ht="15.75" x14ac:dyDescent="0.25">
      <c r="A4" s="2" t="s">
        <v>15</v>
      </c>
      <c r="B4" s="2" t="s">
        <v>16</v>
      </c>
    </row>
    <row r="5" spans="1:17" ht="31.5" x14ac:dyDescent="0.25">
      <c r="A5" s="19" t="s">
        <v>22</v>
      </c>
      <c r="B5" s="26" t="s">
        <v>128</v>
      </c>
    </row>
    <row r="6" spans="1:17" ht="15.75" x14ac:dyDescent="0.25">
      <c r="A6" s="23" t="s">
        <v>36</v>
      </c>
      <c r="B6" s="24" t="s">
        <v>126</v>
      </c>
    </row>
    <row r="7" spans="1:17" ht="15.75" x14ac:dyDescent="0.25">
      <c r="A7" s="23" t="s">
        <v>37</v>
      </c>
      <c r="B7" s="24" t="s">
        <v>127</v>
      </c>
    </row>
    <row r="8" spans="1:17" ht="63" x14ac:dyDescent="0.25">
      <c r="A8" s="23" t="s">
        <v>129</v>
      </c>
      <c r="B8" s="24" t="s">
        <v>130</v>
      </c>
    </row>
    <row r="10" spans="1:17" x14ac:dyDescent="0.3">
      <c r="D10" s="1" t="s">
        <v>17</v>
      </c>
      <c r="E10" s="13" t="s">
        <v>22</v>
      </c>
      <c r="F10" s="12">
        <v>1</v>
      </c>
      <c r="G10" s="12">
        <v>4</v>
      </c>
      <c r="H10" s="12">
        <v>7</v>
      </c>
      <c r="I10" s="12">
        <v>10</v>
      </c>
      <c r="K10" s="15" cm="1">
        <f t="array" ref="K10:M13">_xlfn.LAMBDA(_xlpm.matrix,_xlpm.n,_xlpm.m,_xlop.rowsToCols, _xlfn.LET( _xlpm.rowsToCols, IF(_xlfn.ISOMITTED(_xlpm.rowsToCols),FALSE,_xlpm.rowsToCols), _xlpm.vecMatrix, VEC( IF(_xlpm.rowsToCols, _xlpm.matrix, TRANSPOSE(_xlpm.matrix)) ), IF( _xlpm.n+1 &lt;= ROWS(_xlpm.vecMatrix), HORZCAT( SLICE( _xlpm.vecMatrix, 1, _xlpm.n ), RESHAPE( SLICE( _xlpm.vecMatrix, _xlpm.n+1, ROWS(_xlpm.vecMatrix)  ), _xlpm.n,  _xlpm.m, TRUE) ), _xlpm.vecMatrix ) ))($F$10:$I$12,$F$14,$F$15,$F$16)</f>
        <v>1</v>
      </c>
      <c r="L10" s="15">
        <v>2</v>
      </c>
      <c r="M10" s="15">
        <v>3</v>
      </c>
    </row>
    <row r="11" spans="1:17" x14ac:dyDescent="0.3">
      <c r="F11" s="12">
        <v>2</v>
      </c>
      <c r="G11" s="12">
        <v>5</v>
      </c>
      <c r="H11" s="12">
        <v>8</v>
      </c>
      <c r="I11" s="12">
        <v>11</v>
      </c>
      <c r="K11" s="15">
        <v>4</v>
      </c>
      <c r="L11" s="15">
        <v>5</v>
      </c>
      <c r="M11" s="15">
        <v>6</v>
      </c>
    </row>
    <row r="12" spans="1:17" x14ac:dyDescent="0.3">
      <c r="F12" s="12">
        <v>3</v>
      </c>
      <c r="G12" s="12">
        <v>6</v>
      </c>
      <c r="H12" s="12">
        <v>9</v>
      </c>
      <c r="I12" s="12">
        <v>12</v>
      </c>
      <c r="K12" s="15">
        <v>7</v>
      </c>
      <c r="L12" s="15">
        <v>8</v>
      </c>
      <c r="M12" s="15">
        <v>9</v>
      </c>
    </row>
    <row r="13" spans="1:17" x14ac:dyDescent="0.3">
      <c r="K13" s="15">
        <v>10</v>
      </c>
      <c r="L13" s="15">
        <v>11</v>
      </c>
      <c r="M13" s="15">
        <v>12</v>
      </c>
    </row>
    <row r="14" spans="1:17" x14ac:dyDescent="0.3">
      <c r="E14" s="13" t="s">
        <v>36</v>
      </c>
      <c r="F14" s="12">
        <v>4</v>
      </c>
    </row>
    <row r="15" spans="1:17" x14ac:dyDescent="0.3">
      <c r="E15" s="13" t="s">
        <v>37</v>
      </c>
      <c r="F15" s="12">
        <v>3</v>
      </c>
    </row>
    <row r="16" spans="1:17" x14ac:dyDescent="0.3">
      <c r="E16" s="13" t="s">
        <v>131</v>
      </c>
      <c r="F16" s="12" t="b">
        <v>0</v>
      </c>
    </row>
    <row r="19" spans="4:12" x14ac:dyDescent="0.3">
      <c r="D19" s="1" t="s">
        <v>17</v>
      </c>
      <c r="E19" s="13" t="s">
        <v>22</v>
      </c>
      <c r="F19" s="12">
        <v>1</v>
      </c>
      <c r="G19" s="12">
        <v>4</v>
      </c>
      <c r="H19" s="12">
        <v>7</v>
      </c>
      <c r="K19" s="15" cm="1">
        <f t="array" ref="K19:L23">RESHAPE($F$19:$H$21,$F$23,$F$24,$F$25)</f>
        <v>1</v>
      </c>
      <c r="L19" s="15">
        <v>8</v>
      </c>
    </row>
    <row r="20" spans="4:12" x14ac:dyDescent="0.3">
      <c r="F20" s="12">
        <v>2</v>
      </c>
      <c r="G20" s="12">
        <v>5</v>
      </c>
      <c r="H20" s="12">
        <v>8</v>
      </c>
      <c r="K20" s="15">
        <v>4</v>
      </c>
      <c r="L20" s="15">
        <v>3</v>
      </c>
    </row>
    <row r="21" spans="4:12" x14ac:dyDescent="0.3">
      <c r="F21" s="12">
        <v>3</v>
      </c>
      <c r="G21" s="12">
        <v>6</v>
      </c>
      <c r="H21" s="12">
        <v>9</v>
      </c>
      <c r="K21" s="15">
        <v>7</v>
      </c>
      <c r="L21" s="15">
        <v>6</v>
      </c>
    </row>
    <row r="22" spans="4:12" x14ac:dyDescent="0.3">
      <c r="K22" s="15">
        <v>2</v>
      </c>
      <c r="L22" s="15">
        <v>9</v>
      </c>
    </row>
    <row r="23" spans="4:12" x14ac:dyDescent="0.3">
      <c r="E23" s="13" t="s">
        <v>36</v>
      </c>
      <c r="F23" s="12">
        <v>5</v>
      </c>
      <c r="K23" s="15">
        <v>5</v>
      </c>
      <c r="L23" s="15" t="e">
        <v>#REF!</v>
      </c>
    </row>
    <row r="24" spans="4:12" x14ac:dyDescent="0.3">
      <c r="E24" s="13" t="s">
        <v>37</v>
      </c>
      <c r="F24" s="12">
        <v>2</v>
      </c>
    </row>
    <row r="25" spans="4:12" x14ac:dyDescent="0.3">
      <c r="E25" s="13" t="s">
        <v>131</v>
      </c>
      <c r="F25" s="12" t="b">
        <v>0</v>
      </c>
    </row>
    <row r="28" spans="4:12" x14ac:dyDescent="0.3">
      <c r="D28" s="1" t="s">
        <v>17</v>
      </c>
      <c r="E28" s="13" t="s">
        <v>22</v>
      </c>
      <c r="F28" s="12">
        <v>1</v>
      </c>
      <c r="G28" s="12">
        <v>4</v>
      </c>
      <c r="H28" s="12">
        <v>7</v>
      </c>
      <c r="K28" s="15" cm="1">
        <f t="array" ref="K28:L32">RESHAPE($F$28:$H$30,$F$32,$F$33,$F$34)</f>
        <v>1</v>
      </c>
      <c r="L28" s="15">
        <v>6</v>
      </c>
    </row>
    <row r="29" spans="4:12" x14ac:dyDescent="0.3">
      <c r="F29" s="12">
        <v>2</v>
      </c>
      <c r="G29" s="12">
        <v>5</v>
      </c>
      <c r="H29" s="12">
        <v>8</v>
      </c>
      <c r="K29" s="15">
        <v>2</v>
      </c>
      <c r="L29" s="15">
        <v>7</v>
      </c>
    </row>
    <row r="30" spans="4:12" x14ac:dyDescent="0.3">
      <c r="F30" s="12">
        <v>3</v>
      </c>
      <c r="G30" s="12">
        <v>6</v>
      </c>
      <c r="H30" s="12">
        <v>9</v>
      </c>
      <c r="K30" s="15">
        <v>3</v>
      </c>
      <c r="L30" s="15">
        <v>8</v>
      </c>
    </row>
    <row r="31" spans="4:12" x14ac:dyDescent="0.3">
      <c r="K31" s="15">
        <v>4</v>
      </c>
      <c r="L31" s="15">
        <v>9</v>
      </c>
    </row>
    <row r="32" spans="4:12" x14ac:dyDescent="0.3">
      <c r="E32" s="13" t="s">
        <v>36</v>
      </c>
      <c r="F32" s="12">
        <v>5</v>
      </c>
      <c r="K32" s="15">
        <v>5</v>
      </c>
      <c r="L32" s="15" t="e">
        <v>#REF!</v>
      </c>
    </row>
    <row r="33" spans="5:6" x14ac:dyDescent="0.3">
      <c r="E33" s="13" t="s">
        <v>37</v>
      </c>
      <c r="F33" s="12">
        <v>2</v>
      </c>
    </row>
    <row r="34" spans="5:6" x14ac:dyDescent="0.3">
      <c r="E34" s="13" t="s">
        <v>131</v>
      </c>
      <c r="F34" s="12" t="b">
        <v>1</v>
      </c>
    </row>
  </sheetData>
  <pageMargins left="0.511811024" right="0.511811024" top="0.78740157499999996" bottom="0.78740157499999996" header="0.31496062000000002" footer="0.3149606200000000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2DEC5-68FB-4441-9AF3-3B0CD23070AF}">
  <sheetPr codeName="Planilha17">
    <tabColor theme="9" tint="0.59999389629810485"/>
  </sheetPr>
  <dimension ref="A1:Q12"/>
  <sheetViews>
    <sheetView showGridLines="0" workbookViewId="0">
      <selection activeCell="D5" sqref="D5"/>
    </sheetView>
  </sheetViews>
  <sheetFormatPr defaultColWidth="8.85546875" defaultRowHeight="18.75" x14ac:dyDescent="0.3"/>
  <cols>
    <col min="1" max="1" width="12.7109375" style="17" customWidth="1"/>
    <col min="2" max="2" width="30.42578125" bestFit="1" customWidth="1"/>
    <col min="5" max="5" width="12.28515625" bestFit="1" customWidth="1"/>
    <col min="6" max="6" width="12.42578125" bestFit="1" customWidth="1"/>
    <col min="11" max="11" width="11.28515625" style="15" bestFit="1" customWidth="1"/>
    <col min="12" max="16" width="8.85546875" style="15"/>
    <col min="17" max="17" width="12.42578125" style="15" bestFit="1" customWidth="1"/>
    <col min="18" max="19" width="12.42578125" bestFit="1" customWidth="1"/>
  </cols>
  <sheetData>
    <row r="1" spans="1:17" x14ac:dyDescent="0.3">
      <c r="A1" s="16" t="s">
        <v>45</v>
      </c>
      <c r="K1" s="14"/>
      <c r="L1" s="14"/>
      <c r="M1" s="14"/>
      <c r="N1" s="14"/>
      <c r="O1" s="14"/>
      <c r="P1" s="14"/>
      <c r="Q1" s="14"/>
    </row>
    <row r="2" spans="1:17" x14ac:dyDescent="0.3">
      <c r="A2" s="17" t="s">
        <v>52</v>
      </c>
      <c r="K2" s="14"/>
      <c r="L2" s="14"/>
      <c r="M2" s="14"/>
      <c r="N2" s="14"/>
      <c r="O2" s="14"/>
      <c r="P2" s="14"/>
      <c r="Q2" s="14"/>
    </row>
    <row r="4" spans="1:17" ht="15.75" x14ac:dyDescent="0.25">
      <c r="A4" s="2" t="s">
        <v>15</v>
      </c>
      <c r="B4" s="2" t="s">
        <v>16</v>
      </c>
    </row>
    <row r="5" spans="1:17" ht="31.5" x14ac:dyDescent="0.25">
      <c r="A5" s="19" t="s">
        <v>22</v>
      </c>
      <c r="B5" s="20" t="s">
        <v>46</v>
      </c>
    </row>
    <row r="6" spans="1:17" ht="15.75" x14ac:dyDescent="0.25">
      <c r="A6" s="19"/>
      <c r="B6" s="18"/>
    </row>
    <row r="7" spans="1:17" x14ac:dyDescent="0.3">
      <c r="D7" s="1" t="s">
        <v>17</v>
      </c>
      <c r="E7" s="13" t="s">
        <v>22</v>
      </c>
      <c r="F7" s="12">
        <v>1</v>
      </c>
      <c r="G7" s="12">
        <v>2</v>
      </c>
      <c r="H7" s="12">
        <v>3</v>
      </c>
      <c r="K7" s="15" cm="1">
        <f t="array" ref="K7:M7">_xlfn.LAMBDA(_xlpm.matrix,_xlfn.LET(_xlpm.matrix2,TRANSPOSE(_xlpm.matrix),TRANSPOSE(_xlfn.SORTBY(_xlpm.matrix2,_xlfn.SEQUENCE(ROWS(_xlpm.matrix2),1),-1))))($F$7:$H$7)</f>
        <v>3</v>
      </c>
      <c r="L7" s="15">
        <v>2</v>
      </c>
      <c r="M7" s="15">
        <v>1</v>
      </c>
    </row>
    <row r="10" spans="1:17" x14ac:dyDescent="0.3">
      <c r="D10" s="1" t="s">
        <v>17</v>
      </c>
      <c r="E10" s="13" t="s">
        <v>22</v>
      </c>
      <c r="F10" s="12">
        <v>1</v>
      </c>
      <c r="G10" s="12">
        <v>2</v>
      </c>
      <c r="H10" s="12">
        <v>3</v>
      </c>
      <c r="K10" s="15" cm="1">
        <f t="array" ref="K10:M12">FLIPLR($F$10:$H$12)</f>
        <v>3</v>
      </c>
      <c r="L10" s="15">
        <v>2</v>
      </c>
      <c r="M10" s="15">
        <v>1</v>
      </c>
    </row>
    <row r="11" spans="1:17" x14ac:dyDescent="0.3">
      <c r="F11" s="12">
        <v>4</v>
      </c>
      <c r="G11" s="12">
        <v>5</v>
      </c>
      <c r="H11" s="12">
        <v>6</v>
      </c>
      <c r="K11" s="15">
        <v>6</v>
      </c>
      <c r="L11" s="15">
        <v>5</v>
      </c>
      <c r="M11" s="15">
        <v>4</v>
      </c>
    </row>
    <row r="12" spans="1:17" x14ac:dyDescent="0.3">
      <c r="F12" s="12">
        <v>7</v>
      </c>
      <c r="G12" s="12">
        <v>8</v>
      </c>
      <c r="H12" s="12">
        <v>9</v>
      </c>
      <c r="K12" s="15">
        <v>9</v>
      </c>
      <c r="L12" s="15">
        <v>8</v>
      </c>
      <c r="M12" s="15">
        <v>7</v>
      </c>
    </row>
  </sheetData>
  <pageMargins left="0.511811024" right="0.511811024" top="0.78740157499999996" bottom="0.78740157499999996" header="0.31496062000000002" footer="0.3149606200000000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C07DF-B4FB-4CE5-B471-33A0D5B27BBA}">
  <sheetPr codeName="Planilha18">
    <tabColor theme="9" tint="0.59999389629810485"/>
  </sheetPr>
  <dimension ref="A1:Q16"/>
  <sheetViews>
    <sheetView showGridLines="0" workbookViewId="0">
      <selection activeCell="K14" sqref="K14"/>
    </sheetView>
  </sheetViews>
  <sheetFormatPr defaultColWidth="8.85546875" defaultRowHeight="18.75" x14ac:dyDescent="0.3"/>
  <cols>
    <col min="1" max="1" width="12.7109375" style="17" customWidth="1"/>
    <col min="2" max="2" width="30.42578125" bestFit="1" customWidth="1"/>
    <col min="5" max="5" width="12.28515625" bestFit="1" customWidth="1"/>
    <col min="6" max="6" width="12.42578125" bestFit="1" customWidth="1"/>
    <col min="11" max="11" width="11.28515625" style="15" bestFit="1" customWidth="1"/>
    <col min="12" max="16" width="8.85546875" style="15"/>
    <col min="17" max="17" width="12.42578125" style="15" bestFit="1" customWidth="1"/>
    <col min="18" max="19" width="12.42578125" bestFit="1" customWidth="1"/>
  </cols>
  <sheetData>
    <row r="1" spans="1:17" x14ac:dyDescent="0.3">
      <c r="A1" s="16" t="s">
        <v>47</v>
      </c>
      <c r="K1" s="14"/>
      <c r="L1" s="14"/>
      <c r="M1" s="14"/>
      <c r="N1" s="14"/>
      <c r="O1" s="14"/>
      <c r="P1" s="14"/>
      <c r="Q1" s="14"/>
    </row>
    <row r="2" spans="1:17" x14ac:dyDescent="0.3">
      <c r="A2" s="17" t="s">
        <v>48</v>
      </c>
      <c r="K2" s="14"/>
      <c r="L2" s="14"/>
      <c r="M2" s="14"/>
      <c r="N2" s="14"/>
      <c r="O2" s="14"/>
      <c r="P2" s="14"/>
      <c r="Q2" s="14"/>
    </row>
    <row r="4" spans="1:17" ht="15.75" x14ac:dyDescent="0.25">
      <c r="A4" s="2" t="s">
        <v>15</v>
      </c>
      <c r="B4" s="2" t="s">
        <v>16</v>
      </c>
    </row>
    <row r="5" spans="1:17" ht="31.5" x14ac:dyDescent="0.25">
      <c r="A5" s="19" t="s">
        <v>22</v>
      </c>
      <c r="B5" s="20" t="s">
        <v>46</v>
      </c>
    </row>
    <row r="6" spans="1:17" ht="15.75" x14ac:dyDescent="0.25">
      <c r="A6" s="19"/>
      <c r="B6" s="18"/>
    </row>
    <row r="7" spans="1:17" x14ac:dyDescent="0.3">
      <c r="D7" s="1" t="s">
        <v>17</v>
      </c>
      <c r="E7" s="13" t="s">
        <v>22</v>
      </c>
      <c r="F7" s="12">
        <v>1</v>
      </c>
      <c r="K7" s="15" cm="1">
        <f t="array" ref="K7:K9">_xlfn.LAMBDA(_xlpm.matrix, _xlfn.SORTBY(_xlpm.matrix, _xlfn.SEQUENCE(ROWS(_xlpm.matrix),1),-1) )($F$7:$F$9)</f>
        <v>3</v>
      </c>
    </row>
    <row r="8" spans="1:17" x14ac:dyDescent="0.3">
      <c r="F8" s="12">
        <v>2</v>
      </c>
      <c r="K8" s="15">
        <v>2</v>
      </c>
    </row>
    <row r="9" spans="1:17" x14ac:dyDescent="0.3">
      <c r="F9" s="12">
        <v>3</v>
      </c>
      <c r="K9" s="15">
        <v>1</v>
      </c>
    </row>
    <row r="14" spans="1:17" x14ac:dyDescent="0.3">
      <c r="D14" s="1" t="s">
        <v>17</v>
      </c>
      <c r="E14" s="13" t="s">
        <v>22</v>
      </c>
      <c r="F14" s="12">
        <v>1</v>
      </c>
      <c r="G14" s="12">
        <v>2</v>
      </c>
      <c r="H14" s="12">
        <v>3</v>
      </c>
      <c r="K14" s="15" cm="1">
        <f t="array" ref="K14:M16">FLIPUD($F$14:$H$16)</f>
        <v>7</v>
      </c>
      <c r="L14" s="15">
        <v>8</v>
      </c>
      <c r="M14" s="15">
        <v>9</v>
      </c>
    </row>
    <row r="15" spans="1:17" x14ac:dyDescent="0.3">
      <c r="F15" s="12">
        <v>4</v>
      </c>
      <c r="G15" s="12">
        <v>5</v>
      </c>
      <c r="H15" s="12">
        <v>6</v>
      </c>
      <c r="K15" s="15">
        <v>4</v>
      </c>
      <c r="L15" s="15">
        <v>5</v>
      </c>
      <c r="M15" s="15">
        <v>6</v>
      </c>
    </row>
    <row r="16" spans="1:17" x14ac:dyDescent="0.3">
      <c r="F16" s="12">
        <v>7</v>
      </c>
      <c r="G16" s="12">
        <v>8</v>
      </c>
      <c r="H16" s="12">
        <v>9</v>
      </c>
      <c r="K16" s="15">
        <v>1</v>
      </c>
      <c r="L16" s="15">
        <v>2</v>
      </c>
      <c r="M16" s="15">
        <v>3</v>
      </c>
    </row>
  </sheetData>
  <pageMargins left="0.511811024" right="0.511811024" top="0.78740157499999996" bottom="0.78740157499999996" header="0.31496062000000002" footer="0.3149606200000000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4D3C6-519D-4478-A329-CAF41196CC30}">
  <sheetPr codeName="Planilha19">
    <tabColor theme="9" tint="0.59999389629810485"/>
  </sheetPr>
  <dimension ref="A1:T24"/>
  <sheetViews>
    <sheetView showGridLines="0" workbookViewId="0">
      <selection activeCell="J9" sqref="J9"/>
    </sheetView>
  </sheetViews>
  <sheetFormatPr defaultColWidth="8.85546875" defaultRowHeight="18.75" x14ac:dyDescent="0.3"/>
  <cols>
    <col min="1" max="1" width="12.7109375" style="17" customWidth="1"/>
    <col min="2" max="2" width="24.85546875" bestFit="1" customWidth="1"/>
    <col min="10" max="18" width="8.85546875" style="15"/>
  </cols>
  <sheetData>
    <row r="1" spans="1:20" x14ac:dyDescent="0.3">
      <c r="A1" s="16" t="s">
        <v>50</v>
      </c>
      <c r="J1" s="14"/>
      <c r="K1" s="14"/>
      <c r="L1" s="14"/>
      <c r="M1" s="14"/>
      <c r="N1" s="14"/>
      <c r="O1" s="14"/>
      <c r="P1" s="14"/>
      <c r="Q1" s="14"/>
      <c r="R1" s="14"/>
    </row>
    <row r="2" spans="1:20" x14ac:dyDescent="0.3">
      <c r="A2" s="17" t="s">
        <v>51</v>
      </c>
      <c r="J2" s="14"/>
      <c r="K2" s="14"/>
      <c r="L2" s="14"/>
      <c r="M2" s="14"/>
      <c r="N2" s="14"/>
      <c r="O2" s="14"/>
      <c r="P2" s="14"/>
      <c r="Q2" s="14"/>
      <c r="R2" s="14"/>
    </row>
    <row r="4" spans="1:20" ht="15.75" x14ac:dyDescent="0.25">
      <c r="A4" s="2" t="s">
        <v>15</v>
      </c>
      <c r="B4" s="2" t="s">
        <v>16</v>
      </c>
    </row>
    <row r="5" spans="1:20" ht="15.75" x14ac:dyDescent="0.25">
      <c r="A5" s="19" t="s">
        <v>22</v>
      </c>
      <c r="B5" s="18" t="s">
        <v>55</v>
      </c>
    </row>
    <row r="6" spans="1:20" ht="31.5" x14ac:dyDescent="0.25">
      <c r="A6" s="19" t="s">
        <v>56</v>
      </c>
      <c r="B6" s="18" t="s">
        <v>57</v>
      </c>
    </row>
    <row r="7" spans="1:20" ht="47.25" x14ac:dyDescent="0.25">
      <c r="A7" s="19" t="s">
        <v>38</v>
      </c>
      <c r="B7" s="18" t="s">
        <v>58</v>
      </c>
    </row>
    <row r="9" spans="1:20" x14ac:dyDescent="0.3">
      <c r="D9" s="1" t="s">
        <v>17</v>
      </c>
      <c r="E9" s="13" t="s">
        <v>22</v>
      </c>
      <c r="F9" s="12">
        <v>1</v>
      </c>
      <c r="G9" s="12">
        <v>2</v>
      </c>
      <c r="H9" s="12">
        <v>3</v>
      </c>
      <c r="J9" s="15" cm="1">
        <f t="array" ref="J9:O14">_xlfn.LAMBDA(_xlpm.matrix,_xlop.n,_xlop.m,
 _xlfn.LET(_xlpm.n, IF( OR( _xlfn.ISOMITTED(_xlpm.n), _xlpm.n&lt;1 ),1,_xlpm.n), _xlpm.m, IF( OR( _xlfn.ISOMITTED(_xlpm.m), _xlpm.m&lt;1),1,_xlpm.m),
_xlfn.LET(
_xlpm.nn,_xlpm.n*ROWS(_xlpm.matrix),
_xlpm.mm,_xlpm.m*COLUMNS(_xlpm.matrix),
_xlpm.nseq, IF(MOD(_xlfn.SEQUENCE(_xlpm.nn,1),ROWS(_xlpm.matrix))=0, ROWS(_xlpm.matrix), MOD(_xlfn.SEQUENCE(_xlpm.nn,1),ROWS(_xlpm.matrix))),
_xlpm.mseq, IF(MOD(_xlfn.SEQUENCE(1,_xlpm.mm),COLUMNS(_xlpm.matrix))=0, COLUMNS(_xlpm.matrix), MOD(_xlfn.SEQUENCE(1,_xlpm.mm),COLUMNS(_xlpm.matrix))),
_xlfn.MAKEARRAY(_xlpm.nn,_xlpm.mm,_xlfn.LAMBDA(_xlpm.row,_xlpm.col,INDEX(_xlpm.matrix,INDEX(_xlpm.nseq,_xlpm.row),INDEX(_xlpm.mseq,1,_xlpm.col))))
)))($F$9:$H$11,$F$13,$F$14)</f>
        <v>1</v>
      </c>
      <c r="K9" s="15">
        <v>2</v>
      </c>
      <c r="L9" s="15">
        <v>3</v>
      </c>
      <c r="M9" s="15">
        <v>1</v>
      </c>
      <c r="N9" s="15">
        <v>2</v>
      </c>
      <c r="O9" s="15">
        <v>3</v>
      </c>
    </row>
    <row r="10" spans="1:20" x14ac:dyDescent="0.3">
      <c r="F10" s="12">
        <v>4</v>
      </c>
      <c r="G10" s="12">
        <v>5</v>
      </c>
      <c r="H10" s="12">
        <v>6</v>
      </c>
      <c r="J10" s="15">
        <v>4</v>
      </c>
      <c r="K10" s="15">
        <v>5</v>
      </c>
      <c r="L10" s="15">
        <v>6</v>
      </c>
      <c r="M10" s="15">
        <v>4</v>
      </c>
      <c r="N10" s="15">
        <v>5</v>
      </c>
      <c r="O10" s="15">
        <v>6</v>
      </c>
    </row>
    <row r="11" spans="1:20" x14ac:dyDescent="0.3">
      <c r="F11" s="12">
        <v>7</v>
      </c>
      <c r="G11" s="12">
        <v>8</v>
      </c>
      <c r="H11" s="12">
        <v>9</v>
      </c>
      <c r="J11" s="15">
        <v>7</v>
      </c>
      <c r="K11" s="15">
        <v>8</v>
      </c>
      <c r="L11" s="15">
        <v>9</v>
      </c>
      <c r="M11" s="15">
        <v>7</v>
      </c>
      <c r="N11" s="15">
        <v>8</v>
      </c>
      <c r="O11" s="15">
        <v>9</v>
      </c>
    </row>
    <row r="12" spans="1:20" ht="15" x14ac:dyDescent="0.25">
      <c r="A12"/>
      <c r="J12" s="15">
        <v>1</v>
      </c>
      <c r="K12" s="15">
        <v>2</v>
      </c>
      <c r="L12" s="15">
        <v>3</v>
      </c>
      <c r="M12" s="15">
        <v>1</v>
      </c>
      <c r="N12" s="15">
        <v>2</v>
      </c>
      <c r="O12" s="15">
        <v>3</v>
      </c>
    </row>
    <row r="13" spans="1:20" x14ac:dyDescent="0.3">
      <c r="E13" s="13" t="s">
        <v>36</v>
      </c>
      <c r="F13" s="12">
        <v>2</v>
      </c>
      <c r="J13" s="15">
        <v>4</v>
      </c>
      <c r="K13" s="15">
        <v>5</v>
      </c>
      <c r="L13" s="15">
        <v>6</v>
      </c>
      <c r="M13" s="15">
        <v>4</v>
      </c>
      <c r="N13" s="15">
        <v>5</v>
      </c>
      <c r="O13" s="15">
        <v>6</v>
      </c>
    </row>
    <row r="14" spans="1:20" x14ac:dyDescent="0.3">
      <c r="E14" s="13" t="s">
        <v>37</v>
      </c>
      <c r="F14" s="12">
        <v>2</v>
      </c>
      <c r="J14" s="15">
        <v>7</v>
      </c>
      <c r="K14" s="15">
        <v>8</v>
      </c>
      <c r="L14" s="15">
        <v>9</v>
      </c>
      <c r="M14" s="15">
        <v>7</v>
      </c>
      <c r="N14" s="15">
        <v>8</v>
      </c>
      <c r="O14" s="15">
        <v>9</v>
      </c>
    </row>
    <row r="16" spans="1:20" s="21" customFormat="1" x14ac:dyDescent="0.3">
      <c r="A16" s="17"/>
      <c r="B16"/>
      <c r="C16"/>
      <c r="D16"/>
      <c r="E16"/>
      <c r="F16"/>
      <c r="G16"/>
      <c r="H16"/>
      <c r="I16"/>
      <c r="J16" s="15"/>
      <c r="K16" s="15"/>
      <c r="L16" s="15"/>
      <c r="M16" s="15"/>
      <c r="N16" s="15"/>
      <c r="O16" s="15"/>
      <c r="P16" s="15"/>
      <c r="Q16" s="15"/>
      <c r="R16" s="15"/>
      <c r="T16"/>
    </row>
    <row r="17" spans="1:20" s="21" customFormat="1" x14ac:dyDescent="0.3">
      <c r="A17" s="17"/>
      <c r="B17"/>
      <c r="C17"/>
      <c r="D17"/>
      <c r="E17"/>
      <c r="F17"/>
      <c r="G17"/>
      <c r="H17"/>
      <c r="I17"/>
      <c r="J17" s="15"/>
      <c r="K17" s="15"/>
      <c r="L17" s="15"/>
      <c r="M17" s="15"/>
      <c r="N17" s="15"/>
      <c r="O17" s="15"/>
      <c r="P17" s="15"/>
      <c r="Q17" s="15"/>
      <c r="R17" s="15"/>
      <c r="T17"/>
    </row>
    <row r="19" spans="1:20" x14ac:dyDescent="0.3">
      <c r="D19" s="1" t="s">
        <v>17</v>
      </c>
      <c r="E19" s="13" t="s">
        <v>22</v>
      </c>
      <c r="F19" s="12">
        <v>1</v>
      </c>
      <c r="G19" s="12">
        <v>2</v>
      </c>
      <c r="H19" s="12">
        <v>3</v>
      </c>
      <c r="J19" s="15" cm="1">
        <f t="array" ref="J19:L24">REPMAT($F$19:$H$21,$F$23)</f>
        <v>1</v>
      </c>
      <c r="K19" s="15">
        <v>2</v>
      </c>
      <c r="L19" s="15">
        <v>3</v>
      </c>
    </row>
    <row r="20" spans="1:20" x14ac:dyDescent="0.3">
      <c r="F20" s="12">
        <v>4</v>
      </c>
      <c r="G20" s="12">
        <v>5</v>
      </c>
      <c r="H20" s="12">
        <v>6</v>
      </c>
      <c r="J20" s="15">
        <v>4</v>
      </c>
      <c r="K20" s="15">
        <v>5</v>
      </c>
      <c r="L20" s="15">
        <v>6</v>
      </c>
    </row>
    <row r="21" spans="1:20" x14ac:dyDescent="0.3">
      <c r="F21" s="12">
        <v>7</v>
      </c>
      <c r="G21" s="12">
        <v>8</v>
      </c>
      <c r="H21" s="12">
        <v>9</v>
      </c>
      <c r="J21" s="15">
        <v>7</v>
      </c>
      <c r="K21" s="15">
        <v>8</v>
      </c>
      <c r="L21" s="15">
        <v>9</v>
      </c>
    </row>
    <row r="22" spans="1:20" x14ac:dyDescent="0.3">
      <c r="J22" s="15">
        <v>1</v>
      </c>
      <c r="K22" s="15">
        <v>2</v>
      </c>
      <c r="L22" s="15">
        <v>3</v>
      </c>
    </row>
    <row r="23" spans="1:20" x14ac:dyDescent="0.3">
      <c r="E23" s="13" t="s">
        <v>36</v>
      </c>
      <c r="F23" s="12">
        <v>2</v>
      </c>
      <c r="J23" s="15">
        <v>4</v>
      </c>
      <c r="K23" s="15">
        <v>5</v>
      </c>
      <c r="L23" s="15">
        <v>6</v>
      </c>
    </row>
    <row r="24" spans="1:20" x14ac:dyDescent="0.3">
      <c r="J24" s="15">
        <v>7</v>
      </c>
      <c r="K24" s="15">
        <v>8</v>
      </c>
      <c r="L24" s="15">
        <v>9</v>
      </c>
    </row>
  </sheetData>
  <pageMargins left="0.511811024" right="0.511811024" top="0.78740157499999996" bottom="0.78740157499999996" header="0.31496062000000002" footer="0.3149606200000000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5F175-79D3-4AC3-984B-C425FE780A74}">
  <sheetPr codeName="Planilha20">
    <tabColor theme="9" tint="0.59999389629810485"/>
  </sheetPr>
  <dimension ref="A1:R43"/>
  <sheetViews>
    <sheetView showGridLines="0" workbookViewId="0"/>
  </sheetViews>
  <sheetFormatPr defaultColWidth="8.85546875" defaultRowHeight="18.75" x14ac:dyDescent="0.3"/>
  <cols>
    <col min="1" max="1" width="18.5703125" style="17" customWidth="1"/>
    <col min="2" max="2" width="32.140625" customWidth="1"/>
    <col min="5" max="5" width="17" bestFit="1" customWidth="1"/>
    <col min="6" max="7" width="12.42578125" bestFit="1" customWidth="1"/>
    <col min="10" max="10" width="12.42578125" style="15" bestFit="1" customWidth="1"/>
    <col min="11" max="13" width="8.85546875" style="15"/>
    <col min="14" max="14" width="12.42578125" style="15" bestFit="1" customWidth="1"/>
    <col min="15" max="18" width="8.85546875" style="15"/>
  </cols>
  <sheetData>
    <row r="1" spans="1:18" x14ac:dyDescent="0.3">
      <c r="A1" s="16" t="s">
        <v>86</v>
      </c>
      <c r="J1" s="14"/>
      <c r="K1" s="14"/>
      <c r="L1" s="14"/>
      <c r="M1" s="14"/>
      <c r="N1" s="14"/>
      <c r="O1" s="14"/>
      <c r="P1" s="14"/>
      <c r="Q1" s="14"/>
      <c r="R1" s="14"/>
    </row>
    <row r="2" spans="1:18" x14ac:dyDescent="0.3">
      <c r="A2" s="17" t="s">
        <v>67</v>
      </c>
      <c r="J2" s="14"/>
      <c r="K2" s="14"/>
      <c r="L2" s="14"/>
      <c r="M2" s="14"/>
      <c r="N2" s="14"/>
      <c r="O2" s="14"/>
      <c r="P2" s="14"/>
      <c r="Q2" s="14"/>
      <c r="R2" s="14"/>
    </row>
    <row r="4" spans="1:18" ht="15.75" x14ac:dyDescent="0.25">
      <c r="A4" s="2" t="s">
        <v>15</v>
      </c>
      <c r="B4" s="2" t="s">
        <v>16</v>
      </c>
    </row>
    <row r="5" spans="1:18" ht="15.75" x14ac:dyDescent="0.25">
      <c r="A5" s="19" t="s">
        <v>22</v>
      </c>
      <c r="B5" s="24" t="s">
        <v>455</v>
      </c>
    </row>
    <row r="6" spans="1:18" ht="47.25" x14ac:dyDescent="0.25">
      <c r="A6" s="19" t="s">
        <v>56</v>
      </c>
      <c r="B6" s="24" t="s">
        <v>309</v>
      </c>
    </row>
    <row r="7" spans="1:18" ht="15.75" x14ac:dyDescent="0.25">
      <c r="A7" s="19" t="s">
        <v>64</v>
      </c>
      <c r="B7" s="24" t="s">
        <v>456</v>
      </c>
    </row>
    <row r="8" spans="1:18" ht="78.75" x14ac:dyDescent="0.25">
      <c r="A8" s="23" t="s">
        <v>377</v>
      </c>
      <c r="B8" s="24" t="s">
        <v>378</v>
      </c>
    </row>
    <row r="10" spans="1:18" x14ac:dyDescent="0.3">
      <c r="D10" s="1" t="s">
        <v>17</v>
      </c>
      <c r="E10" s="13" t="s">
        <v>22</v>
      </c>
      <c r="F10" s="12" t="b">
        <v>0</v>
      </c>
      <c r="J10" s="15" cm="1">
        <f t="array" ref="J10:J11">_xlfn.LAMBDA(_xlpm.matrix,_xlop.n,_xlop.direction,_xlop.returnRowAndCol,
_xlfn.LET(
_xlpm.n, IF(OR(_xlfn.ISOMITTED(_xlpm.n),_xlpm.n&lt;1), ROWS(_xlpm.matrix)*COLUMNS(_xlpm.matrix),_xlpm.n),
_xlpm.direction, IF(_xlfn.ISOMITTED(_xlpm.direction), "first", LOWER(_xlpm.direction) ),
_xlpm.returnRowAndCol, IF(_xlfn.ISOMITTED(_xlpm.returnRowAndCol), FALSE, _xlpm.returnRowAndCol),
_xlpm.vecMatrix, 1*(VEC(_xlpm.matrix)*1&lt;&gt;0),
_xlpm.nElems, SUM(_xlpm.vecMatrix),
IF(_xlpm.nElems = 0, NA(),
_xlfn.LET(
_xlpm.filtered, _xlfn._xlws.FILTER(_xlfn.SEQUENCE(ROWS(_xlpm.matrix)*COLUMNS(_xlpm.matrix)),_xlpm.vecMatrix),
_xlpm.filteredOrdered, IF(_xlpm.direction = "first", _xlpm.filtered, IF( _xlpm.direction = "last", FLIPUD(_xlpm.filtered), #VALUE!) ),
_xlfn.LET(_xlpm.idxs, INDEX( _xlpm.filteredOrdered, _xlfn.SEQUENCE( MIN(COUNTA(_xlpm.filteredOrdered),_xlpm.n) ), 0 ),
IF(_xlpm.returnRowAndCol,
HORZCAT( IF(MOD(_xlpm.idxs,ROWS(_xlpm.matrix))=0,ROWS(_xlpm.matrix),MOD(_xlpm.idxs,ROWS(_xlpm.matrix))), ROUNDUP(_xlpm.idxs/COLUMNS(_xlpm.matrix),0) ),
_xlpm.idxs)
)))))($F$10:$F$13)</f>
        <v>3</v>
      </c>
    </row>
    <row r="11" spans="1:18" x14ac:dyDescent="0.3">
      <c r="F11" s="12" t="b">
        <v>0</v>
      </c>
      <c r="J11" s="15">
        <v>4</v>
      </c>
    </row>
    <row r="12" spans="1:18" x14ac:dyDescent="0.3">
      <c r="F12" s="12" t="b">
        <v>1</v>
      </c>
    </row>
    <row r="13" spans="1:18" x14ac:dyDescent="0.3">
      <c r="F13" s="12" t="b">
        <v>1</v>
      </c>
    </row>
    <row r="14" spans="1:18" ht="15" x14ac:dyDescent="0.25">
      <c r="A14"/>
    </row>
    <row r="16" spans="1:18" x14ac:dyDescent="0.3">
      <c r="D16" s="1" t="s">
        <v>17</v>
      </c>
      <c r="E16" s="13" t="s">
        <v>22</v>
      </c>
      <c r="F16" s="12" t="b">
        <v>1</v>
      </c>
      <c r="G16" s="12" t="b">
        <v>1</v>
      </c>
      <c r="J16" s="15" cm="1">
        <f t="array" ref="J16:J19">NOZERO($F$16:$G$19)</f>
        <v>1</v>
      </c>
    </row>
    <row r="17" spans="1:12" x14ac:dyDescent="0.3">
      <c r="F17" s="12" t="b">
        <v>0</v>
      </c>
      <c r="G17" s="12" t="b">
        <v>0</v>
      </c>
      <c r="J17" s="15">
        <v>4</v>
      </c>
    </row>
    <row r="18" spans="1:12" x14ac:dyDescent="0.3">
      <c r="F18" s="12" t="b">
        <v>0</v>
      </c>
      <c r="G18" s="12" t="b">
        <v>0</v>
      </c>
      <c r="J18" s="15">
        <v>5</v>
      </c>
    </row>
    <row r="19" spans="1:12" x14ac:dyDescent="0.3">
      <c r="F19" s="12" t="b">
        <v>1</v>
      </c>
      <c r="G19" s="12" t="b">
        <v>1</v>
      </c>
      <c r="J19" s="15">
        <v>8</v>
      </c>
    </row>
    <row r="20" spans="1:12" ht="15" x14ac:dyDescent="0.25">
      <c r="A20"/>
    </row>
    <row r="22" spans="1:12" x14ac:dyDescent="0.3">
      <c r="D22" s="1" t="s">
        <v>17</v>
      </c>
      <c r="E22" s="13" t="s">
        <v>22</v>
      </c>
      <c r="F22" s="12">
        <v>1</v>
      </c>
      <c r="G22" s="12">
        <v>0</v>
      </c>
      <c r="H22" s="12">
        <v>100</v>
      </c>
      <c r="J22" s="15" cm="1">
        <f t="array" ref="J22:J24">NOZERO(F22:H24,F26)</f>
        <v>1</v>
      </c>
    </row>
    <row r="23" spans="1:12" x14ac:dyDescent="0.3">
      <c r="F23" s="12">
        <v>0</v>
      </c>
      <c r="G23" s="12">
        <v>20</v>
      </c>
      <c r="H23" s="12">
        <v>0</v>
      </c>
      <c r="J23" s="15">
        <v>3</v>
      </c>
    </row>
    <row r="24" spans="1:12" x14ac:dyDescent="0.3">
      <c r="F24" s="12">
        <v>3</v>
      </c>
      <c r="G24" s="12">
        <v>0</v>
      </c>
      <c r="H24" s="12">
        <v>300</v>
      </c>
      <c r="J24" s="15">
        <v>5</v>
      </c>
    </row>
    <row r="26" spans="1:12" x14ac:dyDescent="0.3">
      <c r="E26" s="13" t="s">
        <v>36</v>
      </c>
      <c r="F26" s="12">
        <v>3</v>
      </c>
    </row>
    <row r="28" spans="1:12" x14ac:dyDescent="0.3">
      <c r="L28" s="15" t="s">
        <v>68</v>
      </c>
    </row>
    <row r="29" spans="1:12" x14ac:dyDescent="0.3">
      <c r="D29" s="1" t="s">
        <v>17</v>
      </c>
      <c r="E29" s="13" t="s">
        <v>22</v>
      </c>
      <c r="F29" s="12">
        <v>1</v>
      </c>
      <c r="G29" s="12">
        <v>0</v>
      </c>
      <c r="H29" s="12">
        <v>100</v>
      </c>
      <c r="J29" s="15" cm="1">
        <f t="array" ref="J29:J31">NOZERO($F$22:$H$24,$F$26,$F$34)</f>
        <v>9</v>
      </c>
      <c r="L29" s="15" cm="1">
        <f t="array" ref="L29:L31">SLICE(VEC(F29:H31),_xlfn.ANCHORARRAY(J29))</f>
        <v>300</v>
      </c>
    </row>
    <row r="30" spans="1:12" x14ac:dyDescent="0.3">
      <c r="F30" s="12">
        <v>0</v>
      </c>
      <c r="G30" s="12">
        <v>20</v>
      </c>
      <c r="H30" s="12">
        <v>0</v>
      </c>
      <c r="J30" s="15">
        <v>7</v>
      </c>
      <c r="L30" s="15">
        <v>100</v>
      </c>
    </row>
    <row r="31" spans="1:12" x14ac:dyDescent="0.3">
      <c r="F31" s="12">
        <v>3</v>
      </c>
      <c r="G31" s="12">
        <v>0</v>
      </c>
      <c r="H31" s="12">
        <v>300</v>
      </c>
      <c r="J31" s="15">
        <v>5</v>
      </c>
      <c r="L31" s="15">
        <v>20</v>
      </c>
    </row>
    <row r="33" spans="4:11" x14ac:dyDescent="0.3">
      <c r="E33" s="13" t="s">
        <v>36</v>
      </c>
      <c r="F33" s="12">
        <v>3</v>
      </c>
    </row>
    <row r="34" spans="4:11" x14ac:dyDescent="0.3">
      <c r="E34" s="13" t="s">
        <v>65</v>
      </c>
      <c r="F34" s="22" t="s">
        <v>66</v>
      </c>
    </row>
    <row r="37" spans="4:11" x14ac:dyDescent="0.3">
      <c r="D37" s="1" t="s">
        <v>17</v>
      </c>
      <c r="E37" s="13" t="s">
        <v>22</v>
      </c>
      <c r="F37" s="12">
        <v>1</v>
      </c>
      <c r="G37" s="12">
        <v>0</v>
      </c>
      <c r="H37" s="12">
        <v>100</v>
      </c>
      <c r="J37" s="15" cm="1">
        <f t="array" ref="J37:K39">NOZERO(F37:H39,F41,F42,F43)</f>
        <v>1</v>
      </c>
      <c r="K37" s="15">
        <v>1</v>
      </c>
    </row>
    <row r="38" spans="4:11" x14ac:dyDescent="0.3">
      <c r="F38" s="12">
        <v>0</v>
      </c>
      <c r="G38" s="12">
        <v>20</v>
      </c>
      <c r="H38" s="12">
        <v>0</v>
      </c>
      <c r="J38" s="15">
        <v>3</v>
      </c>
      <c r="K38" s="15">
        <v>1</v>
      </c>
    </row>
    <row r="39" spans="4:11" x14ac:dyDescent="0.3">
      <c r="F39" s="12">
        <v>3</v>
      </c>
      <c r="G39" s="12">
        <v>0</v>
      </c>
      <c r="H39" s="12">
        <v>300</v>
      </c>
      <c r="J39" s="15">
        <v>2</v>
      </c>
      <c r="K39" s="15">
        <v>2</v>
      </c>
    </row>
    <row r="41" spans="4:11" x14ac:dyDescent="0.3">
      <c r="E41" s="13" t="s">
        <v>36</v>
      </c>
      <c r="F41" s="12">
        <v>3</v>
      </c>
    </row>
    <row r="42" spans="4:11" x14ac:dyDescent="0.3">
      <c r="E42" s="13" t="s">
        <v>65</v>
      </c>
      <c r="F42" s="22" t="s">
        <v>380</v>
      </c>
    </row>
    <row r="43" spans="4:11" x14ac:dyDescent="0.3">
      <c r="E43" s="13" t="s">
        <v>379</v>
      </c>
      <c r="F43" s="22" t="b">
        <v>1</v>
      </c>
    </row>
  </sheetData>
  <pageMargins left="0.511811024" right="0.511811024" top="0.78740157499999996" bottom="0.78740157499999996" header="0.31496062000000002" footer="0.3149606200000000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57A11-A268-B641-A915-3B86D73AF86F}">
  <sheetPr codeName="Planilha21">
    <tabColor theme="9" tint="0.59999389629810485"/>
  </sheetPr>
  <dimension ref="A1:T23"/>
  <sheetViews>
    <sheetView showGridLines="0" workbookViewId="0">
      <selection activeCell="R9" sqref="R9"/>
    </sheetView>
  </sheetViews>
  <sheetFormatPr defaultColWidth="8.85546875" defaultRowHeight="18.75" x14ac:dyDescent="0.3"/>
  <cols>
    <col min="1" max="1" width="12.7109375" style="17" customWidth="1"/>
    <col min="2" max="2" width="24.85546875" bestFit="1" customWidth="1"/>
    <col min="10" max="18" width="8.85546875" style="15"/>
  </cols>
  <sheetData>
    <row r="1" spans="1:20" x14ac:dyDescent="0.3">
      <c r="A1" s="16" t="s">
        <v>71</v>
      </c>
      <c r="J1" s="14"/>
      <c r="K1" s="14"/>
      <c r="L1" s="14"/>
      <c r="M1" s="14"/>
      <c r="N1" s="14"/>
      <c r="O1" s="14"/>
      <c r="P1" s="14"/>
      <c r="Q1" s="14"/>
      <c r="R1" s="14"/>
    </row>
    <row r="2" spans="1:20" x14ac:dyDescent="0.3">
      <c r="A2" s="17" t="s">
        <v>72</v>
      </c>
      <c r="J2" s="14"/>
      <c r="K2" s="14"/>
      <c r="L2" s="14"/>
      <c r="M2" s="14"/>
      <c r="N2" s="14"/>
      <c r="O2" s="14"/>
      <c r="P2" s="14"/>
      <c r="Q2" s="14"/>
      <c r="R2" s="14"/>
    </row>
    <row r="4" spans="1:20" ht="15.75" x14ac:dyDescent="0.25">
      <c r="A4" s="2" t="s">
        <v>15</v>
      </c>
      <c r="B4" s="2" t="s">
        <v>16</v>
      </c>
    </row>
    <row r="5" spans="1:20" ht="31.5" x14ac:dyDescent="0.25">
      <c r="A5" s="23" t="s">
        <v>73</v>
      </c>
      <c r="B5" s="24" t="s">
        <v>75</v>
      </c>
    </row>
    <row r="6" spans="1:20" ht="31.5" x14ac:dyDescent="0.25">
      <c r="A6" s="23" t="s">
        <v>74</v>
      </c>
      <c r="B6" s="24" t="s">
        <v>76</v>
      </c>
    </row>
    <row r="7" spans="1:20" ht="15.75" x14ac:dyDescent="0.25">
      <c r="A7" s="19"/>
      <c r="B7" s="18"/>
    </row>
    <row r="9" spans="1:20" x14ac:dyDescent="0.3">
      <c r="D9" s="1" t="s">
        <v>17</v>
      </c>
      <c r="E9" s="13" t="s">
        <v>73</v>
      </c>
      <c r="F9" s="12">
        <v>1</v>
      </c>
      <c r="G9" s="12">
        <v>2</v>
      </c>
      <c r="H9" s="12">
        <v>3</v>
      </c>
      <c r="J9" s="15" cm="1">
        <f t="array" ref="J9:O14">_xlfn.LAMBDA(_xlpm.matrixA,_xlpm.matrixB,
_xlfn.LET(
_xlpm.nn,ROWS(_xlpm.matrixA) + ROWS(_xlpm.matrixB),
_xlpm.mm,COLUMNS(_xlpm.matrixA) + COLUMNS(_xlpm.matrixB),
_xlpm.nseq, IF(MOD(_xlfn.SEQUENCE(_xlpm.nn,1),ROWS(_xlpm.matrixA))=0, ROWS(_xlpm.matrixA), MOD(_xlfn.SEQUENCE(_xlpm.nn,1),ROWS(_xlpm.matrixA))),
_xlpm.mseq, IF(MOD(_xlfn.SEQUENCE(1,_xlpm.mm),COLUMNS(_xlpm.matrixA))=0, COLUMNS(_xlpm.matrixA), MOD(_xlfn.SEQUENCE(1,_xlpm.mm),COLUMNS(_xlpm.matrixA))),
_xlfn.MAKEARRAY(_xlpm.nn,_xlpm.mm,_xlfn.LAMBDA(_xlpm.row,_xlpm.col,
IF( OR( AND(_xlpm.row &lt;= ROWS(_xlpm.matrixA), _xlpm.col &gt; COLUMNS(_xlpm.matrixA) ), AND(_xlpm.row &gt; ROWS(_xlpm.matrixA), _xlpm.col &lt;= COLUMNS(_xlpm.matrixA) )  ), 0,
IF( _xlpm.row &lt;= ROWS(_xlpm.matrixA), INDEX(_xlpm.matrixA,INDEX(_xlpm.nseq,_xlpm.row),INDEX(_xlpm.mseq,1,_xlpm.col)), INDEX(_xlpm.matrixB,INDEX(_xlpm.nseq,_xlpm.row),INDEX(_xlpm.mseq,1,_xlpm.col)) )
) ))
))($F$9:$H$11,F13:H15)</f>
        <v>1</v>
      </c>
      <c r="K9" s="15">
        <v>2</v>
      </c>
      <c r="L9" s="15">
        <v>3</v>
      </c>
      <c r="M9" s="15">
        <v>0</v>
      </c>
      <c r="N9" s="15">
        <v>0</v>
      </c>
      <c r="O9" s="15">
        <v>0</v>
      </c>
    </row>
    <row r="10" spans="1:20" x14ac:dyDescent="0.3">
      <c r="F10" s="12">
        <v>4</v>
      </c>
      <c r="G10" s="12">
        <v>5</v>
      </c>
      <c r="H10" s="12">
        <v>6</v>
      </c>
      <c r="J10" s="15">
        <v>4</v>
      </c>
      <c r="K10" s="15">
        <v>5</v>
      </c>
      <c r="L10" s="15">
        <v>6</v>
      </c>
      <c r="M10" s="15">
        <v>0</v>
      </c>
      <c r="N10" s="15">
        <v>0</v>
      </c>
      <c r="O10" s="15">
        <v>0</v>
      </c>
    </row>
    <row r="11" spans="1:20" x14ac:dyDescent="0.3">
      <c r="F11" s="12">
        <v>7</v>
      </c>
      <c r="G11" s="12">
        <v>8</v>
      </c>
      <c r="H11" s="12">
        <v>9</v>
      </c>
      <c r="J11" s="15">
        <v>7</v>
      </c>
      <c r="K11" s="15">
        <v>8</v>
      </c>
      <c r="L11" s="15">
        <v>9</v>
      </c>
      <c r="M11" s="15">
        <v>0</v>
      </c>
      <c r="N11" s="15">
        <v>0</v>
      </c>
      <c r="O11" s="15">
        <v>0</v>
      </c>
    </row>
    <row r="12" spans="1:20" ht="15" x14ac:dyDescent="0.25">
      <c r="A12"/>
      <c r="J12" s="15">
        <v>0</v>
      </c>
      <c r="K12" s="15">
        <v>0</v>
      </c>
      <c r="L12" s="15">
        <v>0</v>
      </c>
      <c r="M12" s="15">
        <v>10</v>
      </c>
      <c r="N12" s="15">
        <v>11</v>
      </c>
      <c r="O12" s="15">
        <v>12</v>
      </c>
    </row>
    <row r="13" spans="1:20" x14ac:dyDescent="0.3">
      <c r="E13" s="13" t="s">
        <v>74</v>
      </c>
      <c r="F13" s="12">
        <v>10</v>
      </c>
      <c r="G13" s="12">
        <v>11</v>
      </c>
      <c r="H13" s="12">
        <v>12</v>
      </c>
      <c r="J13" s="15">
        <v>0</v>
      </c>
      <c r="K13" s="15">
        <v>0</v>
      </c>
      <c r="L13" s="15">
        <v>0</v>
      </c>
      <c r="M13" s="15">
        <v>13</v>
      </c>
      <c r="N13" s="15">
        <v>14</v>
      </c>
      <c r="O13" s="15">
        <v>15</v>
      </c>
    </row>
    <row r="14" spans="1:20" x14ac:dyDescent="0.3">
      <c r="F14" s="12">
        <v>13</v>
      </c>
      <c r="G14" s="12">
        <v>14</v>
      </c>
      <c r="H14" s="12">
        <v>15</v>
      </c>
      <c r="J14" s="15">
        <v>0</v>
      </c>
      <c r="K14" s="15">
        <v>0</v>
      </c>
      <c r="L14" s="15">
        <v>0</v>
      </c>
      <c r="M14" s="15">
        <v>16</v>
      </c>
      <c r="N14" s="15">
        <v>17</v>
      </c>
      <c r="O14" s="15">
        <v>18</v>
      </c>
    </row>
    <row r="15" spans="1:20" x14ac:dyDescent="0.3">
      <c r="F15" s="12">
        <v>16</v>
      </c>
      <c r="G15" s="12">
        <v>17</v>
      </c>
      <c r="H15" s="12">
        <v>18</v>
      </c>
    </row>
    <row r="16" spans="1:20" s="21" customFormat="1" x14ac:dyDescent="0.3">
      <c r="A16" s="17"/>
      <c r="B16"/>
      <c r="C16"/>
      <c r="D16"/>
      <c r="E16"/>
      <c r="F16"/>
      <c r="G16"/>
      <c r="H16"/>
      <c r="I16"/>
      <c r="J16" s="15"/>
      <c r="K16" s="15"/>
      <c r="L16" s="15"/>
      <c r="M16" s="15"/>
      <c r="N16" s="15"/>
      <c r="O16" s="15"/>
      <c r="P16" s="15"/>
      <c r="Q16" s="15"/>
      <c r="R16" s="15"/>
      <c r="T16"/>
    </row>
    <row r="17" spans="1:20" s="21" customFormat="1" x14ac:dyDescent="0.3">
      <c r="A17" s="17"/>
      <c r="B17"/>
      <c r="C17"/>
      <c r="D17"/>
      <c r="E17"/>
      <c r="F17"/>
      <c r="G17"/>
      <c r="H17"/>
      <c r="I17"/>
      <c r="J17" s="15"/>
      <c r="K17" s="15"/>
      <c r="L17" s="15"/>
      <c r="M17" s="15"/>
      <c r="N17" s="15"/>
      <c r="O17" s="15"/>
      <c r="P17" s="15"/>
      <c r="Q17" s="15"/>
      <c r="R17" s="15"/>
      <c r="T17"/>
    </row>
    <row r="19" spans="1:20" x14ac:dyDescent="0.3">
      <c r="D19" s="1" t="s">
        <v>17</v>
      </c>
      <c r="E19" s="13" t="s">
        <v>73</v>
      </c>
      <c r="F19" s="12">
        <v>1</v>
      </c>
      <c r="G19" s="12">
        <v>2</v>
      </c>
      <c r="H19" s="12">
        <v>3</v>
      </c>
      <c r="J19" s="15" cm="1">
        <f t="array" ref="J19:M22">BLKDIAG($F$19:$H$21,$F$23)</f>
        <v>1</v>
      </c>
      <c r="K19" s="15">
        <v>2</v>
      </c>
      <c r="L19" s="15">
        <v>3</v>
      </c>
      <c r="M19" s="15">
        <v>0</v>
      </c>
    </row>
    <row r="20" spans="1:20" x14ac:dyDescent="0.3">
      <c r="F20" s="12">
        <v>4</v>
      </c>
      <c r="G20" s="12">
        <v>5</v>
      </c>
      <c r="H20" s="12">
        <v>6</v>
      </c>
      <c r="J20" s="15">
        <v>4</v>
      </c>
      <c r="K20" s="15">
        <v>5</v>
      </c>
      <c r="L20" s="15">
        <v>6</v>
      </c>
      <c r="M20" s="15">
        <v>0</v>
      </c>
    </row>
    <row r="21" spans="1:20" x14ac:dyDescent="0.3">
      <c r="F21" s="12">
        <v>7</v>
      </c>
      <c r="G21" s="12">
        <v>8</v>
      </c>
      <c r="H21" s="12">
        <v>9</v>
      </c>
      <c r="J21" s="15">
        <v>7</v>
      </c>
      <c r="K21" s="15">
        <v>8</v>
      </c>
      <c r="L21" s="15">
        <v>9</v>
      </c>
      <c r="M21" s="15">
        <v>0</v>
      </c>
    </row>
    <row r="22" spans="1:20" x14ac:dyDescent="0.3">
      <c r="J22" s="15">
        <v>0</v>
      </c>
      <c r="K22" s="15">
        <v>0</v>
      </c>
      <c r="L22" s="15">
        <v>0</v>
      </c>
      <c r="M22" s="15">
        <v>2</v>
      </c>
    </row>
    <row r="23" spans="1:20" x14ac:dyDescent="0.3">
      <c r="E23" s="13" t="s">
        <v>74</v>
      </c>
      <c r="F23" s="12">
        <v>2</v>
      </c>
    </row>
  </sheetData>
  <pageMargins left="0.511811024" right="0.511811024" top="0.78740157499999996" bottom="0.78740157499999996" header="0.31496062000000002" footer="0.3149606200000000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4CBB7E-D8C1-4729-96F7-26831D004B81}">
  <sheetPr codeName="Planilha22">
    <tabColor theme="9" tint="0.59999389629810485"/>
  </sheetPr>
  <dimension ref="A1:R32"/>
  <sheetViews>
    <sheetView showGridLines="0" workbookViewId="0">
      <selection activeCell="M12" sqref="M12"/>
    </sheetView>
  </sheetViews>
  <sheetFormatPr defaultColWidth="8.85546875" defaultRowHeight="18.75" x14ac:dyDescent="0.3"/>
  <cols>
    <col min="1" max="1" width="12.7109375" style="17" customWidth="1"/>
    <col min="2" max="2" width="31.140625" bestFit="1" customWidth="1"/>
    <col min="6" max="8" width="12.42578125" bestFit="1" customWidth="1"/>
    <col min="10" max="18" width="13.140625" style="15" customWidth="1"/>
  </cols>
  <sheetData>
    <row r="1" spans="1:18" x14ac:dyDescent="0.3">
      <c r="A1" s="16" t="s">
        <v>87</v>
      </c>
      <c r="J1" s="14"/>
      <c r="K1" s="14"/>
      <c r="L1" s="14"/>
      <c r="M1" s="14"/>
      <c r="N1" s="14"/>
      <c r="O1" s="14"/>
      <c r="P1" s="14"/>
      <c r="Q1" s="14"/>
      <c r="R1" s="14"/>
    </row>
    <row r="2" spans="1:18" x14ac:dyDescent="0.3">
      <c r="A2" s="17" t="s">
        <v>90</v>
      </c>
      <c r="J2" s="14"/>
      <c r="K2" s="14"/>
      <c r="L2" s="14"/>
      <c r="M2" s="14"/>
      <c r="N2" s="14"/>
      <c r="O2" s="14"/>
      <c r="P2" s="14"/>
      <c r="Q2" s="14"/>
      <c r="R2" s="14"/>
    </row>
    <row r="4" spans="1:18" ht="15.75" x14ac:dyDescent="0.25">
      <c r="A4" s="2" t="s">
        <v>15</v>
      </c>
      <c r="B4" s="2" t="s">
        <v>16</v>
      </c>
    </row>
    <row r="5" spans="1:18" ht="15.75" x14ac:dyDescent="0.25">
      <c r="A5" s="19" t="s">
        <v>22</v>
      </c>
      <c r="B5" s="24" t="s">
        <v>89</v>
      </c>
    </row>
    <row r="6" spans="1:18" ht="63" x14ac:dyDescent="0.25">
      <c r="A6" s="23" t="s">
        <v>88</v>
      </c>
      <c r="B6" s="24" t="s">
        <v>91</v>
      </c>
    </row>
    <row r="7" spans="1:18" ht="15.75" x14ac:dyDescent="0.25">
      <c r="A7" s="19"/>
      <c r="B7" s="18"/>
    </row>
    <row r="9" spans="1:18" x14ac:dyDescent="0.3">
      <c r="D9" s="1" t="s">
        <v>17</v>
      </c>
      <c r="E9" s="13" t="s">
        <v>22</v>
      </c>
      <c r="F9" s="12" t="b">
        <v>1</v>
      </c>
      <c r="J9" s="15" t="b" cm="1">
        <f t="array" ref="J9">_xlfn.LAMBDA(_xlpm.matrix,_xlop.dim,
_xlfn.LET(
_xlpm.dim, IF( _xlfn.ISOMITTED(_xlpm.dim),"all", _xlpm.dim),
IF(_xlpm.dim="all",
IF( ( COUNTIF(_xlpm.matrix,FALSE) + COUNTIF(_xlpm.matrix,0)  ) = 0, TRUE, FALSE ),
IF(_xlpm.dim=1, _xlfn.BYCOL(_xlpm.matrix, _xlfn.LAMBDA(_xlpm.col, IF( ( COUNTIF(_xlpm.col,FALSE) + COUNTIF(_xlpm.col,0)  ) = 0, TRUE, FALSE ) )),
IF(_xlpm.dim=2, _xlfn.BYROW(_xlpm.matrix, _xlfn.LAMBDA(_xlpm.row, IF( ( COUNTIF(_xlpm.row,FALSE) + COUNTIF(_xlpm.row,0)  ) = 0, TRUE, FALSE ) )), #VALUE!) )
)
))($F$9:$F$12)</f>
        <v>1</v>
      </c>
    </row>
    <row r="10" spans="1:18" x14ac:dyDescent="0.3">
      <c r="F10" s="12">
        <v>9</v>
      </c>
    </row>
    <row r="11" spans="1:18" x14ac:dyDescent="0.3">
      <c r="F11" s="12" t="b">
        <v>1</v>
      </c>
    </row>
    <row r="12" spans="1:18" x14ac:dyDescent="0.3">
      <c r="F12" s="12" t="b">
        <v>1</v>
      </c>
    </row>
    <row r="13" spans="1:18" ht="15" x14ac:dyDescent="0.25">
      <c r="A13"/>
    </row>
    <row r="15" spans="1:18" x14ac:dyDescent="0.3">
      <c r="D15" s="1" t="s">
        <v>17</v>
      </c>
      <c r="E15" s="13" t="s">
        <v>22</v>
      </c>
      <c r="F15" s="12" t="b">
        <v>1</v>
      </c>
      <c r="G15" s="12" t="b">
        <v>1</v>
      </c>
      <c r="J15" s="15" t="b" cm="1">
        <f t="array" ref="J15">ALL($F$15:$G$18)</f>
        <v>0</v>
      </c>
    </row>
    <row r="16" spans="1:18" x14ac:dyDescent="0.3">
      <c r="F16" s="12" t="b">
        <v>0</v>
      </c>
      <c r="G16" s="12" t="b">
        <v>0</v>
      </c>
    </row>
    <row r="17" spans="1:12" x14ac:dyDescent="0.3">
      <c r="F17" s="12" t="b">
        <v>0</v>
      </c>
      <c r="G17" s="12" t="b">
        <v>0</v>
      </c>
    </row>
    <row r="18" spans="1:12" x14ac:dyDescent="0.3">
      <c r="F18" s="12" t="b">
        <v>1</v>
      </c>
      <c r="G18" s="12" t="b">
        <v>1</v>
      </c>
    </row>
    <row r="19" spans="1:12" ht="15" x14ac:dyDescent="0.25">
      <c r="A19"/>
    </row>
    <row r="20" spans="1:12" x14ac:dyDescent="0.3">
      <c r="H20" s="25" t="s">
        <v>92</v>
      </c>
    </row>
    <row r="21" spans="1:12" x14ac:dyDescent="0.3">
      <c r="D21" s="1" t="s">
        <v>17</v>
      </c>
      <c r="E21" s="13" t="s">
        <v>22</v>
      </c>
      <c r="F21" s="12">
        <v>1</v>
      </c>
      <c r="G21" s="12">
        <v>0</v>
      </c>
      <c r="H21" s="12">
        <v>100</v>
      </c>
      <c r="J21" s="15" t="b" cm="1">
        <f t="array" ref="J21:L21">ALL(F21:H23,F25)</f>
        <v>0</v>
      </c>
      <c r="K21" s="15" t="b">
        <v>0</v>
      </c>
      <c r="L21" s="15" t="b">
        <v>1</v>
      </c>
    </row>
    <row r="22" spans="1:12" x14ac:dyDescent="0.3">
      <c r="F22" s="12">
        <v>0</v>
      </c>
      <c r="G22" s="12">
        <v>20</v>
      </c>
      <c r="H22" s="12" t="b">
        <v>1</v>
      </c>
    </row>
    <row r="23" spans="1:12" x14ac:dyDescent="0.3">
      <c r="F23" s="12">
        <v>3</v>
      </c>
      <c r="G23" s="12">
        <v>0</v>
      </c>
      <c r="H23" s="12">
        <v>300</v>
      </c>
    </row>
    <row r="25" spans="1:12" x14ac:dyDescent="0.3">
      <c r="E25" s="13" t="s">
        <v>36</v>
      </c>
      <c r="F25" s="12">
        <v>1</v>
      </c>
    </row>
    <row r="28" spans="1:12" x14ac:dyDescent="0.3">
      <c r="D28" s="1" t="s">
        <v>17</v>
      </c>
      <c r="E28" s="13" t="s">
        <v>22</v>
      </c>
      <c r="F28" s="12">
        <v>1</v>
      </c>
      <c r="G28" s="12">
        <v>0</v>
      </c>
      <c r="H28" s="12">
        <v>100</v>
      </c>
      <c r="J28" s="15" t="b" cm="1">
        <f t="array" ref="J28:J30">ALL($F$28:$H$30,$F$32)</f>
        <v>0</v>
      </c>
    </row>
    <row r="29" spans="1:12" x14ac:dyDescent="0.3">
      <c r="F29" s="12">
        <v>1</v>
      </c>
      <c r="G29" s="12">
        <v>20</v>
      </c>
      <c r="H29" s="12" t="b">
        <v>1</v>
      </c>
      <c r="J29" s="15" t="b">
        <v>1</v>
      </c>
    </row>
    <row r="30" spans="1:12" x14ac:dyDescent="0.3">
      <c r="F30" s="12">
        <v>3</v>
      </c>
      <c r="G30" s="12">
        <v>0</v>
      </c>
      <c r="H30" s="12">
        <v>300</v>
      </c>
      <c r="J30" s="15" t="b">
        <v>0</v>
      </c>
    </row>
    <row r="32" spans="1:12" x14ac:dyDescent="0.3">
      <c r="E32" s="13" t="s">
        <v>36</v>
      </c>
      <c r="F32" s="12">
        <v>2</v>
      </c>
    </row>
  </sheetData>
  <pageMargins left="0.511811024" right="0.511811024" top="0.78740157499999996" bottom="0.78740157499999996" header="0.31496062000000002" footer="0.3149606200000000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841028-17AA-40E3-A3C9-C0D0A24A48DD}">
  <sheetPr codeName="Planilha23">
    <tabColor theme="9" tint="0.59999389629810485"/>
  </sheetPr>
  <dimension ref="A1:R32"/>
  <sheetViews>
    <sheetView showGridLines="0" workbookViewId="0">
      <selection activeCell="K4" sqref="K4"/>
    </sheetView>
  </sheetViews>
  <sheetFormatPr defaultColWidth="8.85546875" defaultRowHeight="18.75" x14ac:dyDescent="0.3"/>
  <cols>
    <col min="1" max="1" width="12.7109375" style="17" customWidth="1"/>
    <col min="2" max="2" width="31.140625" bestFit="1" customWidth="1"/>
    <col min="6" max="8" width="12.42578125" bestFit="1" customWidth="1"/>
    <col min="10" max="18" width="13.140625" style="15" customWidth="1"/>
  </cols>
  <sheetData>
    <row r="1" spans="1:18" x14ac:dyDescent="0.3">
      <c r="A1" s="16" t="s">
        <v>93</v>
      </c>
      <c r="J1" s="14"/>
      <c r="K1" s="14"/>
      <c r="L1" s="14"/>
      <c r="M1" s="14"/>
      <c r="N1" s="14"/>
      <c r="O1" s="14"/>
      <c r="P1" s="14"/>
      <c r="Q1" s="14"/>
      <c r="R1" s="14"/>
    </row>
    <row r="2" spans="1:18" x14ac:dyDescent="0.3">
      <c r="A2" s="17" t="s">
        <v>94</v>
      </c>
      <c r="J2" s="14"/>
      <c r="K2" s="14"/>
      <c r="L2" s="14"/>
      <c r="M2" s="14"/>
      <c r="N2" s="14"/>
      <c r="O2" s="14"/>
      <c r="P2" s="14"/>
      <c r="Q2" s="14"/>
      <c r="R2" s="14"/>
    </row>
    <row r="4" spans="1:18" ht="15.75" x14ac:dyDescent="0.25">
      <c r="A4" s="2" t="s">
        <v>15</v>
      </c>
      <c r="B4" s="2" t="s">
        <v>16</v>
      </c>
    </row>
    <row r="5" spans="1:18" ht="15.75" x14ac:dyDescent="0.25">
      <c r="A5" s="19" t="s">
        <v>22</v>
      </c>
      <c r="B5" s="24" t="s">
        <v>89</v>
      </c>
    </row>
    <row r="6" spans="1:18" ht="63" x14ac:dyDescent="0.25">
      <c r="A6" s="23" t="s">
        <v>88</v>
      </c>
      <c r="B6" s="24" t="s">
        <v>95</v>
      </c>
    </row>
    <row r="7" spans="1:18" ht="15.75" x14ac:dyDescent="0.25">
      <c r="A7" s="19"/>
      <c r="B7" s="18"/>
    </row>
    <row r="9" spans="1:18" x14ac:dyDescent="0.3">
      <c r="D9" s="1" t="s">
        <v>17</v>
      </c>
      <c r="E9" s="13" t="s">
        <v>22</v>
      </c>
      <c r="F9" s="12" t="b">
        <v>1</v>
      </c>
      <c r="J9" s="15" t="b" cm="1">
        <f t="array" ref="J9">_xlfn.LAMBDA(_xlpm.matrix,_xlop.dim,
_xlfn.LET(
_xlpm.dim, IF( _xlfn.ISOMITTED(_xlpm.dim),"all", _xlpm.dim),
IF(_xlpm.dim="all",
IF( ( COUNTIF(_xlpm.matrix,FALSE) + COUNTIF(_xlpm.matrix,0)  ) &lt;&gt; ROWS(_xlpm.matrix)*COLUMNS(_xlpm.matrix), TRUE, FALSE ),
IF(_xlpm.dim=1, _xlfn.BYCOL(_xlpm.matrix, _xlfn.LAMBDA(_xlpm.col, IF( ( COUNTIF(_xlpm.col,FALSE) + COUNTIF(_xlpm.col,0)  ) &lt;&gt; ROWS(_xlpm.col), TRUE, FALSE ) )),
IF(_xlpm.dim=2, _xlfn.BYROW(_xlpm.matrix, _xlfn.LAMBDA(_xlpm.row, IF( ( COUNTIF(_xlpm.row,FALSE) + COUNTIF(_xlpm.row,0)  ) &lt;&gt; COLUMNS(_xlpm.row), TRUE, FALSE ) )), #VALUE!) )
)
))($F$9:$F$12)</f>
        <v>1</v>
      </c>
    </row>
    <row r="10" spans="1:18" x14ac:dyDescent="0.3">
      <c r="F10" s="12">
        <v>0</v>
      </c>
    </row>
    <row r="11" spans="1:18" x14ac:dyDescent="0.3">
      <c r="F11" s="12">
        <v>6</v>
      </c>
    </row>
    <row r="12" spans="1:18" x14ac:dyDescent="0.3">
      <c r="F12" s="12" t="b">
        <v>1</v>
      </c>
    </row>
    <row r="13" spans="1:18" ht="15" x14ac:dyDescent="0.25">
      <c r="A13"/>
    </row>
    <row r="15" spans="1:18" x14ac:dyDescent="0.3">
      <c r="D15" s="1" t="s">
        <v>17</v>
      </c>
      <c r="E15" s="13" t="s">
        <v>22</v>
      </c>
      <c r="F15" s="12" t="b">
        <v>1</v>
      </c>
      <c r="G15" s="12" t="b">
        <v>1</v>
      </c>
      <c r="J15" s="15" t="b" cm="1">
        <f t="array" ref="J15">ANY($F$15:$G$18)</f>
        <v>1</v>
      </c>
    </row>
    <row r="16" spans="1:18" x14ac:dyDescent="0.3">
      <c r="F16" s="12" t="b">
        <v>0</v>
      </c>
      <c r="G16" s="12">
        <v>0</v>
      </c>
    </row>
    <row r="17" spans="1:12" x14ac:dyDescent="0.3">
      <c r="F17" s="12">
        <v>0</v>
      </c>
      <c r="G17" s="12" t="b">
        <v>0</v>
      </c>
    </row>
    <row r="18" spans="1:12" x14ac:dyDescent="0.3">
      <c r="F18" s="12" t="b">
        <v>1</v>
      </c>
      <c r="G18" s="12" t="b">
        <v>1</v>
      </c>
    </row>
    <row r="19" spans="1:12" ht="15" x14ac:dyDescent="0.25">
      <c r="A19"/>
    </row>
    <row r="20" spans="1:12" x14ac:dyDescent="0.3">
      <c r="H20" s="25" t="s">
        <v>92</v>
      </c>
    </row>
    <row r="21" spans="1:12" x14ac:dyDescent="0.3">
      <c r="D21" s="1" t="s">
        <v>17</v>
      </c>
      <c r="E21" s="13" t="s">
        <v>22</v>
      </c>
      <c r="F21" s="12">
        <v>1</v>
      </c>
      <c r="G21" s="12">
        <v>0</v>
      </c>
      <c r="H21" s="12">
        <v>100</v>
      </c>
      <c r="J21" s="15" t="b" cm="1">
        <f t="array" ref="J21:L21">ANY(F21:H23,F25)</f>
        <v>1</v>
      </c>
      <c r="K21" s="15" t="b">
        <v>0</v>
      </c>
      <c r="L21" s="15" t="b">
        <v>1</v>
      </c>
    </row>
    <row r="22" spans="1:12" x14ac:dyDescent="0.3">
      <c r="F22" s="12">
        <v>0</v>
      </c>
      <c r="G22" s="12">
        <v>0</v>
      </c>
      <c r="H22" s="12" t="b">
        <v>1</v>
      </c>
    </row>
    <row r="23" spans="1:12" x14ac:dyDescent="0.3">
      <c r="F23" s="12">
        <v>3</v>
      </c>
      <c r="G23" s="12">
        <v>0</v>
      </c>
      <c r="H23" s="12">
        <v>300</v>
      </c>
    </row>
    <row r="25" spans="1:12" x14ac:dyDescent="0.3">
      <c r="E25" s="13" t="s">
        <v>36</v>
      </c>
      <c r="F25" s="12">
        <v>1</v>
      </c>
    </row>
    <row r="28" spans="1:12" x14ac:dyDescent="0.3">
      <c r="D28" s="1" t="s">
        <v>17</v>
      </c>
      <c r="E28" s="13" t="s">
        <v>22</v>
      </c>
      <c r="F28" s="12">
        <v>1</v>
      </c>
      <c r="G28" s="12">
        <v>0</v>
      </c>
      <c r="H28" s="12">
        <v>100</v>
      </c>
      <c r="J28" s="15" t="b" cm="1">
        <f t="array" ref="J28:J30">ANY($F$28:$H$30,$F$32)</f>
        <v>1</v>
      </c>
    </row>
    <row r="29" spans="1:12" x14ac:dyDescent="0.3">
      <c r="F29" s="12">
        <v>1</v>
      </c>
      <c r="G29" s="12">
        <v>20</v>
      </c>
      <c r="H29" s="12" t="b">
        <v>1</v>
      </c>
      <c r="J29" s="15" t="b">
        <v>1</v>
      </c>
    </row>
    <row r="30" spans="1:12" x14ac:dyDescent="0.3">
      <c r="F30" s="12">
        <v>0</v>
      </c>
      <c r="G30" s="12">
        <v>0</v>
      </c>
      <c r="H30" s="12">
        <v>0</v>
      </c>
      <c r="J30" s="15" t="b">
        <v>0</v>
      </c>
    </row>
    <row r="32" spans="1:12" x14ac:dyDescent="0.3">
      <c r="E32" s="13" t="s">
        <v>36</v>
      </c>
      <c r="F32" s="12">
        <v>2</v>
      </c>
    </row>
  </sheetData>
  <pageMargins left="0.511811024" right="0.511811024" top="0.78740157499999996" bottom="0.78740157499999996" header="0.31496062000000002" footer="0.3149606200000000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82210-A8A1-4945-9DE4-DF6C299B22F5}">
  <sheetPr codeName="Planilha24">
    <tabColor theme="9" tint="0.59999389629810485"/>
  </sheetPr>
  <dimension ref="A1:R19"/>
  <sheetViews>
    <sheetView showGridLines="0" workbookViewId="0">
      <selection activeCell="G5" sqref="G5"/>
    </sheetView>
  </sheetViews>
  <sheetFormatPr defaultColWidth="8.85546875" defaultRowHeight="18.75" x14ac:dyDescent="0.3"/>
  <cols>
    <col min="1" max="1" width="12.7109375" style="17" customWidth="1"/>
    <col min="2" max="2" width="31.140625" bestFit="1" customWidth="1"/>
    <col min="6" max="8" width="12.42578125" bestFit="1" customWidth="1"/>
    <col min="10" max="18" width="13.140625" style="15" customWidth="1"/>
  </cols>
  <sheetData>
    <row r="1" spans="1:18" x14ac:dyDescent="0.3">
      <c r="A1" s="16" t="s">
        <v>119</v>
      </c>
      <c r="J1" s="14"/>
      <c r="K1" s="14"/>
      <c r="L1" s="14"/>
      <c r="M1" s="14"/>
      <c r="N1" s="14"/>
      <c r="O1" s="14"/>
      <c r="P1" s="14"/>
      <c r="Q1" s="14"/>
      <c r="R1" s="14"/>
    </row>
    <row r="2" spans="1:18" x14ac:dyDescent="0.3">
      <c r="A2" s="17" t="s">
        <v>123</v>
      </c>
      <c r="J2" s="14"/>
      <c r="K2" s="14"/>
      <c r="L2" s="14"/>
      <c r="M2" s="14"/>
      <c r="N2" s="14"/>
      <c r="O2" s="14"/>
      <c r="P2" s="14"/>
      <c r="Q2" s="14"/>
      <c r="R2" s="14"/>
    </row>
    <row r="4" spans="1:18" ht="15.75" x14ac:dyDescent="0.25">
      <c r="A4" s="2" t="s">
        <v>15</v>
      </c>
      <c r="B4" s="2" t="s">
        <v>16</v>
      </c>
    </row>
    <row r="5" spans="1:18" ht="31.5" x14ac:dyDescent="0.25">
      <c r="A5" s="19" t="s">
        <v>22</v>
      </c>
      <c r="B5" s="24" t="s">
        <v>120</v>
      </c>
    </row>
    <row r="6" spans="1:18" ht="15.75" x14ac:dyDescent="0.25">
      <c r="A6" s="23"/>
      <c r="B6" s="24"/>
    </row>
    <row r="7" spans="1:18" ht="15.75" x14ac:dyDescent="0.25">
      <c r="A7" s="19"/>
      <c r="B7" s="18"/>
    </row>
    <row r="9" spans="1:18" x14ac:dyDescent="0.3">
      <c r="D9" s="1" t="s">
        <v>17</v>
      </c>
      <c r="E9" s="13" t="s">
        <v>22</v>
      </c>
      <c r="F9" s="12" t="b">
        <v>1</v>
      </c>
      <c r="G9" s="12">
        <v>2</v>
      </c>
      <c r="H9" s="12">
        <v>4</v>
      </c>
      <c r="J9" s="15" cm="1">
        <f t="array" ref="J9">_xlfn.LAMBDA(_xlpm.matrix, COUNTA(_xlpm.matrix) - SUM(IF(_xlpm.matrix=FALSE,1,0)) - SUM(IF(_xlpm.matrix=0,1,0)) )($F$9:$H$11)</f>
        <v>6</v>
      </c>
    </row>
    <row r="10" spans="1:18" x14ac:dyDescent="0.3">
      <c r="F10" s="12" t="b">
        <v>1</v>
      </c>
      <c r="G10" s="12">
        <v>0</v>
      </c>
      <c r="H10" s="12" t="b">
        <v>0</v>
      </c>
    </row>
    <row r="11" spans="1:18" x14ac:dyDescent="0.3">
      <c r="F11" s="12">
        <v>0</v>
      </c>
      <c r="G11" s="12" t="s">
        <v>122</v>
      </c>
      <c r="H11" s="12" t="s">
        <v>121</v>
      </c>
    </row>
    <row r="13" spans="1:18" ht="15" x14ac:dyDescent="0.25">
      <c r="A13"/>
    </row>
    <row r="16" spans="1:18" x14ac:dyDescent="0.3">
      <c r="D16" s="1" t="s">
        <v>17</v>
      </c>
      <c r="E16" s="13" t="s">
        <v>22</v>
      </c>
      <c r="F16" s="12">
        <v>10</v>
      </c>
      <c r="G16" s="12">
        <v>20</v>
      </c>
      <c r="H16" s="12">
        <v>30</v>
      </c>
      <c r="J16" s="15" cm="1">
        <f t="array" ref="J16">NNZ($F$16:$H$18 &gt; 100)</f>
        <v>5</v>
      </c>
    </row>
    <row r="17" spans="1:8" x14ac:dyDescent="0.3">
      <c r="F17" s="12">
        <v>100</v>
      </c>
      <c r="G17" s="12">
        <v>200</v>
      </c>
      <c r="H17" s="12">
        <v>300</v>
      </c>
    </row>
    <row r="18" spans="1:8" x14ac:dyDescent="0.3">
      <c r="F18" s="12">
        <v>1000</v>
      </c>
      <c r="G18" s="12">
        <v>2000</v>
      </c>
      <c r="H18" s="12">
        <v>3000</v>
      </c>
    </row>
    <row r="19" spans="1:8" ht="15" x14ac:dyDescent="0.25">
      <c r="A19"/>
    </row>
  </sheetData>
  <pageMargins left="0.511811024" right="0.511811024" top="0.78740157499999996" bottom="0.78740157499999996" header="0.31496062000000002" footer="0.3149606200000000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0854D-0362-4BA7-A3AF-194D228C3DB9}">
  <sheetPr codeName="Planilha25">
    <tabColor theme="9" tint="0.59999389629810485"/>
  </sheetPr>
  <dimension ref="A1:U110"/>
  <sheetViews>
    <sheetView showGridLines="0" workbookViewId="0">
      <selection activeCell="O11" sqref="O11"/>
    </sheetView>
  </sheetViews>
  <sheetFormatPr defaultColWidth="8.85546875" defaultRowHeight="18.75" x14ac:dyDescent="0.3"/>
  <cols>
    <col min="1" max="1" width="12.7109375" style="17" customWidth="1"/>
    <col min="2" max="2" width="26.28515625" customWidth="1"/>
    <col min="8" max="9" width="8.85546875" style="15"/>
    <col min="15" max="21" width="8.85546875" style="15"/>
  </cols>
  <sheetData>
    <row r="1" spans="1:21" x14ac:dyDescent="0.3">
      <c r="A1" s="16" t="s">
        <v>107</v>
      </c>
      <c r="H1" s="14"/>
      <c r="I1" s="14"/>
      <c r="O1" s="14"/>
      <c r="P1" s="14"/>
      <c r="Q1" s="14"/>
      <c r="R1" s="14"/>
      <c r="S1" s="14"/>
      <c r="T1" s="14"/>
      <c r="U1" s="14"/>
    </row>
    <row r="2" spans="1:21" x14ac:dyDescent="0.3">
      <c r="A2" s="17" t="s">
        <v>108</v>
      </c>
      <c r="H2" s="14"/>
      <c r="I2" s="14"/>
      <c r="O2" s="14"/>
      <c r="P2" s="14"/>
      <c r="Q2" s="14"/>
      <c r="R2" s="14"/>
      <c r="S2" s="14"/>
      <c r="T2" s="14"/>
      <c r="U2" s="14"/>
    </row>
    <row r="3" spans="1:21" x14ac:dyDescent="0.3">
      <c r="O3" s="27"/>
    </row>
    <row r="4" spans="1:21" ht="15.75" x14ac:dyDescent="0.25">
      <c r="A4" s="2" t="s">
        <v>15</v>
      </c>
      <c r="B4" s="2" t="s">
        <v>16</v>
      </c>
      <c r="O4" s="27"/>
    </row>
    <row r="5" spans="1:21" ht="15.75" x14ac:dyDescent="0.25">
      <c r="A5" s="23" t="s">
        <v>112</v>
      </c>
      <c r="B5" s="26" t="s">
        <v>109</v>
      </c>
      <c r="O5" s="27"/>
    </row>
    <row r="6" spans="1:21" ht="15.75" x14ac:dyDescent="0.25">
      <c r="A6" s="23" t="s">
        <v>113</v>
      </c>
      <c r="B6" s="26" t="s">
        <v>110</v>
      </c>
      <c r="O6" s="27"/>
    </row>
    <row r="7" spans="1:21" ht="15.75" x14ac:dyDescent="0.25">
      <c r="A7" s="23" t="s">
        <v>56</v>
      </c>
      <c r="B7" s="26" t="s">
        <v>111</v>
      </c>
      <c r="O7" s="27"/>
    </row>
    <row r="8" spans="1:21" x14ac:dyDescent="0.3">
      <c r="O8" s="27"/>
    </row>
    <row r="9" spans="1:21" x14ac:dyDescent="0.3">
      <c r="O9" s="27"/>
    </row>
    <row r="10" spans="1:21" x14ac:dyDescent="0.3">
      <c r="O10" s="27"/>
    </row>
    <row r="11" spans="1:21" x14ac:dyDescent="0.3">
      <c r="D11" s="1" t="s">
        <v>17</v>
      </c>
      <c r="E11" s="13" t="s">
        <v>112</v>
      </c>
      <c r="F11" s="12">
        <v>1</v>
      </c>
      <c r="H11" s="27" cm="1">
        <f t="array" ref="H11:H110">_xlfn.LAMBDA(_xlpm.lb,_xlpm.ub,_xlop.n, _xlfn.LET(_xlpm.n, IF(_xlfn.ISOMITTED(_xlpm.n),100,_xlpm.n), _xlfn.MAKEARRAY(_xlpm.n, 1,_xlfn.LAMBDA(_xlpm.lin,_xlpm.col, _xlpm.lb + (_xlpm.lin-1)*(_xlpm.ub - _xlpm.lb)/(_xlpm.n-1) ))) )($F$11,$F$12)</f>
        <v>1</v>
      </c>
      <c r="K11" s="1" t="s">
        <v>17</v>
      </c>
      <c r="L11" s="13" t="s">
        <v>112</v>
      </c>
      <c r="M11" s="12">
        <v>1</v>
      </c>
      <c r="O11" s="27" cm="1">
        <f t="array" ref="O11:O20">LINSPACE($M$11,$M$12,$M$13)</f>
        <v>1</v>
      </c>
    </row>
    <row r="12" spans="1:21" x14ac:dyDescent="0.3">
      <c r="E12" s="13" t="s">
        <v>113</v>
      </c>
      <c r="F12" s="12">
        <v>5</v>
      </c>
      <c r="H12" s="27">
        <v>1.0404040404040404</v>
      </c>
      <c r="L12" s="13" t="s">
        <v>113</v>
      </c>
      <c r="M12" s="12">
        <v>5</v>
      </c>
      <c r="O12" s="27">
        <v>1.4444444444444444</v>
      </c>
    </row>
    <row r="13" spans="1:21" x14ac:dyDescent="0.3">
      <c r="H13" s="27">
        <v>1.0808080808080809</v>
      </c>
      <c r="L13" s="13" t="s">
        <v>36</v>
      </c>
      <c r="M13" s="12">
        <v>10</v>
      </c>
      <c r="O13" s="27">
        <v>1.8888888888888888</v>
      </c>
    </row>
    <row r="14" spans="1:21" x14ac:dyDescent="0.3">
      <c r="H14" s="27">
        <v>1.1212121212121211</v>
      </c>
      <c r="O14" s="27">
        <v>2.333333333333333</v>
      </c>
    </row>
    <row r="15" spans="1:21" x14ac:dyDescent="0.3">
      <c r="H15" s="27">
        <v>1.1616161616161615</v>
      </c>
      <c r="O15" s="27">
        <v>2.7777777777777777</v>
      </c>
    </row>
    <row r="16" spans="1:21" x14ac:dyDescent="0.3">
      <c r="H16" s="27">
        <v>1.202020202020202</v>
      </c>
      <c r="O16" s="27">
        <v>3.2222222222222223</v>
      </c>
    </row>
    <row r="17" spans="8:15" x14ac:dyDescent="0.3">
      <c r="H17" s="27">
        <v>1.2424242424242424</v>
      </c>
      <c r="O17" s="27">
        <v>3.6666666666666665</v>
      </c>
    </row>
    <row r="18" spans="8:15" x14ac:dyDescent="0.3">
      <c r="H18" s="27">
        <v>1.2828282828282829</v>
      </c>
      <c r="O18" s="27">
        <v>4.1111111111111107</v>
      </c>
    </row>
    <row r="19" spans="8:15" x14ac:dyDescent="0.3">
      <c r="H19" s="27">
        <v>1.3232323232323233</v>
      </c>
      <c r="O19" s="27">
        <v>4.5555555555555554</v>
      </c>
    </row>
    <row r="20" spans="8:15" x14ac:dyDescent="0.3">
      <c r="H20" s="27">
        <v>1.3636363636363638</v>
      </c>
      <c r="O20" s="27">
        <v>5</v>
      </c>
    </row>
    <row r="21" spans="8:15" x14ac:dyDescent="0.3">
      <c r="H21" s="27">
        <v>1.404040404040404</v>
      </c>
      <c r="O21" s="27"/>
    </row>
    <row r="22" spans="8:15" x14ac:dyDescent="0.3">
      <c r="H22" s="27">
        <v>1.4444444444444444</v>
      </c>
      <c r="O22" s="27"/>
    </row>
    <row r="23" spans="8:15" x14ac:dyDescent="0.3">
      <c r="H23" s="27">
        <v>1.4848484848484849</v>
      </c>
      <c r="O23" s="27"/>
    </row>
    <row r="24" spans="8:15" x14ac:dyDescent="0.3">
      <c r="H24" s="27">
        <v>1.5252525252525253</v>
      </c>
      <c r="O24" s="27"/>
    </row>
    <row r="25" spans="8:15" x14ac:dyDescent="0.3">
      <c r="H25" s="27">
        <v>1.5656565656565657</v>
      </c>
      <c r="O25" s="27"/>
    </row>
    <row r="26" spans="8:15" x14ac:dyDescent="0.3">
      <c r="H26" s="27">
        <v>1.606060606060606</v>
      </c>
      <c r="O26" s="27"/>
    </row>
    <row r="27" spans="8:15" x14ac:dyDescent="0.3">
      <c r="H27" s="27">
        <v>1.6464646464646466</v>
      </c>
      <c r="O27" s="27"/>
    </row>
    <row r="28" spans="8:15" x14ac:dyDescent="0.3">
      <c r="H28" s="27">
        <v>1.6868686868686869</v>
      </c>
      <c r="O28" s="27"/>
    </row>
    <row r="29" spans="8:15" x14ac:dyDescent="0.3">
      <c r="H29" s="27">
        <v>1.7272727272727273</v>
      </c>
      <c r="O29" s="27"/>
    </row>
    <row r="30" spans="8:15" x14ac:dyDescent="0.3">
      <c r="H30" s="27">
        <v>1.7676767676767677</v>
      </c>
      <c r="O30" s="27"/>
    </row>
    <row r="31" spans="8:15" x14ac:dyDescent="0.3">
      <c r="H31" s="27">
        <v>1.808080808080808</v>
      </c>
      <c r="O31" s="27"/>
    </row>
    <row r="32" spans="8:15" x14ac:dyDescent="0.3">
      <c r="H32" s="27">
        <v>1.8484848484848486</v>
      </c>
      <c r="O32" s="27"/>
    </row>
    <row r="33" spans="8:15" x14ac:dyDescent="0.3">
      <c r="H33" s="27">
        <v>1.8888888888888888</v>
      </c>
      <c r="O33" s="27"/>
    </row>
    <row r="34" spans="8:15" x14ac:dyDescent="0.3">
      <c r="H34" s="27">
        <v>1.9292929292929293</v>
      </c>
      <c r="O34" s="27"/>
    </row>
    <row r="35" spans="8:15" x14ac:dyDescent="0.3">
      <c r="H35" s="27">
        <v>1.9696969696969697</v>
      </c>
      <c r="O35" s="27"/>
    </row>
    <row r="36" spans="8:15" x14ac:dyDescent="0.3">
      <c r="H36" s="27">
        <v>2.0101010101010104</v>
      </c>
      <c r="O36" s="27"/>
    </row>
    <row r="37" spans="8:15" x14ac:dyDescent="0.3">
      <c r="H37" s="27">
        <v>2.0505050505050506</v>
      </c>
      <c r="O37" s="27"/>
    </row>
    <row r="38" spans="8:15" x14ac:dyDescent="0.3">
      <c r="H38" s="27">
        <v>2.0909090909090908</v>
      </c>
      <c r="O38" s="27"/>
    </row>
    <row r="39" spans="8:15" x14ac:dyDescent="0.3">
      <c r="H39" s="27">
        <v>2.1313131313131315</v>
      </c>
      <c r="O39" s="27"/>
    </row>
    <row r="40" spans="8:15" x14ac:dyDescent="0.3">
      <c r="H40" s="27">
        <v>2.1717171717171717</v>
      </c>
      <c r="O40" s="27"/>
    </row>
    <row r="41" spans="8:15" x14ac:dyDescent="0.3">
      <c r="H41" s="27">
        <v>2.2121212121212119</v>
      </c>
      <c r="O41" s="27"/>
    </row>
    <row r="42" spans="8:15" x14ac:dyDescent="0.3">
      <c r="H42" s="27">
        <v>2.2525252525252526</v>
      </c>
      <c r="O42" s="27"/>
    </row>
    <row r="43" spans="8:15" x14ac:dyDescent="0.3">
      <c r="H43" s="27">
        <v>2.2929292929292933</v>
      </c>
      <c r="O43" s="27"/>
    </row>
    <row r="44" spans="8:15" x14ac:dyDescent="0.3">
      <c r="H44" s="27">
        <v>2.333333333333333</v>
      </c>
      <c r="O44" s="27"/>
    </row>
    <row r="45" spans="8:15" x14ac:dyDescent="0.3">
      <c r="H45" s="27">
        <v>2.3737373737373737</v>
      </c>
      <c r="O45" s="27"/>
    </row>
    <row r="46" spans="8:15" x14ac:dyDescent="0.3">
      <c r="H46" s="27">
        <v>2.4141414141414144</v>
      </c>
      <c r="O46" s="27"/>
    </row>
    <row r="47" spans="8:15" x14ac:dyDescent="0.3">
      <c r="H47" s="27">
        <v>2.4545454545454546</v>
      </c>
      <c r="O47" s="27"/>
    </row>
    <row r="48" spans="8:15" x14ac:dyDescent="0.3">
      <c r="H48" s="27">
        <v>2.4949494949494948</v>
      </c>
      <c r="O48" s="27"/>
    </row>
    <row r="49" spans="8:15" x14ac:dyDescent="0.3">
      <c r="H49" s="27">
        <v>2.5353535353535355</v>
      </c>
      <c r="O49" s="27"/>
    </row>
    <row r="50" spans="8:15" x14ac:dyDescent="0.3">
      <c r="H50" s="27">
        <v>2.5757575757575757</v>
      </c>
      <c r="O50" s="27"/>
    </row>
    <row r="51" spans="8:15" x14ac:dyDescent="0.3">
      <c r="H51" s="27">
        <v>2.6161616161616159</v>
      </c>
      <c r="O51" s="27"/>
    </row>
    <row r="52" spans="8:15" x14ac:dyDescent="0.3">
      <c r="H52" s="27">
        <v>2.6565656565656566</v>
      </c>
      <c r="O52" s="27"/>
    </row>
    <row r="53" spans="8:15" x14ac:dyDescent="0.3">
      <c r="H53" s="27">
        <v>2.6969696969696972</v>
      </c>
      <c r="O53" s="27"/>
    </row>
    <row r="54" spans="8:15" x14ac:dyDescent="0.3">
      <c r="H54" s="27">
        <v>2.7373737373737375</v>
      </c>
      <c r="O54" s="27"/>
    </row>
    <row r="55" spans="8:15" x14ac:dyDescent="0.3">
      <c r="H55" s="27">
        <v>2.7777777777777777</v>
      </c>
      <c r="O55" s="27"/>
    </row>
    <row r="56" spans="8:15" x14ac:dyDescent="0.3">
      <c r="H56" s="27">
        <v>2.8181818181818183</v>
      </c>
      <c r="O56" s="27"/>
    </row>
    <row r="57" spans="8:15" x14ac:dyDescent="0.3">
      <c r="H57" s="27">
        <v>2.8585858585858586</v>
      </c>
      <c r="O57" s="27"/>
    </row>
    <row r="58" spans="8:15" x14ac:dyDescent="0.3">
      <c r="H58" s="27">
        <v>2.8989898989898988</v>
      </c>
      <c r="O58" s="27"/>
    </row>
    <row r="59" spans="8:15" x14ac:dyDescent="0.3">
      <c r="H59" s="27">
        <v>2.9393939393939394</v>
      </c>
      <c r="O59" s="27"/>
    </row>
    <row r="60" spans="8:15" x14ac:dyDescent="0.3">
      <c r="H60" s="27">
        <v>2.9797979797979801</v>
      </c>
      <c r="O60" s="27"/>
    </row>
    <row r="61" spans="8:15" x14ac:dyDescent="0.3">
      <c r="H61" s="27">
        <v>3.0202020202020203</v>
      </c>
      <c r="O61" s="27"/>
    </row>
    <row r="62" spans="8:15" x14ac:dyDescent="0.3">
      <c r="H62" s="27">
        <v>3.0606060606060606</v>
      </c>
      <c r="O62" s="27"/>
    </row>
    <row r="63" spans="8:15" x14ac:dyDescent="0.3">
      <c r="H63" s="27">
        <v>3.1010101010101012</v>
      </c>
      <c r="O63" s="27"/>
    </row>
    <row r="64" spans="8:15" x14ac:dyDescent="0.3">
      <c r="H64" s="27">
        <v>3.1414141414141414</v>
      </c>
      <c r="O64" s="27"/>
    </row>
    <row r="65" spans="8:15" x14ac:dyDescent="0.3">
      <c r="H65" s="27">
        <v>3.1818181818181817</v>
      </c>
      <c r="O65" s="27"/>
    </row>
    <row r="66" spans="8:15" x14ac:dyDescent="0.3">
      <c r="H66" s="27">
        <v>3.2222222222222223</v>
      </c>
      <c r="O66" s="27"/>
    </row>
    <row r="67" spans="8:15" x14ac:dyDescent="0.3">
      <c r="H67" s="27">
        <v>3.2626262626262625</v>
      </c>
      <c r="O67" s="27"/>
    </row>
    <row r="68" spans="8:15" x14ac:dyDescent="0.3">
      <c r="H68" s="27">
        <v>3.3030303030303032</v>
      </c>
      <c r="O68" s="27"/>
    </row>
    <row r="69" spans="8:15" x14ac:dyDescent="0.3">
      <c r="H69" s="27">
        <v>3.3434343434343434</v>
      </c>
      <c r="O69" s="27"/>
    </row>
    <row r="70" spans="8:15" x14ac:dyDescent="0.3">
      <c r="H70" s="27">
        <v>3.3838383838383836</v>
      </c>
      <c r="O70" s="27"/>
    </row>
    <row r="71" spans="8:15" x14ac:dyDescent="0.3">
      <c r="H71" s="27">
        <v>3.4242424242424243</v>
      </c>
      <c r="O71" s="27"/>
    </row>
    <row r="72" spans="8:15" x14ac:dyDescent="0.3">
      <c r="H72" s="27">
        <v>3.4646464646464645</v>
      </c>
      <c r="O72" s="27"/>
    </row>
    <row r="73" spans="8:15" x14ac:dyDescent="0.3">
      <c r="H73" s="27">
        <v>3.5050505050505052</v>
      </c>
      <c r="O73" s="27"/>
    </row>
    <row r="74" spans="8:15" x14ac:dyDescent="0.3">
      <c r="H74" s="27">
        <v>3.5454545454545454</v>
      </c>
      <c r="O74" s="27"/>
    </row>
    <row r="75" spans="8:15" x14ac:dyDescent="0.3">
      <c r="H75" s="27">
        <v>3.5858585858585861</v>
      </c>
      <c r="O75" s="27"/>
    </row>
    <row r="76" spans="8:15" x14ac:dyDescent="0.3">
      <c r="H76" s="27">
        <v>3.6262626262626263</v>
      </c>
      <c r="O76" s="27"/>
    </row>
    <row r="77" spans="8:15" x14ac:dyDescent="0.3">
      <c r="H77" s="27">
        <v>3.6666666666666665</v>
      </c>
      <c r="O77" s="27"/>
    </row>
    <row r="78" spans="8:15" x14ac:dyDescent="0.3">
      <c r="H78" s="27">
        <v>3.7070707070707072</v>
      </c>
      <c r="O78" s="27"/>
    </row>
    <row r="79" spans="8:15" x14ac:dyDescent="0.3">
      <c r="H79" s="27">
        <v>3.7474747474747474</v>
      </c>
      <c r="O79" s="27"/>
    </row>
    <row r="80" spans="8:15" x14ac:dyDescent="0.3">
      <c r="H80" s="27">
        <v>3.7878787878787881</v>
      </c>
      <c r="O80" s="27"/>
    </row>
    <row r="81" spans="8:15" x14ac:dyDescent="0.3">
      <c r="H81" s="27">
        <v>3.8282828282828283</v>
      </c>
      <c r="O81" s="27"/>
    </row>
    <row r="82" spans="8:15" x14ac:dyDescent="0.3">
      <c r="H82" s="27">
        <v>3.8686868686868685</v>
      </c>
      <c r="O82" s="27"/>
    </row>
    <row r="83" spans="8:15" x14ac:dyDescent="0.3">
      <c r="H83" s="27">
        <v>3.9090909090909092</v>
      </c>
      <c r="O83" s="27"/>
    </row>
    <row r="84" spans="8:15" x14ac:dyDescent="0.3">
      <c r="H84" s="27">
        <v>3.9494949494949494</v>
      </c>
      <c r="O84" s="27"/>
    </row>
    <row r="85" spans="8:15" x14ac:dyDescent="0.3">
      <c r="H85" s="27">
        <v>3.9898989898989901</v>
      </c>
      <c r="O85" s="27"/>
    </row>
    <row r="86" spans="8:15" x14ac:dyDescent="0.3">
      <c r="H86" s="27">
        <v>4.0303030303030303</v>
      </c>
      <c r="O86" s="27"/>
    </row>
    <row r="87" spans="8:15" x14ac:dyDescent="0.3">
      <c r="H87" s="27">
        <v>4.0707070707070709</v>
      </c>
      <c r="O87" s="27"/>
    </row>
    <row r="88" spans="8:15" x14ac:dyDescent="0.3">
      <c r="H88" s="27">
        <v>4.1111111111111107</v>
      </c>
      <c r="O88" s="27"/>
    </row>
    <row r="89" spans="8:15" x14ac:dyDescent="0.3">
      <c r="H89" s="27">
        <v>4.1515151515151514</v>
      </c>
      <c r="O89" s="27"/>
    </row>
    <row r="90" spans="8:15" x14ac:dyDescent="0.3">
      <c r="H90" s="27">
        <v>4.191919191919192</v>
      </c>
      <c r="O90" s="27"/>
    </row>
    <row r="91" spans="8:15" x14ac:dyDescent="0.3">
      <c r="H91" s="27">
        <v>4.2323232323232318</v>
      </c>
      <c r="O91" s="27"/>
    </row>
    <row r="92" spans="8:15" x14ac:dyDescent="0.3">
      <c r="H92" s="27">
        <v>4.2727272727272734</v>
      </c>
      <c r="O92" s="27"/>
    </row>
    <row r="93" spans="8:15" x14ac:dyDescent="0.3">
      <c r="H93" s="27">
        <v>4.3131313131313131</v>
      </c>
      <c r="O93" s="27"/>
    </row>
    <row r="94" spans="8:15" x14ac:dyDescent="0.3">
      <c r="H94" s="27">
        <v>4.3535353535353529</v>
      </c>
      <c r="O94" s="27"/>
    </row>
    <row r="95" spans="8:15" x14ac:dyDescent="0.3">
      <c r="H95" s="27">
        <v>4.3939393939393945</v>
      </c>
      <c r="O95" s="27"/>
    </row>
    <row r="96" spans="8:15" x14ac:dyDescent="0.3">
      <c r="H96" s="27">
        <v>4.4343434343434343</v>
      </c>
      <c r="O96" s="27"/>
    </row>
    <row r="97" spans="8:15" x14ac:dyDescent="0.3">
      <c r="H97" s="27">
        <v>4.4747474747474749</v>
      </c>
      <c r="O97" s="27"/>
    </row>
    <row r="98" spans="8:15" x14ac:dyDescent="0.3">
      <c r="H98" s="27">
        <v>4.5151515151515156</v>
      </c>
      <c r="O98" s="27"/>
    </row>
    <row r="99" spans="8:15" x14ac:dyDescent="0.3">
      <c r="H99" s="27">
        <v>4.5555555555555554</v>
      </c>
      <c r="O99" s="27"/>
    </row>
    <row r="100" spans="8:15" x14ac:dyDescent="0.3">
      <c r="H100" s="27">
        <v>4.595959595959596</v>
      </c>
      <c r="O100" s="27"/>
    </row>
    <row r="101" spans="8:15" x14ac:dyDescent="0.3">
      <c r="H101" s="27">
        <v>4.6363636363636367</v>
      </c>
      <c r="O101" s="27"/>
    </row>
    <row r="102" spans="8:15" x14ac:dyDescent="0.3">
      <c r="H102" s="27">
        <v>4.6767676767676765</v>
      </c>
      <c r="O102" s="27"/>
    </row>
    <row r="103" spans="8:15" x14ac:dyDescent="0.3">
      <c r="H103" s="27">
        <v>4.7171717171717171</v>
      </c>
      <c r="O103" s="27"/>
    </row>
    <row r="104" spans="8:15" x14ac:dyDescent="0.3">
      <c r="H104" s="27">
        <v>4.7575757575757578</v>
      </c>
      <c r="O104" s="27"/>
    </row>
    <row r="105" spans="8:15" x14ac:dyDescent="0.3">
      <c r="H105" s="27">
        <v>4.7979797979797976</v>
      </c>
      <c r="O105" s="27"/>
    </row>
    <row r="106" spans="8:15" x14ac:dyDescent="0.3">
      <c r="H106" s="27">
        <v>4.8383838383838382</v>
      </c>
      <c r="O106" s="27"/>
    </row>
    <row r="107" spans="8:15" x14ac:dyDescent="0.3">
      <c r="H107" s="27">
        <v>4.8787878787878789</v>
      </c>
      <c r="O107" s="27"/>
    </row>
    <row r="108" spans="8:15" x14ac:dyDescent="0.3">
      <c r="H108" s="27">
        <v>4.9191919191919187</v>
      </c>
      <c r="O108" s="27"/>
    </row>
    <row r="109" spans="8:15" x14ac:dyDescent="0.3">
      <c r="H109" s="27">
        <v>4.9595959595959602</v>
      </c>
      <c r="O109" s="27"/>
    </row>
    <row r="110" spans="8:15" x14ac:dyDescent="0.3">
      <c r="H110" s="27">
        <v>5</v>
      </c>
      <c r="O110" s="27"/>
    </row>
  </sheetData>
  <pageMargins left="0.511811024" right="0.511811024" top="0.78740157499999996" bottom="0.78740157499999996" header="0.31496062000000002" footer="0.3149606200000000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A7AF0-AA63-440B-AA90-8E0AAD7104AE}">
  <sheetPr codeName="Planilha26">
    <tabColor theme="9" tint="0.59999389629810485"/>
  </sheetPr>
  <dimension ref="A1:Q110"/>
  <sheetViews>
    <sheetView showGridLines="0" workbookViewId="0">
      <selection activeCell="I19" sqref="I19"/>
    </sheetView>
  </sheetViews>
  <sheetFormatPr defaultColWidth="8.85546875" defaultRowHeight="18.75" x14ac:dyDescent="0.3"/>
  <cols>
    <col min="1" max="1" width="12.7109375" style="17" customWidth="1"/>
    <col min="2" max="2" width="26.28515625" customWidth="1"/>
    <col min="9" max="17" width="8.85546875" style="15"/>
  </cols>
  <sheetData>
    <row r="1" spans="1:17" x14ac:dyDescent="0.3">
      <c r="A1" s="16" t="s">
        <v>114</v>
      </c>
      <c r="I1" s="14"/>
      <c r="J1" s="14"/>
      <c r="K1" s="14"/>
      <c r="L1" s="14"/>
      <c r="M1" s="14"/>
      <c r="N1" s="14"/>
      <c r="O1" s="14"/>
      <c r="P1" s="14"/>
      <c r="Q1" s="14"/>
    </row>
    <row r="2" spans="1:17" x14ac:dyDescent="0.3">
      <c r="A2" s="17" t="s">
        <v>115</v>
      </c>
      <c r="I2" s="14"/>
      <c r="J2" s="14"/>
      <c r="K2" s="14"/>
      <c r="L2" s="14"/>
      <c r="M2" s="14"/>
      <c r="N2" s="14"/>
      <c r="O2" s="14"/>
      <c r="P2" s="14"/>
      <c r="Q2" s="14"/>
    </row>
    <row r="3" spans="1:17" x14ac:dyDescent="0.3">
      <c r="K3" s="27"/>
    </row>
    <row r="4" spans="1:17" ht="15.75" x14ac:dyDescent="0.25">
      <c r="A4" s="2" t="s">
        <v>15</v>
      </c>
      <c r="B4" s="2" t="s">
        <v>16</v>
      </c>
      <c r="K4" s="27"/>
    </row>
    <row r="5" spans="1:17" ht="15.75" x14ac:dyDescent="0.25">
      <c r="A5" s="23" t="s">
        <v>22</v>
      </c>
      <c r="B5" s="26" t="s">
        <v>116</v>
      </c>
      <c r="K5" s="27"/>
    </row>
    <row r="6" spans="1:17" ht="15.75" x14ac:dyDescent="0.25">
      <c r="A6" s="23"/>
      <c r="B6" s="26"/>
      <c r="K6" s="27"/>
    </row>
    <row r="7" spans="1:17" ht="15.75" x14ac:dyDescent="0.25">
      <c r="A7" s="23"/>
      <c r="B7" s="26"/>
      <c r="K7" s="27"/>
    </row>
    <row r="8" spans="1:17" x14ac:dyDescent="0.3">
      <c r="K8" s="27"/>
    </row>
    <row r="9" spans="1:17" x14ac:dyDescent="0.3">
      <c r="K9" s="27"/>
    </row>
    <row r="10" spans="1:17" x14ac:dyDescent="0.3">
      <c r="K10" s="27"/>
    </row>
    <row r="11" spans="1:17" x14ac:dyDescent="0.3">
      <c r="C11" s="1" t="s">
        <v>17</v>
      </c>
      <c r="D11" s="13" t="s">
        <v>22</v>
      </c>
      <c r="E11" s="12">
        <v>1</v>
      </c>
      <c r="F11" s="12">
        <v>2</v>
      </c>
      <c r="G11" s="12">
        <v>2</v>
      </c>
      <c r="I11" s="28" cm="1">
        <f t="array" ref="I11">_xlfn.LAMBDA(_xlpm.matrix, MAX(ROWS(_xlpm.matrix),COLUMNS(_xlpm.matrix)) )(E11:G15)</f>
        <v>5</v>
      </c>
      <c r="K11" s="27"/>
    </row>
    <row r="12" spans="1:17" x14ac:dyDescent="0.3">
      <c r="E12" s="12">
        <v>3</v>
      </c>
      <c r="F12" s="12">
        <v>4</v>
      </c>
      <c r="G12" s="12">
        <v>4</v>
      </c>
      <c r="I12" s="27"/>
      <c r="K12" s="27"/>
    </row>
    <row r="13" spans="1:17" x14ac:dyDescent="0.3">
      <c r="E13" s="12">
        <v>5</v>
      </c>
      <c r="F13" s="12">
        <v>6</v>
      </c>
      <c r="G13" s="12">
        <v>6</v>
      </c>
      <c r="I13" s="27"/>
      <c r="K13" s="27"/>
    </row>
    <row r="14" spans="1:17" x14ac:dyDescent="0.3">
      <c r="E14" s="12">
        <v>7</v>
      </c>
      <c r="F14" s="12">
        <v>8</v>
      </c>
      <c r="G14" s="12">
        <v>8</v>
      </c>
      <c r="I14" s="27"/>
      <c r="K14" s="27"/>
    </row>
    <row r="15" spans="1:17" x14ac:dyDescent="0.3">
      <c r="E15" s="12">
        <v>9</v>
      </c>
      <c r="F15" s="12">
        <v>10</v>
      </c>
      <c r="G15" s="12">
        <v>10</v>
      </c>
      <c r="I15" s="27"/>
      <c r="K15" s="27"/>
    </row>
    <row r="16" spans="1:17" x14ac:dyDescent="0.3">
      <c r="I16" s="27"/>
      <c r="K16" s="27"/>
    </row>
    <row r="17" spans="3:11" x14ac:dyDescent="0.3">
      <c r="I17" s="27"/>
      <c r="K17" s="27"/>
    </row>
    <row r="18" spans="3:11" x14ac:dyDescent="0.3">
      <c r="C18" s="1" t="s">
        <v>17</v>
      </c>
      <c r="D18" s="13" t="s">
        <v>22</v>
      </c>
      <c r="E18" s="12">
        <v>1</v>
      </c>
      <c r="F18" s="12">
        <v>2</v>
      </c>
      <c r="G18" s="12">
        <v>2</v>
      </c>
      <c r="I18" s="28" cm="1">
        <f t="array" ref="I18">LENGTH(E18:G19)</f>
        <v>3</v>
      </c>
      <c r="K18" s="27"/>
    </row>
    <row r="19" spans="3:11" x14ac:dyDescent="0.3">
      <c r="E19" s="12">
        <v>3</v>
      </c>
      <c r="F19" s="12">
        <v>4</v>
      </c>
      <c r="G19" s="12">
        <v>4</v>
      </c>
      <c r="I19" s="27"/>
      <c r="K19" s="27"/>
    </row>
    <row r="20" spans="3:11" x14ac:dyDescent="0.3">
      <c r="I20" s="27"/>
      <c r="K20" s="27"/>
    </row>
    <row r="21" spans="3:11" x14ac:dyDescent="0.3">
      <c r="I21" s="27"/>
      <c r="K21" s="27"/>
    </row>
    <row r="22" spans="3:11" x14ac:dyDescent="0.3">
      <c r="I22" s="27"/>
      <c r="K22" s="27"/>
    </row>
    <row r="23" spans="3:11" x14ac:dyDescent="0.3">
      <c r="I23" s="27"/>
      <c r="K23" s="27"/>
    </row>
    <row r="24" spans="3:11" x14ac:dyDescent="0.3">
      <c r="I24" s="27"/>
      <c r="K24" s="27"/>
    </row>
    <row r="25" spans="3:11" x14ac:dyDescent="0.3">
      <c r="I25" s="27"/>
      <c r="K25" s="27"/>
    </row>
    <row r="26" spans="3:11" x14ac:dyDescent="0.3">
      <c r="I26" s="27"/>
      <c r="K26" s="27"/>
    </row>
    <row r="27" spans="3:11" x14ac:dyDescent="0.3">
      <c r="I27" s="27"/>
      <c r="K27" s="27"/>
    </row>
    <row r="28" spans="3:11" x14ac:dyDescent="0.3">
      <c r="I28" s="27"/>
      <c r="K28" s="27"/>
    </row>
    <row r="29" spans="3:11" x14ac:dyDescent="0.3">
      <c r="I29" s="27"/>
      <c r="K29" s="27"/>
    </row>
    <row r="30" spans="3:11" x14ac:dyDescent="0.3">
      <c r="I30" s="27"/>
      <c r="K30" s="27"/>
    </row>
    <row r="31" spans="3:11" x14ac:dyDescent="0.3">
      <c r="I31" s="27"/>
      <c r="K31" s="27"/>
    </row>
    <row r="32" spans="3:11" x14ac:dyDescent="0.3">
      <c r="I32" s="27"/>
      <c r="K32" s="27"/>
    </row>
    <row r="33" spans="9:11" x14ac:dyDescent="0.3">
      <c r="I33" s="27"/>
      <c r="K33" s="27"/>
    </row>
    <row r="34" spans="9:11" x14ac:dyDescent="0.3">
      <c r="I34" s="27"/>
      <c r="K34" s="27"/>
    </row>
    <row r="35" spans="9:11" x14ac:dyDescent="0.3">
      <c r="I35" s="27"/>
      <c r="K35" s="27"/>
    </row>
    <row r="36" spans="9:11" x14ac:dyDescent="0.3">
      <c r="I36" s="27"/>
      <c r="K36" s="27"/>
    </row>
    <row r="37" spans="9:11" x14ac:dyDescent="0.3">
      <c r="I37" s="27"/>
      <c r="K37" s="27"/>
    </row>
    <row r="38" spans="9:11" x14ac:dyDescent="0.3">
      <c r="I38" s="27"/>
      <c r="K38" s="27"/>
    </row>
    <row r="39" spans="9:11" x14ac:dyDescent="0.3">
      <c r="I39" s="27"/>
      <c r="K39" s="27"/>
    </row>
    <row r="40" spans="9:11" x14ac:dyDescent="0.3">
      <c r="I40" s="27"/>
      <c r="K40" s="27"/>
    </row>
    <row r="41" spans="9:11" x14ac:dyDescent="0.3">
      <c r="I41" s="27"/>
      <c r="K41" s="27"/>
    </row>
    <row r="42" spans="9:11" x14ac:dyDescent="0.3">
      <c r="I42" s="27"/>
      <c r="K42" s="27"/>
    </row>
    <row r="43" spans="9:11" x14ac:dyDescent="0.3">
      <c r="I43" s="27"/>
      <c r="K43" s="27"/>
    </row>
    <row r="44" spans="9:11" x14ac:dyDescent="0.3">
      <c r="I44" s="27"/>
      <c r="K44" s="27"/>
    </row>
    <row r="45" spans="9:11" x14ac:dyDescent="0.3">
      <c r="I45" s="27"/>
      <c r="K45" s="27"/>
    </row>
    <row r="46" spans="9:11" x14ac:dyDescent="0.3">
      <c r="I46" s="27"/>
      <c r="K46" s="27"/>
    </row>
    <row r="47" spans="9:11" x14ac:dyDescent="0.3">
      <c r="I47" s="27"/>
      <c r="K47" s="27"/>
    </row>
    <row r="48" spans="9:11" x14ac:dyDescent="0.3">
      <c r="I48" s="27"/>
      <c r="K48" s="27"/>
    </row>
    <row r="49" spans="9:11" x14ac:dyDescent="0.3">
      <c r="I49" s="27"/>
      <c r="K49" s="27"/>
    </row>
    <row r="50" spans="9:11" x14ac:dyDescent="0.3">
      <c r="I50" s="27"/>
      <c r="K50" s="27"/>
    </row>
    <row r="51" spans="9:11" x14ac:dyDescent="0.3">
      <c r="I51" s="27"/>
      <c r="K51" s="27"/>
    </row>
    <row r="52" spans="9:11" x14ac:dyDescent="0.3">
      <c r="I52" s="27"/>
      <c r="K52" s="27"/>
    </row>
    <row r="53" spans="9:11" x14ac:dyDescent="0.3">
      <c r="I53" s="27"/>
      <c r="K53" s="27"/>
    </row>
    <row r="54" spans="9:11" x14ac:dyDescent="0.3">
      <c r="I54" s="27"/>
      <c r="K54" s="27"/>
    </row>
    <row r="55" spans="9:11" x14ac:dyDescent="0.3">
      <c r="I55" s="27"/>
      <c r="K55" s="27"/>
    </row>
    <row r="56" spans="9:11" x14ac:dyDescent="0.3">
      <c r="I56" s="27"/>
      <c r="K56" s="27"/>
    </row>
    <row r="57" spans="9:11" x14ac:dyDescent="0.3">
      <c r="I57" s="27"/>
      <c r="K57" s="27"/>
    </row>
    <row r="58" spans="9:11" x14ac:dyDescent="0.3">
      <c r="I58" s="27"/>
      <c r="K58" s="27"/>
    </row>
    <row r="59" spans="9:11" x14ac:dyDescent="0.3">
      <c r="I59" s="27"/>
      <c r="K59" s="27"/>
    </row>
    <row r="60" spans="9:11" x14ac:dyDescent="0.3">
      <c r="I60" s="27"/>
      <c r="K60" s="27"/>
    </row>
    <row r="61" spans="9:11" x14ac:dyDescent="0.3">
      <c r="I61" s="27"/>
      <c r="K61" s="27"/>
    </row>
    <row r="62" spans="9:11" x14ac:dyDescent="0.3">
      <c r="I62" s="27"/>
      <c r="K62" s="27"/>
    </row>
    <row r="63" spans="9:11" x14ac:dyDescent="0.3">
      <c r="I63" s="27"/>
      <c r="K63" s="27"/>
    </row>
    <row r="64" spans="9:11" x14ac:dyDescent="0.3">
      <c r="I64" s="27"/>
      <c r="K64" s="27"/>
    </row>
    <row r="65" spans="9:11" x14ac:dyDescent="0.3">
      <c r="I65" s="27"/>
      <c r="K65" s="27"/>
    </row>
    <row r="66" spans="9:11" x14ac:dyDescent="0.3">
      <c r="I66" s="27"/>
      <c r="K66" s="27"/>
    </row>
    <row r="67" spans="9:11" x14ac:dyDescent="0.3">
      <c r="I67" s="27"/>
      <c r="K67" s="27"/>
    </row>
    <row r="68" spans="9:11" x14ac:dyDescent="0.3">
      <c r="I68" s="27"/>
      <c r="K68" s="27"/>
    </row>
    <row r="69" spans="9:11" x14ac:dyDescent="0.3">
      <c r="I69" s="27"/>
      <c r="K69" s="27"/>
    </row>
    <row r="70" spans="9:11" x14ac:dyDescent="0.3">
      <c r="I70" s="27"/>
      <c r="K70" s="27"/>
    </row>
    <row r="71" spans="9:11" x14ac:dyDescent="0.3">
      <c r="I71" s="27"/>
      <c r="K71" s="27"/>
    </row>
    <row r="72" spans="9:11" x14ac:dyDescent="0.3">
      <c r="I72" s="27"/>
      <c r="K72" s="27"/>
    </row>
    <row r="73" spans="9:11" x14ac:dyDescent="0.3">
      <c r="I73" s="27"/>
      <c r="K73" s="27"/>
    </row>
    <row r="74" spans="9:11" x14ac:dyDescent="0.3">
      <c r="I74" s="27"/>
      <c r="K74" s="27"/>
    </row>
    <row r="75" spans="9:11" x14ac:dyDescent="0.3">
      <c r="I75" s="27"/>
      <c r="K75" s="27"/>
    </row>
    <row r="76" spans="9:11" x14ac:dyDescent="0.3">
      <c r="I76" s="27"/>
      <c r="K76" s="27"/>
    </row>
    <row r="77" spans="9:11" x14ac:dyDescent="0.3">
      <c r="I77" s="27"/>
      <c r="K77" s="27"/>
    </row>
    <row r="78" spans="9:11" x14ac:dyDescent="0.3">
      <c r="I78" s="27"/>
      <c r="K78" s="27"/>
    </row>
    <row r="79" spans="9:11" x14ac:dyDescent="0.3">
      <c r="I79" s="27"/>
      <c r="K79" s="27"/>
    </row>
    <row r="80" spans="9:11" x14ac:dyDescent="0.3">
      <c r="I80" s="27"/>
      <c r="K80" s="27"/>
    </row>
    <row r="81" spans="9:11" x14ac:dyDescent="0.3">
      <c r="I81" s="27"/>
      <c r="K81" s="27"/>
    </row>
    <row r="82" spans="9:11" x14ac:dyDescent="0.3">
      <c r="I82" s="27"/>
      <c r="K82" s="27"/>
    </row>
    <row r="83" spans="9:11" x14ac:dyDescent="0.3">
      <c r="I83" s="27"/>
      <c r="K83" s="27"/>
    </row>
    <row r="84" spans="9:11" x14ac:dyDescent="0.3">
      <c r="I84" s="27"/>
      <c r="K84" s="27"/>
    </row>
    <row r="85" spans="9:11" x14ac:dyDescent="0.3">
      <c r="I85" s="27"/>
      <c r="K85" s="27"/>
    </row>
    <row r="86" spans="9:11" x14ac:dyDescent="0.3">
      <c r="I86" s="27"/>
      <c r="K86" s="27"/>
    </row>
    <row r="87" spans="9:11" x14ac:dyDescent="0.3">
      <c r="I87" s="27"/>
      <c r="K87" s="27"/>
    </row>
    <row r="88" spans="9:11" x14ac:dyDescent="0.3">
      <c r="I88" s="27"/>
      <c r="K88" s="27"/>
    </row>
    <row r="89" spans="9:11" x14ac:dyDescent="0.3">
      <c r="I89" s="27"/>
      <c r="K89" s="27"/>
    </row>
    <row r="90" spans="9:11" x14ac:dyDescent="0.3">
      <c r="I90" s="27"/>
      <c r="K90" s="27"/>
    </row>
    <row r="91" spans="9:11" x14ac:dyDescent="0.3">
      <c r="I91" s="27"/>
      <c r="K91" s="27"/>
    </row>
    <row r="92" spans="9:11" x14ac:dyDescent="0.3">
      <c r="I92" s="27"/>
      <c r="K92" s="27"/>
    </row>
    <row r="93" spans="9:11" x14ac:dyDescent="0.3">
      <c r="I93" s="27"/>
      <c r="K93" s="27"/>
    </row>
    <row r="94" spans="9:11" x14ac:dyDescent="0.3">
      <c r="I94" s="27"/>
      <c r="K94" s="27"/>
    </row>
    <row r="95" spans="9:11" x14ac:dyDescent="0.3">
      <c r="I95" s="27"/>
      <c r="K95" s="27"/>
    </row>
    <row r="96" spans="9:11" x14ac:dyDescent="0.3">
      <c r="I96" s="27"/>
      <c r="K96" s="27"/>
    </row>
    <row r="97" spans="9:11" x14ac:dyDescent="0.3">
      <c r="I97" s="27"/>
      <c r="K97" s="27"/>
    </row>
    <row r="98" spans="9:11" x14ac:dyDescent="0.3">
      <c r="I98" s="27"/>
      <c r="K98" s="27"/>
    </row>
    <row r="99" spans="9:11" x14ac:dyDescent="0.3">
      <c r="I99" s="27"/>
      <c r="K99" s="27"/>
    </row>
    <row r="100" spans="9:11" x14ac:dyDescent="0.3">
      <c r="I100" s="27"/>
      <c r="K100" s="27"/>
    </row>
    <row r="101" spans="9:11" x14ac:dyDescent="0.3">
      <c r="I101" s="27"/>
      <c r="K101" s="27"/>
    </row>
    <row r="102" spans="9:11" x14ac:dyDescent="0.3">
      <c r="I102" s="27"/>
      <c r="K102" s="27"/>
    </row>
    <row r="103" spans="9:11" x14ac:dyDescent="0.3">
      <c r="I103" s="27"/>
      <c r="K103" s="27"/>
    </row>
    <row r="104" spans="9:11" x14ac:dyDescent="0.3">
      <c r="I104" s="27"/>
      <c r="K104" s="27"/>
    </row>
    <row r="105" spans="9:11" x14ac:dyDescent="0.3">
      <c r="I105" s="27"/>
      <c r="K105" s="27"/>
    </row>
    <row r="106" spans="9:11" x14ac:dyDescent="0.3">
      <c r="I106" s="27"/>
      <c r="K106" s="27"/>
    </row>
    <row r="107" spans="9:11" x14ac:dyDescent="0.3">
      <c r="I107" s="27"/>
      <c r="K107" s="27"/>
    </row>
    <row r="108" spans="9:11" x14ac:dyDescent="0.3">
      <c r="I108" s="27"/>
      <c r="K108" s="27"/>
    </row>
    <row r="109" spans="9:11" x14ac:dyDescent="0.3">
      <c r="I109" s="27"/>
      <c r="K109" s="27"/>
    </row>
    <row r="110" spans="9:11" x14ac:dyDescent="0.3">
      <c r="I110" s="27"/>
      <c r="K110" s="27"/>
    </row>
  </sheetData>
  <pageMargins left="0.511811024" right="0.511811024" top="0.78740157499999996" bottom="0.78740157499999996" header="0.31496062000000002" footer="0.3149606200000000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98CB4-64DE-42E2-8907-E78FFFFF091F}">
  <sheetPr codeName="Planilha29">
    <tabColor theme="9" tint="0.59999389629810485"/>
  </sheetPr>
  <dimension ref="A1:Q110"/>
  <sheetViews>
    <sheetView showGridLines="0" workbookViewId="0">
      <selection activeCell="A3" sqref="A3"/>
    </sheetView>
  </sheetViews>
  <sheetFormatPr defaultColWidth="8.85546875" defaultRowHeight="18.75" x14ac:dyDescent="0.3"/>
  <cols>
    <col min="1" max="1" width="12.7109375" style="17" customWidth="1"/>
    <col min="2" max="2" width="26.28515625" customWidth="1"/>
    <col min="9" max="17" width="8.85546875" style="15"/>
  </cols>
  <sheetData>
    <row r="1" spans="1:17" x14ac:dyDescent="0.3">
      <c r="A1" s="16" t="s">
        <v>472</v>
      </c>
      <c r="I1" s="14"/>
      <c r="J1" s="14"/>
      <c r="K1" s="14"/>
      <c r="L1" s="14"/>
      <c r="M1" s="14"/>
      <c r="N1" s="14"/>
      <c r="O1" s="14"/>
      <c r="P1" s="14"/>
      <c r="Q1" s="14"/>
    </row>
    <row r="2" spans="1:17" x14ac:dyDescent="0.3">
      <c r="A2" s="17" t="s">
        <v>473</v>
      </c>
      <c r="I2" s="14"/>
      <c r="J2" s="14"/>
      <c r="K2" s="14"/>
      <c r="L2" s="14"/>
      <c r="M2" s="14"/>
      <c r="N2" s="14"/>
      <c r="O2" s="14"/>
      <c r="P2" s="14"/>
      <c r="Q2" s="14"/>
    </row>
    <row r="3" spans="1:17" x14ac:dyDescent="0.3">
      <c r="K3" s="27"/>
    </row>
    <row r="4" spans="1:17" ht="15.75" x14ac:dyDescent="0.25">
      <c r="A4" s="2" t="s">
        <v>15</v>
      </c>
      <c r="B4" s="2" t="s">
        <v>16</v>
      </c>
      <c r="K4" s="27"/>
    </row>
    <row r="5" spans="1:17" ht="15.75" x14ac:dyDescent="0.25">
      <c r="A5" s="23" t="s">
        <v>22</v>
      </c>
      <c r="B5" s="26" t="s">
        <v>116</v>
      </c>
      <c r="K5" s="27"/>
    </row>
    <row r="6" spans="1:17" ht="78.75" x14ac:dyDescent="0.25">
      <c r="A6" s="23" t="s">
        <v>140</v>
      </c>
      <c r="B6" s="26" t="s">
        <v>196</v>
      </c>
      <c r="K6" s="27"/>
    </row>
    <row r="7" spans="1:17" ht="15.75" x14ac:dyDescent="0.25">
      <c r="A7" s="23"/>
      <c r="B7" s="26"/>
      <c r="K7" s="27"/>
    </row>
    <row r="8" spans="1:17" x14ac:dyDescent="0.3">
      <c r="K8" s="27"/>
    </row>
    <row r="9" spans="1:17" x14ac:dyDescent="0.3">
      <c r="K9" s="27"/>
    </row>
    <row r="10" spans="1:17" x14ac:dyDescent="0.3">
      <c r="K10" s="27"/>
    </row>
    <row r="11" spans="1:17" x14ac:dyDescent="0.3">
      <c r="C11" s="1" t="s">
        <v>17</v>
      </c>
      <c r="D11" s="13" t="s">
        <v>22</v>
      </c>
      <c r="E11" s="12">
        <v>1</v>
      </c>
      <c r="F11" s="12">
        <v>2</v>
      </c>
      <c r="G11" s="12">
        <v>2</v>
      </c>
      <c r="I11" s="28" cm="1">
        <f t="array" ref="I11:I12">_xlfn.LAMBDA(_xlpm.matrix,_xlop.dim,
_xlfn.LET(_xlpm.dim, IF(_xlfn.ISOMITTED(_xlpm.dim), 3, _xlpm.dim),
CHOOSE(_xlpm.dim,
ROWS(_xlpm.matrix),
COLUMNS(_xlpm.matrix),
VERTCAT(ROWS(_xlpm.matrix),COLUMNS(_xlpm.matrix))))
)(E11:G15)</f>
        <v>5</v>
      </c>
      <c r="K11" s="27"/>
    </row>
    <row r="12" spans="1:17" x14ac:dyDescent="0.3">
      <c r="E12" s="12">
        <v>3</v>
      </c>
      <c r="F12" s="12">
        <v>4</v>
      </c>
      <c r="G12" s="12">
        <v>4</v>
      </c>
      <c r="I12" s="28">
        <v>3</v>
      </c>
      <c r="K12" s="27"/>
    </row>
    <row r="13" spans="1:17" x14ac:dyDescent="0.3">
      <c r="E13" s="12">
        <v>5</v>
      </c>
      <c r="F13" s="12">
        <v>6</v>
      </c>
      <c r="G13" s="12">
        <v>6</v>
      </c>
      <c r="I13" s="27"/>
      <c r="K13" s="27"/>
    </row>
    <row r="14" spans="1:17" x14ac:dyDescent="0.3">
      <c r="E14" s="12">
        <v>7</v>
      </c>
      <c r="F14" s="12">
        <v>8</v>
      </c>
      <c r="G14" s="12">
        <v>8</v>
      </c>
      <c r="I14" s="27"/>
      <c r="K14" s="27"/>
    </row>
    <row r="15" spans="1:17" x14ac:dyDescent="0.3">
      <c r="E15" s="12">
        <v>9</v>
      </c>
      <c r="F15" s="12">
        <v>10</v>
      </c>
      <c r="G15" s="12">
        <v>10</v>
      </c>
      <c r="I15" s="27"/>
      <c r="K15" s="27"/>
    </row>
    <row r="16" spans="1:17" s="21" customFormat="1" x14ac:dyDescent="0.3">
      <c r="A16" s="17"/>
      <c r="B16"/>
      <c r="C16"/>
      <c r="D16"/>
      <c r="E16"/>
      <c r="F16"/>
      <c r="G16"/>
      <c r="H16"/>
      <c r="I16" s="27"/>
      <c r="J16" s="15"/>
      <c r="K16" s="27"/>
      <c r="L16" s="15"/>
      <c r="M16" s="15"/>
      <c r="N16" s="15"/>
      <c r="O16" s="15"/>
      <c r="P16" s="15"/>
      <c r="Q16" s="15"/>
    </row>
    <row r="17" spans="1:17" s="21" customFormat="1" x14ac:dyDescent="0.3">
      <c r="A17" s="17"/>
      <c r="B17"/>
      <c r="C17"/>
      <c r="D17"/>
      <c r="E17"/>
      <c r="F17"/>
      <c r="G17"/>
      <c r="H17"/>
      <c r="I17" s="27"/>
      <c r="J17" s="15"/>
      <c r="K17" s="27"/>
      <c r="L17" s="15"/>
      <c r="M17" s="15"/>
      <c r="N17" s="15"/>
      <c r="O17" s="15"/>
      <c r="P17" s="15"/>
      <c r="Q17" s="15"/>
    </row>
    <row r="18" spans="1:17" s="21" customFormat="1" x14ac:dyDescent="0.3">
      <c r="A18" s="17"/>
      <c r="B18"/>
      <c r="C18" s="1" t="s">
        <v>17</v>
      </c>
      <c r="D18" s="13" t="s">
        <v>22</v>
      </c>
      <c r="E18" s="12">
        <v>1</v>
      </c>
      <c r="F18" s="12">
        <v>2</v>
      </c>
      <c r="G18" s="12">
        <v>2</v>
      </c>
      <c r="H18"/>
      <c r="I18" s="28" cm="1">
        <f t="array" ref="I18">DIM(E18:G19,E21)</f>
        <v>3</v>
      </c>
      <c r="J18" s="15"/>
      <c r="K18" s="27"/>
      <c r="L18" s="15"/>
      <c r="M18" s="15"/>
      <c r="N18" s="15"/>
      <c r="O18" s="15"/>
      <c r="P18" s="15"/>
      <c r="Q18" s="15"/>
    </row>
    <row r="19" spans="1:17" s="21" customFormat="1" x14ac:dyDescent="0.3">
      <c r="A19" s="17"/>
      <c r="B19"/>
      <c r="C19"/>
      <c r="D19"/>
      <c r="E19" s="12">
        <v>3</v>
      </c>
      <c r="F19" s="12">
        <v>4</v>
      </c>
      <c r="G19" s="12">
        <v>4</v>
      </c>
      <c r="H19"/>
      <c r="I19" s="27"/>
      <c r="J19" s="15"/>
      <c r="K19" s="27"/>
      <c r="L19" s="15"/>
      <c r="M19" s="15"/>
      <c r="N19" s="15"/>
      <c r="O19" s="15"/>
      <c r="P19" s="15"/>
      <c r="Q19" s="15"/>
    </row>
    <row r="20" spans="1:17" s="21" customFormat="1" x14ac:dyDescent="0.3">
      <c r="A20" s="17"/>
      <c r="B20"/>
      <c r="C20"/>
      <c r="D20"/>
      <c r="E20"/>
      <c r="F20"/>
      <c r="G20"/>
      <c r="H20"/>
      <c r="I20" s="27"/>
      <c r="J20" s="15"/>
      <c r="K20" s="27"/>
      <c r="L20" s="15"/>
      <c r="M20" s="15"/>
      <c r="N20" s="15"/>
      <c r="O20" s="15"/>
      <c r="P20" s="15"/>
      <c r="Q20" s="15"/>
    </row>
    <row r="21" spans="1:17" s="21" customFormat="1" x14ac:dyDescent="0.3">
      <c r="A21" s="17"/>
      <c r="B21"/>
      <c r="C21"/>
      <c r="D21" s="13" t="s">
        <v>140</v>
      </c>
      <c r="E21" s="12">
        <v>2</v>
      </c>
      <c r="F21"/>
      <c r="G21"/>
      <c r="H21"/>
      <c r="I21" s="27"/>
      <c r="J21" s="15"/>
      <c r="K21" s="27"/>
      <c r="L21" s="15"/>
      <c r="M21" s="15"/>
      <c r="N21" s="15"/>
      <c r="O21" s="15"/>
      <c r="P21" s="15"/>
      <c r="Q21" s="15"/>
    </row>
    <row r="22" spans="1:17" s="21" customFormat="1" x14ac:dyDescent="0.3">
      <c r="A22" s="17"/>
      <c r="B22"/>
      <c r="C22"/>
      <c r="D22"/>
      <c r="E22"/>
      <c r="F22"/>
      <c r="G22"/>
      <c r="H22"/>
      <c r="I22" s="27"/>
      <c r="J22" s="15"/>
      <c r="K22" s="27"/>
      <c r="L22" s="15"/>
      <c r="M22" s="15"/>
      <c r="N22" s="15"/>
      <c r="O22" s="15"/>
      <c r="P22" s="15"/>
      <c r="Q22" s="15"/>
    </row>
    <row r="23" spans="1:17" s="21" customFormat="1" x14ac:dyDescent="0.3">
      <c r="A23" s="17"/>
      <c r="B23"/>
      <c r="C23"/>
      <c r="D23"/>
      <c r="E23"/>
      <c r="F23"/>
      <c r="G23"/>
      <c r="H23"/>
      <c r="I23" s="27"/>
      <c r="J23" s="15"/>
      <c r="K23" s="27"/>
      <c r="L23" s="15"/>
      <c r="M23" s="15"/>
      <c r="N23" s="15"/>
      <c r="O23" s="15"/>
      <c r="P23" s="15"/>
      <c r="Q23" s="15"/>
    </row>
    <row r="24" spans="1:17" s="21" customFormat="1" x14ac:dyDescent="0.3">
      <c r="A24" s="17"/>
      <c r="B24"/>
      <c r="C24"/>
      <c r="D24"/>
      <c r="E24"/>
      <c r="F24"/>
      <c r="G24"/>
      <c r="H24"/>
      <c r="I24" s="27"/>
      <c r="J24" s="15"/>
      <c r="K24" s="27"/>
      <c r="L24" s="15"/>
      <c r="M24" s="15"/>
      <c r="N24" s="15"/>
      <c r="O24" s="15"/>
      <c r="P24" s="15"/>
      <c r="Q24" s="15"/>
    </row>
    <row r="25" spans="1:17" s="21" customFormat="1" x14ac:dyDescent="0.3">
      <c r="A25" s="17"/>
      <c r="B25"/>
      <c r="C25"/>
      <c r="D25"/>
      <c r="E25"/>
      <c r="F25"/>
      <c r="G25"/>
      <c r="H25"/>
      <c r="I25" s="27"/>
      <c r="J25" s="15"/>
      <c r="K25" s="27"/>
      <c r="L25" s="15"/>
      <c r="M25" s="15"/>
      <c r="N25" s="15"/>
      <c r="O25" s="15"/>
      <c r="P25" s="15"/>
      <c r="Q25" s="15"/>
    </row>
    <row r="26" spans="1:17" s="21" customFormat="1" x14ac:dyDescent="0.3">
      <c r="A26" s="17"/>
      <c r="B26"/>
      <c r="C26"/>
      <c r="D26"/>
      <c r="E26"/>
      <c r="F26"/>
      <c r="G26"/>
      <c r="H26"/>
      <c r="I26" s="27"/>
      <c r="J26" s="15"/>
      <c r="K26" s="27"/>
      <c r="L26" s="15"/>
      <c r="M26" s="15"/>
      <c r="N26" s="15"/>
      <c r="O26" s="15"/>
      <c r="P26" s="15"/>
      <c r="Q26" s="15"/>
    </row>
    <row r="27" spans="1:17" s="21" customFormat="1" x14ac:dyDescent="0.3">
      <c r="A27" s="17"/>
      <c r="B27"/>
      <c r="C27"/>
      <c r="D27"/>
      <c r="E27"/>
      <c r="F27"/>
      <c r="G27"/>
      <c r="H27"/>
      <c r="I27" s="27"/>
      <c r="J27" s="15"/>
      <c r="K27" s="27"/>
      <c r="L27" s="15"/>
      <c r="M27" s="15"/>
      <c r="N27" s="15"/>
      <c r="O27" s="15"/>
      <c r="P27" s="15"/>
      <c r="Q27" s="15"/>
    </row>
    <row r="28" spans="1:17" s="21" customFormat="1" x14ac:dyDescent="0.3">
      <c r="A28" s="17"/>
      <c r="B28"/>
      <c r="C28"/>
      <c r="D28"/>
      <c r="E28"/>
      <c r="F28"/>
      <c r="G28"/>
      <c r="H28"/>
      <c r="I28" s="27"/>
      <c r="J28" s="15"/>
      <c r="K28" s="27"/>
      <c r="L28" s="15"/>
      <c r="M28" s="15"/>
      <c r="N28" s="15"/>
      <c r="O28" s="15"/>
      <c r="P28" s="15"/>
      <c r="Q28" s="15"/>
    </row>
    <row r="29" spans="1:17" s="21" customFormat="1" x14ac:dyDescent="0.3">
      <c r="A29" s="17"/>
      <c r="B29"/>
      <c r="C29"/>
      <c r="D29"/>
      <c r="E29"/>
      <c r="F29"/>
      <c r="G29"/>
      <c r="H29"/>
      <c r="I29" s="27"/>
      <c r="J29" s="15"/>
      <c r="K29" s="27"/>
      <c r="L29" s="15"/>
      <c r="M29" s="15"/>
      <c r="N29" s="15"/>
      <c r="O29" s="15"/>
      <c r="P29" s="15"/>
      <c r="Q29" s="15"/>
    </row>
    <row r="30" spans="1:17" s="21" customFormat="1" x14ac:dyDescent="0.3">
      <c r="A30" s="17"/>
      <c r="B30"/>
      <c r="C30"/>
      <c r="D30"/>
      <c r="E30"/>
      <c r="F30"/>
      <c r="G30"/>
      <c r="H30"/>
      <c r="I30" s="27"/>
      <c r="J30" s="15"/>
      <c r="K30" s="27"/>
      <c r="L30" s="15"/>
      <c r="M30" s="15"/>
      <c r="N30" s="15"/>
      <c r="O30" s="15"/>
      <c r="P30" s="15"/>
      <c r="Q30" s="15"/>
    </row>
    <row r="31" spans="1:17" s="21" customFormat="1" x14ac:dyDescent="0.3">
      <c r="A31" s="17"/>
      <c r="B31"/>
      <c r="C31"/>
      <c r="D31"/>
      <c r="E31"/>
      <c r="F31"/>
      <c r="G31"/>
      <c r="H31"/>
      <c r="I31" s="27"/>
      <c r="J31" s="15"/>
      <c r="K31" s="27"/>
      <c r="L31" s="15"/>
      <c r="M31" s="15"/>
      <c r="N31" s="15"/>
      <c r="O31" s="15"/>
      <c r="P31" s="15"/>
      <c r="Q31" s="15"/>
    </row>
    <row r="32" spans="1:17" s="21" customFormat="1" x14ac:dyDescent="0.3">
      <c r="A32" s="17"/>
      <c r="B32"/>
      <c r="C32"/>
      <c r="D32"/>
      <c r="E32"/>
      <c r="F32"/>
      <c r="G32"/>
      <c r="H32"/>
      <c r="I32" s="27"/>
      <c r="J32" s="15"/>
      <c r="K32" s="27"/>
      <c r="L32" s="15"/>
      <c r="M32" s="15"/>
      <c r="N32" s="15"/>
      <c r="O32" s="15"/>
      <c r="P32" s="15"/>
      <c r="Q32" s="15"/>
    </row>
    <row r="33" spans="1:17" s="21" customFormat="1" x14ac:dyDescent="0.3">
      <c r="A33" s="17"/>
      <c r="B33"/>
      <c r="C33"/>
      <c r="D33"/>
      <c r="E33"/>
      <c r="F33"/>
      <c r="G33"/>
      <c r="H33"/>
      <c r="I33" s="27"/>
      <c r="J33" s="15"/>
      <c r="K33" s="27"/>
      <c r="L33" s="15"/>
      <c r="M33" s="15"/>
      <c r="N33" s="15"/>
      <c r="O33" s="15"/>
      <c r="P33" s="15"/>
      <c r="Q33" s="15"/>
    </row>
    <row r="34" spans="1:17" s="21" customFormat="1" x14ac:dyDescent="0.3">
      <c r="A34" s="17"/>
      <c r="B34"/>
      <c r="C34"/>
      <c r="D34"/>
      <c r="E34"/>
      <c r="F34"/>
      <c r="G34"/>
      <c r="H34"/>
      <c r="I34" s="27"/>
      <c r="J34" s="15"/>
      <c r="K34" s="27"/>
      <c r="L34" s="15"/>
      <c r="M34" s="15"/>
      <c r="N34" s="15"/>
      <c r="O34" s="15"/>
      <c r="P34" s="15"/>
      <c r="Q34" s="15"/>
    </row>
    <row r="35" spans="1:17" s="21" customFormat="1" x14ac:dyDescent="0.3">
      <c r="A35" s="17"/>
      <c r="B35"/>
      <c r="C35"/>
      <c r="D35"/>
      <c r="E35"/>
      <c r="F35"/>
      <c r="G35"/>
      <c r="H35"/>
      <c r="I35" s="27"/>
      <c r="J35" s="15"/>
      <c r="K35" s="27"/>
      <c r="L35" s="15"/>
      <c r="M35" s="15"/>
      <c r="N35" s="15"/>
      <c r="O35" s="15"/>
      <c r="P35" s="15"/>
      <c r="Q35" s="15"/>
    </row>
    <row r="36" spans="1:17" s="21" customFormat="1" x14ac:dyDescent="0.3">
      <c r="A36" s="17"/>
      <c r="B36"/>
      <c r="C36"/>
      <c r="D36"/>
      <c r="E36"/>
      <c r="F36"/>
      <c r="G36"/>
      <c r="H36"/>
      <c r="I36" s="27"/>
      <c r="J36" s="15"/>
      <c r="K36" s="27"/>
      <c r="L36" s="15"/>
      <c r="M36" s="15"/>
      <c r="N36" s="15"/>
      <c r="O36" s="15"/>
      <c r="P36" s="15"/>
      <c r="Q36" s="15"/>
    </row>
    <row r="37" spans="1:17" s="21" customFormat="1" x14ac:dyDescent="0.3">
      <c r="A37" s="17"/>
      <c r="B37"/>
      <c r="C37"/>
      <c r="D37"/>
      <c r="E37"/>
      <c r="F37"/>
      <c r="G37"/>
      <c r="H37"/>
      <c r="I37" s="27"/>
      <c r="J37" s="15"/>
      <c r="K37" s="27"/>
      <c r="L37" s="15"/>
      <c r="M37" s="15"/>
      <c r="N37" s="15"/>
      <c r="O37" s="15"/>
      <c r="P37" s="15"/>
      <c r="Q37" s="15"/>
    </row>
    <row r="38" spans="1:17" s="21" customFormat="1" x14ac:dyDescent="0.3">
      <c r="A38" s="17"/>
      <c r="B38"/>
      <c r="C38"/>
      <c r="D38"/>
      <c r="E38"/>
      <c r="F38"/>
      <c r="G38"/>
      <c r="H38"/>
      <c r="I38" s="27"/>
      <c r="J38" s="15"/>
      <c r="K38" s="27"/>
      <c r="L38" s="15"/>
      <c r="M38" s="15"/>
      <c r="N38" s="15"/>
      <c r="O38" s="15"/>
      <c r="P38" s="15"/>
      <c r="Q38" s="15"/>
    </row>
    <row r="39" spans="1:17" s="21" customFormat="1" x14ac:dyDescent="0.3">
      <c r="A39" s="17"/>
      <c r="B39"/>
      <c r="C39"/>
      <c r="D39"/>
      <c r="E39"/>
      <c r="F39"/>
      <c r="G39"/>
      <c r="H39"/>
      <c r="I39" s="27"/>
      <c r="J39" s="15"/>
      <c r="K39" s="27"/>
      <c r="L39" s="15"/>
      <c r="M39" s="15"/>
      <c r="N39" s="15"/>
      <c r="O39" s="15"/>
      <c r="P39" s="15"/>
      <c r="Q39" s="15"/>
    </row>
    <row r="40" spans="1:17" s="21" customFormat="1" x14ac:dyDescent="0.3">
      <c r="A40" s="17"/>
      <c r="B40"/>
      <c r="C40"/>
      <c r="D40"/>
      <c r="E40"/>
      <c r="F40"/>
      <c r="G40"/>
      <c r="H40"/>
      <c r="I40" s="27"/>
      <c r="J40" s="15"/>
      <c r="K40" s="27"/>
      <c r="L40" s="15"/>
      <c r="M40" s="15"/>
      <c r="N40" s="15"/>
      <c r="O40" s="15"/>
      <c r="P40" s="15"/>
      <c r="Q40" s="15"/>
    </row>
    <row r="41" spans="1:17" s="21" customFormat="1" x14ac:dyDescent="0.3">
      <c r="A41" s="17"/>
      <c r="B41"/>
      <c r="C41"/>
      <c r="D41"/>
      <c r="E41"/>
      <c r="F41"/>
      <c r="G41"/>
      <c r="H41"/>
      <c r="I41" s="27"/>
      <c r="J41" s="15"/>
      <c r="K41" s="27"/>
      <c r="L41" s="15"/>
      <c r="M41" s="15"/>
      <c r="N41" s="15"/>
      <c r="O41" s="15"/>
      <c r="P41" s="15"/>
      <c r="Q41" s="15"/>
    </row>
    <row r="42" spans="1:17" s="21" customFormat="1" x14ac:dyDescent="0.3">
      <c r="A42" s="17"/>
      <c r="B42"/>
      <c r="C42"/>
      <c r="D42"/>
      <c r="E42"/>
      <c r="F42"/>
      <c r="G42"/>
      <c r="H42"/>
      <c r="I42" s="27"/>
      <c r="J42" s="15"/>
      <c r="K42" s="27"/>
      <c r="L42" s="15"/>
      <c r="M42" s="15"/>
      <c r="N42" s="15"/>
      <c r="O42" s="15"/>
      <c r="P42" s="15"/>
      <c r="Q42" s="15"/>
    </row>
    <row r="43" spans="1:17" s="21" customFormat="1" x14ac:dyDescent="0.3">
      <c r="A43" s="17"/>
      <c r="B43"/>
      <c r="C43"/>
      <c r="D43"/>
      <c r="E43"/>
      <c r="F43"/>
      <c r="G43"/>
      <c r="H43"/>
      <c r="I43" s="27"/>
      <c r="J43" s="15"/>
      <c r="K43" s="27"/>
      <c r="L43" s="15"/>
      <c r="M43" s="15"/>
      <c r="N43" s="15"/>
      <c r="O43" s="15"/>
      <c r="P43" s="15"/>
      <c r="Q43" s="15"/>
    </row>
    <row r="44" spans="1:17" s="21" customFormat="1" x14ac:dyDescent="0.3">
      <c r="A44" s="17"/>
      <c r="B44"/>
      <c r="C44"/>
      <c r="D44"/>
      <c r="E44"/>
      <c r="F44"/>
      <c r="G44"/>
      <c r="H44"/>
      <c r="I44" s="27"/>
      <c r="J44" s="15"/>
      <c r="K44" s="27"/>
      <c r="L44" s="15"/>
      <c r="M44" s="15"/>
      <c r="N44" s="15"/>
      <c r="O44" s="15"/>
      <c r="P44" s="15"/>
      <c r="Q44" s="15"/>
    </row>
    <row r="45" spans="1:17" s="21" customFormat="1" x14ac:dyDescent="0.3">
      <c r="A45" s="17"/>
      <c r="B45"/>
      <c r="C45"/>
      <c r="D45"/>
      <c r="E45"/>
      <c r="F45"/>
      <c r="G45"/>
      <c r="H45"/>
      <c r="I45" s="27"/>
      <c r="J45" s="15"/>
      <c r="K45" s="27"/>
      <c r="L45" s="15"/>
      <c r="M45" s="15"/>
      <c r="N45" s="15"/>
      <c r="O45" s="15"/>
      <c r="P45" s="15"/>
      <c r="Q45" s="15"/>
    </row>
    <row r="46" spans="1:17" s="21" customFormat="1" x14ac:dyDescent="0.3">
      <c r="A46" s="17"/>
      <c r="B46"/>
      <c r="C46"/>
      <c r="D46"/>
      <c r="E46"/>
      <c r="F46"/>
      <c r="G46"/>
      <c r="H46"/>
      <c r="I46" s="27"/>
      <c r="J46" s="15"/>
      <c r="K46" s="27"/>
      <c r="L46" s="15"/>
      <c r="M46" s="15"/>
      <c r="N46" s="15"/>
      <c r="O46" s="15"/>
      <c r="P46" s="15"/>
      <c r="Q46" s="15"/>
    </row>
    <row r="47" spans="1:17" s="21" customFormat="1" x14ac:dyDescent="0.3">
      <c r="A47" s="17"/>
      <c r="B47"/>
      <c r="C47"/>
      <c r="D47"/>
      <c r="E47"/>
      <c r="F47"/>
      <c r="G47"/>
      <c r="H47"/>
      <c r="I47" s="27"/>
      <c r="J47" s="15"/>
      <c r="K47" s="27"/>
      <c r="L47" s="15"/>
      <c r="M47" s="15"/>
      <c r="N47" s="15"/>
      <c r="O47" s="15"/>
      <c r="P47" s="15"/>
      <c r="Q47" s="15"/>
    </row>
    <row r="48" spans="1:17" s="21" customFormat="1" x14ac:dyDescent="0.3">
      <c r="A48" s="17"/>
      <c r="B48"/>
      <c r="C48"/>
      <c r="D48"/>
      <c r="E48"/>
      <c r="F48"/>
      <c r="G48"/>
      <c r="H48"/>
      <c r="I48" s="27"/>
      <c r="J48" s="15"/>
      <c r="K48" s="27"/>
      <c r="L48" s="15"/>
      <c r="M48" s="15"/>
      <c r="N48" s="15"/>
      <c r="O48" s="15"/>
      <c r="P48" s="15"/>
      <c r="Q48" s="15"/>
    </row>
    <row r="49" spans="1:17" s="21" customFormat="1" x14ac:dyDescent="0.3">
      <c r="A49" s="17"/>
      <c r="B49"/>
      <c r="C49"/>
      <c r="D49"/>
      <c r="E49"/>
      <c r="F49"/>
      <c r="G49"/>
      <c r="H49"/>
      <c r="I49" s="27"/>
      <c r="J49" s="15"/>
      <c r="K49" s="27"/>
      <c r="L49" s="15"/>
      <c r="M49" s="15"/>
      <c r="N49" s="15"/>
      <c r="O49" s="15"/>
      <c r="P49" s="15"/>
      <c r="Q49" s="15"/>
    </row>
    <row r="50" spans="1:17" s="21" customFormat="1" x14ac:dyDescent="0.3">
      <c r="A50" s="17"/>
      <c r="B50"/>
      <c r="C50"/>
      <c r="D50"/>
      <c r="E50"/>
      <c r="F50"/>
      <c r="G50"/>
      <c r="H50"/>
      <c r="I50" s="27"/>
      <c r="J50" s="15"/>
      <c r="K50" s="27"/>
      <c r="L50" s="15"/>
      <c r="M50" s="15"/>
      <c r="N50" s="15"/>
      <c r="O50" s="15"/>
      <c r="P50" s="15"/>
      <c r="Q50" s="15"/>
    </row>
    <row r="51" spans="1:17" s="21" customFormat="1" x14ac:dyDescent="0.3">
      <c r="A51" s="17"/>
      <c r="B51"/>
      <c r="C51"/>
      <c r="D51"/>
      <c r="E51"/>
      <c r="F51"/>
      <c r="G51"/>
      <c r="H51"/>
      <c r="I51" s="27"/>
      <c r="J51" s="15"/>
      <c r="K51" s="27"/>
      <c r="L51" s="15"/>
      <c r="M51" s="15"/>
      <c r="N51" s="15"/>
      <c r="O51" s="15"/>
      <c r="P51" s="15"/>
      <c r="Q51" s="15"/>
    </row>
    <row r="52" spans="1:17" s="21" customFormat="1" x14ac:dyDescent="0.3">
      <c r="A52" s="17"/>
      <c r="B52"/>
      <c r="C52"/>
      <c r="D52"/>
      <c r="E52"/>
      <c r="F52"/>
      <c r="G52"/>
      <c r="H52"/>
      <c r="I52" s="27"/>
      <c r="J52" s="15"/>
      <c r="K52" s="27"/>
      <c r="L52" s="15"/>
      <c r="M52" s="15"/>
      <c r="N52" s="15"/>
      <c r="O52" s="15"/>
      <c r="P52" s="15"/>
      <c r="Q52" s="15"/>
    </row>
    <row r="53" spans="1:17" s="21" customFormat="1" x14ac:dyDescent="0.3">
      <c r="A53" s="17"/>
      <c r="B53"/>
      <c r="C53"/>
      <c r="D53"/>
      <c r="E53"/>
      <c r="F53"/>
      <c r="G53"/>
      <c r="H53"/>
      <c r="I53" s="27"/>
      <c r="J53" s="15"/>
      <c r="K53" s="27"/>
      <c r="L53" s="15"/>
      <c r="M53" s="15"/>
      <c r="N53" s="15"/>
      <c r="O53" s="15"/>
      <c r="P53" s="15"/>
      <c r="Q53" s="15"/>
    </row>
    <row r="54" spans="1:17" s="21" customFormat="1" x14ac:dyDescent="0.3">
      <c r="A54" s="17"/>
      <c r="B54"/>
      <c r="C54"/>
      <c r="D54"/>
      <c r="E54"/>
      <c r="F54"/>
      <c r="G54"/>
      <c r="H54"/>
      <c r="I54" s="27"/>
      <c r="J54" s="15"/>
      <c r="K54" s="27"/>
      <c r="L54" s="15"/>
      <c r="M54" s="15"/>
      <c r="N54" s="15"/>
      <c r="O54" s="15"/>
      <c r="P54" s="15"/>
      <c r="Q54" s="15"/>
    </row>
    <row r="55" spans="1:17" s="21" customFormat="1" x14ac:dyDescent="0.3">
      <c r="A55" s="17"/>
      <c r="B55"/>
      <c r="C55"/>
      <c r="D55"/>
      <c r="E55"/>
      <c r="F55"/>
      <c r="G55"/>
      <c r="H55"/>
      <c r="I55" s="27"/>
      <c r="J55" s="15"/>
      <c r="K55" s="27"/>
      <c r="L55" s="15"/>
      <c r="M55" s="15"/>
      <c r="N55" s="15"/>
      <c r="O55" s="15"/>
      <c r="P55" s="15"/>
      <c r="Q55" s="15"/>
    </row>
    <row r="56" spans="1:17" s="21" customFormat="1" x14ac:dyDescent="0.3">
      <c r="A56" s="17"/>
      <c r="B56"/>
      <c r="C56"/>
      <c r="D56"/>
      <c r="E56"/>
      <c r="F56"/>
      <c r="G56"/>
      <c r="H56"/>
      <c r="I56" s="27"/>
      <c r="J56" s="15"/>
      <c r="K56" s="27"/>
      <c r="L56" s="15"/>
      <c r="M56" s="15"/>
      <c r="N56" s="15"/>
      <c r="O56" s="15"/>
      <c r="P56" s="15"/>
      <c r="Q56" s="15"/>
    </row>
    <row r="57" spans="1:17" s="21" customFormat="1" x14ac:dyDescent="0.3">
      <c r="A57" s="17"/>
      <c r="B57"/>
      <c r="C57"/>
      <c r="D57"/>
      <c r="E57"/>
      <c r="F57"/>
      <c r="G57"/>
      <c r="H57"/>
      <c r="I57" s="27"/>
      <c r="J57" s="15"/>
      <c r="K57" s="27"/>
      <c r="L57" s="15"/>
      <c r="M57" s="15"/>
      <c r="N57" s="15"/>
      <c r="O57" s="15"/>
      <c r="P57" s="15"/>
      <c r="Q57" s="15"/>
    </row>
    <row r="58" spans="1:17" s="21" customFormat="1" x14ac:dyDescent="0.3">
      <c r="A58" s="17"/>
      <c r="B58"/>
      <c r="C58"/>
      <c r="D58"/>
      <c r="E58"/>
      <c r="F58"/>
      <c r="G58"/>
      <c r="H58"/>
      <c r="I58" s="27"/>
      <c r="J58" s="15"/>
      <c r="K58" s="27"/>
      <c r="L58" s="15"/>
      <c r="M58" s="15"/>
      <c r="N58" s="15"/>
      <c r="O58" s="15"/>
      <c r="P58" s="15"/>
      <c r="Q58" s="15"/>
    </row>
    <row r="59" spans="1:17" s="21" customFormat="1" x14ac:dyDescent="0.3">
      <c r="A59" s="17"/>
      <c r="B59"/>
      <c r="C59"/>
      <c r="D59"/>
      <c r="E59"/>
      <c r="F59"/>
      <c r="G59"/>
      <c r="H59"/>
      <c r="I59" s="27"/>
      <c r="J59" s="15"/>
      <c r="K59" s="27"/>
      <c r="L59" s="15"/>
      <c r="M59" s="15"/>
      <c r="N59" s="15"/>
      <c r="O59" s="15"/>
      <c r="P59" s="15"/>
      <c r="Q59" s="15"/>
    </row>
    <row r="60" spans="1:17" s="21" customFormat="1" x14ac:dyDescent="0.3">
      <c r="A60" s="17"/>
      <c r="B60"/>
      <c r="C60"/>
      <c r="D60"/>
      <c r="E60"/>
      <c r="F60"/>
      <c r="G60"/>
      <c r="H60"/>
      <c r="I60" s="27"/>
      <c r="J60" s="15"/>
      <c r="K60" s="27"/>
      <c r="L60" s="15"/>
      <c r="M60" s="15"/>
      <c r="N60" s="15"/>
      <c r="O60" s="15"/>
      <c r="P60" s="15"/>
      <c r="Q60" s="15"/>
    </row>
    <row r="61" spans="1:17" s="21" customFormat="1" x14ac:dyDescent="0.3">
      <c r="A61" s="17"/>
      <c r="B61"/>
      <c r="C61"/>
      <c r="D61"/>
      <c r="E61"/>
      <c r="F61"/>
      <c r="G61"/>
      <c r="H61"/>
      <c r="I61" s="27"/>
      <c r="J61" s="15"/>
      <c r="K61" s="27"/>
      <c r="L61" s="15"/>
      <c r="M61" s="15"/>
      <c r="N61" s="15"/>
      <c r="O61" s="15"/>
      <c r="P61" s="15"/>
      <c r="Q61" s="15"/>
    </row>
    <row r="62" spans="1:17" s="21" customFormat="1" x14ac:dyDescent="0.3">
      <c r="A62" s="17"/>
      <c r="B62"/>
      <c r="C62"/>
      <c r="D62"/>
      <c r="E62"/>
      <c r="F62"/>
      <c r="G62"/>
      <c r="H62"/>
      <c r="I62" s="27"/>
      <c r="J62" s="15"/>
      <c r="K62" s="27"/>
      <c r="L62" s="15"/>
      <c r="M62" s="15"/>
      <c r="N62" s="15"/>
      <c r="O62" s="15"/>
      <c r="P62" s="15"/>
      <c r="Q62" s="15"/>
    </row>
    <row r="63" spans="1:17" s="21" customFormat="1" x14ac:dyDescent="0.3">
      <c r="A63" s="17"/>
      <c r="B63"/>
      <c r="C63"/>
      <c r="D63"/>
      <c r="E63"/>
      <c r="F63"/>
      <c r="G63"/>
      <c r="H63"/>
      <c r="I63" s="27"/>
      <c r="J63" s="15"/>
      <c r="K63" s="27"/>
      <c r="L63" s="15"/>
      <c r="M63" s="15"/>
      <c r="N63" s="15"/>
      <c r="O63" s="15"/>
      <c r="P63" s="15"/>
      <c r="Q63" s="15"/>
    </row>
    <row r="64" spans="1:17" s="21" customFormat="1" x14ac:dyDescent="0.3">
      <c r="A64" s="17"/>
      <c r="B64"/>
      <c r="C64"/>
      <c r="D64"/>
      <c r="E64"/>
      <c r="F64"/>
      <c r="G64"/>
      <c r="H64"/>
      <c r="I64" s="27"/>
      <c r="J64" s="15"/>
      <c r="K64" s="27"/>
      <c r="L64" s="15"/>
      <c r="M64" s="15"/>
      <c r="N64" s="15"/>
      <c r="O64" s="15"/>
      <c r="P64" s="15"/>
      <c r="Q64" s="15"/>
    </row>
    <row r="65" spans="1:17" s="21" customFormat="1" x14ac:dyDescent="0.3">
      <c r="A65" s="17"/>
      <c r="B65"/>
      <c r="C65"/>
      <c r="D65"/>
      <c r="E65"/>
      <c r="F65"/>
      <c r="G65"/>
      <c r="H65"/>
      <c r="I65" s="27"/>
      <c r="J65" s="15"/>
      <c r="K65" s="27"/>
      <c r="L65" s="15"/>
      <c r="M65" s="15"/>
      <c r="N65" s="15"/>
      <c r="O65" s="15"/>
      <c r="P65" s="15"/>
      <c r="Q65" s="15"/>
    </row>
    <row r="66" spans="1:17" s="21" customFormat="1" x14ac:dyDescent="0.3">
      <c r="A66" s="17"/>
      <c r="B66"/>
      <c r="C66"/>
      <c r="D66"/>
      <c r="E66"/>
      <c r="F66"/>
      <c r="G66"/>
      <c r="H66"/>
      <c r="I66" s="27"/>
      <c r="J66" s="15"/>
      <c r="K66" s="27"/>
      <c r="L66" s="15"/>
      <c r="M66" s="15"/>
      <c r="N66" s="15"/>
      <c r="O66" s="15"/>
      <c r="P66" s="15"/>
      <c r="Q66" s="15"/>
    </row>
    <row r="67" spans="1:17" s="21" customFormat="1" x14ac:dyDescent="0.3">
      <c r="A67" s="17"/>
      <c r="B67"/>
      <c r="C67"/>
      <c r="D67"/>
      <c r="E67"/>
      <c r="F67"/>
      <c r="G67"/>
      <c r="H67"/>
      <c r="I67" s="27"/>
      <c r="J67" s="15"/>
      <c r="K67" s="27"/>
      <c r="L67" s="15"/>
      <c r="M67" s="15"/>
      <c r="N67" s="15"/>
      <c r="O67" s="15"/>
      <c r="P67" s="15"/>
      <c r="Q67" s="15"/>
    </row>
    <row r="68" spans="1:17" s="21" customFormat="1" x14ac:dyDescent="0.3">
      <c r="A68" s="17"/>
      <c r="B68"/>
      <c r="C68"/>
      <c r="D68"/>
      <c r="E68"/>
      <c r="F68"/>
      <c r="G68"/>
      <c r="H68"/>
      <c r="I68" s="27"/>
      <c r="J68" s="15"/>
      <c r="K68" s="27"/>
      <c r="L68" s="15"/>
      <c r="M68" s="15"/>
      <c r="N68" s="15"/>
      <c r="O68" s="15"/>
      <c r="P68" s="15"/>
      <c r="Q68" s="15"/>
    </row>
    <row r="69" spans="1:17" s="21" customFormat="1" x14ac:dyDescent="0.3">
      <c r="A69" s="17"/>
      <c r="B69"/>
      <c r="C69"/>
      <c r="D69"/>
      <c r="E69"/>
      <c r="F69"/>
      <c r="G69"/>
      <c r="H69"/>
      <c r="I69" s="27"/>
      <c r="J69" s="15"/>
      <c r="K69" s="27"/>
      <c r="L69" s="15"/>
      <c r="M69" s="15"/>
      <c r="N69" s="15"/>
      <c r="O69" s="15"/>
      <c r="P69" s="15"/>
      <c r="Q69" s="15"/>
    </row>
    <row r="70" spans="1:17" s="21" customFormat="1" x14ac:dyDescent="0.3">
      <c r="A70" s="17"/>
      <c r="B70"/>
      <c r="C70"/>
      <c r="D70"/>
      <c r="E70"/>
      <c r="F70"/>
      <c r="G70"/>
      <c r="H70"/>
      <c r="I70" s="27"/>
      <c r="J70" s="15"/>
      <c r="K70" s="27"/>
      <c r="L70" s="15"/>
      <c r="M70" s="15"/>
      <c r="N70" s="15"/>
      <c r="O70" s="15"/>
      <c r="P70" s="15"/>
      <c r="Q70" s="15"/>
    </row>
    <row r="71" spans="1:17" s="21" customFormat="1" x14ac:dyDescent="0.3">
      <c r="A71" s="17"/>
      <c r="B71"/>
      <c r="C71"/>
      <c r="D71"/>
      <c r="E71"/>
      <c r="F71"/>
      <c r="G71"/>
      <c r="H71"/>
      <c r="I71" s="27"/>
      <c r="J71" s="15"/>
      <c r="K71" s="27"/>
      <c r="L71" s="15"/>
      <c r="M71" s="15"/>
      <c r="N71" s="15"/>
      <c r="O71" s="15"/>
      <c r="P71" s="15"/>
      <c r="Q71" s="15"/>
    </row>
    <row r="72" spans="1:17" s="21" customFormat="1" x14ac:dyDescent="0.3">
      <c r="A72" s="17"/>
      <c r="B72"/>
      <c r="C72"/>
      <c r="D72"/>
      <c r="E72"/>
      <c r="F72"/>
      <c r="G72"/>
      <c r="H72"/>
      <c r="I72" s="27"/>
      <c r="J72" s="15"/>
      <c r="K72" s="27"/>
      <c r="L72" s="15"/>
      <c r="M72" s="15"/>
      <c r="N72" s="15"/>
      <c r="O72" s="15"/>
      <c r="P72" s="15"/>
      <c r="Q72" s="15"/>
    </row>
    <row r="73" spans="1:17" s="21" customFormat="1" x14ac:dyDescent="0.3">
      <c r="A73" s="17"/>
      <c r="B73"/>
      <c r="C73"/>
      <c r="D73"/>
      <c r="E73"/>
      <c r="F73"/>
      <c r="G73"/>
      <c r="H73"/>
      <c r="I73" s="27"/>
      <c r="J73" s="15"/>
      <c r="K73" s="27"/>
      <c r="L73" s="15"/>
      <c r="M73" s="15"/>
      <c r="N73" s="15"/>
      <c r="O73" s="15"/>
      <c r="P73" s="15"/>
      <c r="Q73" s="15"/>
    </row>
    <row r="74" spans="1:17" s="21" customFormat="1" x14ac:dyDescent="0.3">
      <c r="A74" s="17"/>
      <c r="B74"/>
      <c r="C74"/>
      <c r="D74"/>
      <c r="E74"/>
      <c r="F74"/>
      <c r="G74"/>
      <c r="H74"/>
      <c r="I74" s="27"/>
      <c r="J74" s="15"/>
      <c r="K74" s="27"/>
      <c r="L74" s="15"/>
      <c r="M74" s="15"/>
      <c r="N74" s="15"/>
      <c r="O74" s="15"/>
      <c r="P74" s="15"/>
      <c r="Q74" s="15"/>
    </row>
    <row r="75" spans="1:17" s="21" customFormat="1" x14ac:dyDescent="0.3">
      <c r="A75" s="17"/>
      <c r="B75"/>
      <c r="C75"/>
      <c r="D75"/>
      <c r="E75"/>
      <c r="F75"/>
      <c r="G75"/>
      <c r="H75"/>
      <c r="I75" s="27"/>
      <c r="J75" s="15"/>
      <c r="K75" s="27"/>
      <c r="L75" s="15"/>
      <c r="M75" s="15"/>
      <c r="N75" s="15"/>
      <c r="O75" s="15"/>
      <c r="P75" s="15"/>
      <c r="Q75" s="15"/>
    </row>
    <row r="76" spans="1:17" s="21" customFormat="1" x14ac:dyDescent="0.3">
      <c r="A76" s="17"/>
      <c r="B76"/>
      <c r="C76"/>
      <c r="D76"/>
      <c r="E76"/>
      <c r="F76"/>
      <c r="G76"/>
      <c r="H76"/>
      <c r="I76" s="27"/>
      <c r="J76" s="15"/>
      <c r="K76" s="27"/>
      <c r="L76" s="15"/>
      <c r="M76" s="15"/>
      <c r="N76" s="15"/>
      <c r="O76" s="15"/>
      <c r="P76" s="15"/>
      <c r="Q76" s="15"/>
    </row>
    <row r="77" spans="1:17" s="21" customFormat="1" x14ac:dyDescent="0.3">
      <c r="A77" s="17"/>
      <c r="B77"/>
      <c r="C77"/>
      <c r="D77"/>
      <c r="E77"/>
      <c r="F77"/>
      <c r="G77"/>
      <c r="H77"/>
      <c r="I77" s="27"/>
      <c r="J77" s="15"/>
      <c r="K77" s="27"/>
      <c r="L77" s="15"/>
      <c r="M77" s="15"/>
      <c r="N77" s="15"/>
      <c r="O77" s="15"/>
      <c r="P77" s="15"/>
      <c r="Q77" s="15"/>
    </row>
    <row r="78" spans="1:17" s="21" customFormat="1" x14ac:dyDescent="0.3">
      <c r="A78" s="17"/>
      <c r="B78"/>
      <c r="C78"/>
      <c r="D78"/>
      <c r="E78"/>
      <c r="F78"/>
      <c r="G78"/>
      <c r="H78"/>
      <c r="I78" s="27"/>
      <c r="J78" s="15"/>
      <c r="K78" s="27"/>
      <c r="L78" s="15"/>
      <c r="M78" s="15"/>
      <c r="N78" s="15"/>
      <c r="O78" s="15"/>
      <c r="P78" s="15"/>
      <c r="Q78" s="15"/>
    </row>
    <row r="79" spans="1:17" s="21" customFormat="1" x14ac:dyDescent="0.3">
      <c r="A79" s="17"/>
      <c r="B79"/>
      <c r="C79"/>
      <c r="D79"/>
      <c r="E79"/>
      <c r="F79"/>
      <c r="G79"/>
      <c r="H79"/>
      <c r="I79" s="27"/>
      <c r="J79" s="15"/>
      <c r="K79" s="27"/>
      <c r="L79" s="15"/>
      <c r="M79" s="15"/>
      <c r="N79" s="15"/>
      <c r="O79" s="15"/>
      <c r="P79" s="15"/>
      <c r="Q79" s="15"/>
    </row>
    <row r="80" spans="1:17" s="21" customFormat="1" x14ac:dyDescent="0.3">
      <c r="A80" s="17"/>
      <c r="B80"/>
      <c r="C80"/>
      <c r="D80"/>
      <c r="E80"/>
      <c r="F80"/>
      <c r="G80"/>
      <c r="H80"/>
      <c r="I80" s="27"/>
      <c r="J80" s="15"/>
      <c r="K80" s="27"/>
      <c r="L80" s="15"/>
      <c r="M80" s="15"/>
      <c r="N80" s="15"/>
      <c r="O80" s="15"/>
      <c r="P80" s="15"/>
      <c r="Q80" s="15"/>
    </row>
    <row r="81" spans="1:17" s="21" customFormat="1" x14ac:dyDescent="0.3">
      <c r="A81" s="17"/>
      <c r="B81"/>
      <c r="C81"/>
      <c r="D81"/>
      <c r="E81"/>
      <c r="F81"/>
      <c r="G81"/>
      <c r="H81"/>
      <c r="I81" s="27"/>
      <c r="J81" s="15"/>
      <c r="K81" s="27"/>
      <c r="L81" s="15"/>
      <c r="M81" s="15"/>
      <c r="N81" s="15"/>
      <c r="O81" s="15"/>
      <c r="P81" s="15"/>
      <c r="Q81" s="15"/>
    </row>
    <row r="82" spans="1:17" s="21" customFormat="1" x14ac:dyDescent="0.3">
      <c r="A82" s="17"/>
      <c r="B82"/>
      <c r="C82"/>
      <c r="D82"/>
      <c r="E82"/>
      <c r="F82"/>
      <c r="G82"/>
      <c r="H82"/>
      <c r="I82" s="27"/>
      <c r="J82" s="15"/>
      <c r="K82" s="27"/>
      <c r="L82" s="15"/>
      <c r="M82" s="15"/>
      <c r="N82" s="15"/>
      <c r="O82" s="15"/>
      <c r="P82" s="15"/>
      <c r="Q82" s="15"/>
    </row>
    <row r="83" spans="1:17" s="21" customFormat="1" x14ac:dyDescent="0.3">
      <c r="A83" s="17"/>
      <c r="B83"/>
      <c r="C83"/>
      <c r="D83"/>
      <c r="E83"/>
      <c r="F83"/>
      <c r="G83"/>
      <c r="H83"/>
      <c r="I83" s="27"/>
      <c r="J83" s="15"/>
      <c r="K83" s="27"/>
      <c r="L83" s="15"/>
      <c r="M83" s="15"/>
      <c r="N83" s="15"/>
      <c r="O83" s="15"/>
      <c r="P83" s="15"/>
      <c r="Q83" s="15"/>
    </row>
    <row r="84" spans="1:17" s="21" customFormat="1" x14ac:dyDescent="0.3">
      <c r="A84" s="17"/>
      <c r="B84"/>
      <c r="C84"/>
      <c r="D84"/>
      <c r="E84"/>
      <c r="F84"/>
      <c r="G84"/>
      <c r="H84"/>
      <c r="I84" s="27"/>
      <c r="J84" s="15"/>
      <c r="K84" s="27"/>
      <c r="L84" s="15"/>
      <c r="M84" s="15"/>
      <c r="N84" s="15"/>
      <c r="O84" s="15"/>
      <c r="P84" s="15"/>
      <c r="Q84" s="15"/>
    </row>
    <row r="85" spans="1:17" s="21" customFormat="1" x14ac:dyDescent="0.3">
      <c r="A85" s="17"/>
      <c r="B85"/>
      <c r="C85"/>
      <c r="D85"/>
      <c r="E85"/>
      <c r="F85"/>
      <c r="G85"/>
      <c r="H85"/>
      <c r="I85" s="27"/>
      <c r="J85" s="15"/>
      <c r="K85" s="27"/>
      <c r="L85" s="15"/>
      <c r="M85" s="15"/>
      <c r="N85" s="15"/>
      <c r="O85" s="15"/>
      <c r="P85" s="15"/>
      <c r="Q85" s="15"/>
    </row>
    <row r="86" spans="1:17" s="21" customFormat="1" x14ac:dyDescent="0.3">
      <c r="A86" s="17"/>
      <c r="B86"/>
      <c r="C86"/>
      <c r="D86"/>
      <c r="E86"/>
      <c r="F86"/>
      <c r="G86"/>
      <c r="H86"/>
      <c r="I86" s="27"/>
      <c r="J86" s="15"/>
      <c r="K86" s="27"/>
      <c r="L86" s="15"/>
      <c r="M86" s="15"/>
      <c r="N86" s="15"/>
      <c r="O86" s="15"/>
      <c r="P86" s="15"/>
      <c r="Q86" s="15"/>
    </row>
    <row r="87" spans="1:17" s="21" customFormat="1" x14ac:dyDescent="0.3">
      <c r="A87" s="17"/>
      <c r="B87"/>
      <c r="C87"/>
      <c r="D87"/>
      <c r="E87"/>
      <c r="F87"/>
      <c r="G87"/>
      <c r="H87"/>
      <c r="I87" s="27"/>
      <c r="J87" s="15"/>
      <c r="K87" s="27"/>
      <c r="L87" s="15"/>
      <c r="M87" s="15"/>
      <c r="N87" s="15"/>
      <c r="O87" s="15"/>
      <c r="P87" s="15"/>
      <c r="Q87" s="15"/>
    </row>
    <row r="88" spans="1:17" s="21" customFormat="1" x14ac:dyDescent="0.3">
      <c r="A88" s="17"/>
      <c r="B88"/>
      <c r="C88"/>
      <c r="D88"/>
      <c r="E88"/>
      <c r="F88"/>
      <c r="G88"/>
      <c r="H88"/>
      <c r="I88" s="27"/>
      <c r="J88" s="15"/>
      <c r="K88" s="27"/>
      <c r="L88" s="15"/>
      <c r="M88" s="15"/>
      <c r="N88" s="15"/>
      <c r="O88" s="15"/>
      <c r="P88" s="15"/>
      <c r="Q88" s="15"/>
    </row>
    <row r="89" spans="1:17" s="21" customFormat="1" x14ac:dyDescent="0.3">
      <c r="A89" s="17"/>
      <c r="B89"/>
      <c r="C89"/>
      <c r="D89"/>
      <c r="E89"/>
      <c r="F89"/>
      <c r="G89"/>
      <c r="H89"/>
      <c r="I89" s="27"/>
      <c r="J89" s="15"/>
      <c r="K89" s="27"/>
      <c r="L89" s="15"/>
      <c r="M89" s="15"/>
      <c r="N89" s="15"/>
      <c r="O89" s="15"/>
      <c r="P89" s="15"/>
      <c r="Q89" s="15"/>
    </row>
    <row r="90" spans="1:17" s="21" customFormat="1" x14ac:dyDescent="0.3">
      <c r="A90" s="17"/>
      <c r="B90"/>
      <c r="C90"/>
      <c r="D90"/>
      <c r="E90"/>
      <c r="F90"/>
      <c r="G90"/>
      <c r="H90"/>
      <c r="I90" s="27"/>
      <c r="J90" s="15"/>
      <c r="K90" s="27"/>
      <c r="L90" s="15"/>
      <c r="M90" s="15"/>
      <c r="N90" s="15"/>
      <c r="O90" s="15"/>
      <c r="P90" s="15"/>
      <c r="Q90" s="15"/>
    </row>
    <row r="91" spans="1:17" s="21" customFormat="1" x14ac:dyDescent="0.3">
      <c r="A91" s="17"/>
      <c r="B91"/>
      <c r="C91"/>
      <c r="D91"/>
      <c r="E91"/>
      <c r="F91"/>
      <c r="G91"/>
      <c r="H91"/>
      <c r="I91" s="27"/>
      <c r="J91" s="15"/>
      <c r="K91" s="27"/>
      <c r="L91" s="15"/>
      <c r="M91" s="15"/>
      <c r="N91" s="15"/>
      <c r="O91" s="15"/>
      <c r="P91" s="15"/>
      <c r="Q91" s="15"/>
    </row>
    <row r="92" spans="1:17" s="21" customFormat="1" x14ac:dyDescent="0.3">
      <c r="A92" s="17"/>
      <c r="B92"/>
      <c r="C92"/>
      <c r="D92"/>
      <c r="E92"/>
      <c r="F92"/>
      <c r="G92"/>
      <c r="H92"/>
      <c r="I92" s="27"/>
      <c r="J92" s="15"/>
      <c r="K92" s="27"/>
      <c r="L92" s="15"/>
      <c r="M92" s="15"/>
      <c r="N92" s="15"/>
      <c r="O92" s="15"/>
      <c r="P92" s="15"/>
      <c r="Q92" s="15"/>
    </row>
    <row r="93" spans="1:17" s="21" customFormat="1" x14ac:dyDescent="0.3">
      <c r="A93" s="17"/>
      <c r="B93"/>
      <c r="C93"/>
      <c r="D93"/>
      <c r="E93"/>
      <c r="F93"/>
      <c r="G93"/>
      <c r="H93"/>
      <c r="I93" s="27"/>
      <c r="J93" s="15"/>
      <c r="K93" s="27"/>
      <c r="L93" s="15"/>
      <c r="M93" s="15"/>
      <c r="N93" s="15"/>
      <c r="O93" s="15"/>
      <c r="P93" s="15"/>
      <c r="Q93" s="15"/>
    </row>
    <row r="94" spans="1:17" s="21" customFormat="1" x14ac:dyDescent="0.3">
      <c r="A94" s="17"/>
      <c r="B94"/>
      <c r="C94"/>
      <c r="D94"/>
      <c r="E94"/>
      <c r="F94"/>
      <c r="G94"/>
      <c r="H94"/>
      <c r="I94" s="27"/>
      <c r="J94" s="15"/>
      <c r="K94" s="27"/>
      <c r="L94" s="15"/>
      <c r="M94" s="15"/>
      <c r="N94" s="15"/>
      <c r="O94" s="15"/>
      <c r="P94" s="15"/>
      <c r="Q94" s="15"/>
    </row>
    <row r="95" spans="1:17" s="21" customFormat="1" x14ac:dyDescent="0.3">
      <c r="A95" s="17"/>
      <c r="B95"/>
      <c r="C95"/>
      <c r="D95"/>
      <c r="E95"/>
      <c r="F95"/>
      <c r="G95"/>
      <c r="H95"/>
      <c r="I95" s="27"/>
      <c r="J95" s="15"/>
      <c r="K95" s="27"/>
      <c r="L95" s="15"/>
      <c r="M95" s="15"/>
      <c r="N95" s="15"/>
      <c r="O95" s="15"/>
      <c r="P95" s="15"/>
      <c r="Q95" s="15"/>
    </row>
    <row r="96" spans="1:17" s="21" customFormat="1" x14ac:dyDescent="0.3">
      <c r="A96" s="17"/>
      <c r="B96"/>
      <c r="C96"/>
      <c r="D96"/>
      <c r="E96"/>
      <c r="F96"/>
      <c r="G96"/>
      <c r="H96"/>
      <c r="I96" s="27"/>
      <c r="J96" s="15"/>
      <c r="K96" s="27"/>
      <c r="L96" s="15"/>
      <c r="M96" s="15"/>
      <c r="N96" s="15"/>
      <c r="O96" s="15"/>
      <c r="P96" s="15"/>
      <c r="Q96" s="15"/>
    </row>
    <row r="97" spans="1:17" s="21" customFormat="1" x14ac:dyDescent="0.3">
      <c r="A97" s="17"/>
      <c r="B97"/>
      <c r="C97"/>
      <c r="D97"/>
      <c r="E97"/>
      <c r="F97"/>
      <c r="G97"/>
      <c r="H97"/>
      <c r="I97" s="27"/>
      <c r="J97" s="15"/>
      <c r="K97" s="27"/>
      <c r="L97" s="15"/>
      <c r="M97" s="15"/>
      <c r="N97" s="15"/>
      <c r="O97" s="15"/>
      <c r="P97" s="15"/>
      <c r="Q97" s="15"/>
    </row>
    <row r="98" spans="1:17" s="21" customFormat="1" x14ac:dyDescent="0.3">
      <c r="A98" s="17"/>
      <c r="B98"/>
      <c r="C98"/>
      <c r="D98"/>
      <c r="E98"/>
      <c r="F98"/>
      <c r="G98"/>
      <c r="H98"/>
      <c r="I98" s="27"/>
      <c r="J98" s="15"/>
      <c r="K98" s="27"/>
      <c r="L98" s="15"/>
      <c r="M98" s="15"/>
      <c r="N98" s="15"/>
      <c r="O98" s="15"/>
      <c r="P98" s="15"/>
      <c r="Q98" s="15"/>
    </row>
    <row r="99" spans="1:17" s="21" customFormat="1" x14ac:dyDescent="0.3">
      <c r="A99" s="17"/>
      <c r="B99"/>
      <c r="C99"/>
      <c r="D99"/>
      <c r="E99"/>
      <c r="F99"/>
      <c r="G99"/>
      <c r="H99"/>
      <c r="I99" s="27"/>
      <c r="J99" s="15"/>
      <c r="K99" s="27"/>
      <c r="L99" s="15"/>
      <c r="M99" s="15"/>
      <c r="N99" s="15"/>
      <c r="O99" s="15"/>
      <c r="P99" s="15"/>
      <c r="Q99" s="15"/>
    </row>
    <row r="100" spans="1:17" s="21" customFormat="1" x14ac:dyDescent="0.3">
      <c r="A100" s="17"/>
      <c r="B100"/>
      <c r="C100"/>
      <c r="D100"/>
      <c r="E100"/>
      <c r="F100"/>
      <c r="G100"/>
      <c r="H100"/>
      <c r="I100" s="27"/>
      <c r="J100" s="15"/>
      <c r="K100" s="27"/>
      <c r="L100" s="15"/>
      <c r="M100" s="15"/>
      <c r="N100" s="15"/>
      <c r="O100" s="15"/>
      <c r="P100" s="15"/>
      <c r="Q100" s="15"/>
    </row>
    <row r="101" spans="1:17" s="21" customFormat="1" x14ac:dyDescent="0.3">
      <c r="A101" s="17"/>
      <c r="B101"/>
      <c r="C101"/>
      <c r="D101"/>
      <c r="E101"/>
      <c r="F101"/>
      <c r="G101"/>
      <c r="H101"/>
      <c r="I101" s="27"/>
      <c r="J101" s="15"/>
      <c r="K101" s="27"/>
      <c r="L101" s="15"/>
      <c r="M101" s="15"/>
      <c r="N101" s="15"/>
      <c r="O101" s="15"/>
      <c r="P101" s="15"/>
      <c r="Q101" s="15"/>
    </row>
    <row r="102" spans="1:17" s="21" customFormat="1" x14ac:dyDescent="0.3">
      <c r="A102" s="17"/>
      <c r="B102"/>
      <c r="C102"/>
      <c r="D102"/>
      <c r="E102"/>
      <c r="F102"/>
      <c r="G102"/>
      <c r="H102"/>
      <c r="I102" s="27"/>
      <c r="J102" s="15"/>
      <c r="K102" s="27"/>
      <c r="L102" s="15"/>
      <c r="M102" s="15"/>
      <c r="N102" s="15"/>
      <c r="O102" s="15"/>
      <c r="P102" s="15"/>
      <c r="Q102" s="15"/>
    </row>
    <row r="103" spans="1:17" s="21" customFormat="1" x14ac:dyDescent="0.3">
      <c r="A103" s="17"/>
      <c r="B103"/>
      <c r="C103"/>
      <c r="D103"/>
      <c r="E103"/>
      <c r="F103"/>
      <c r="G103"/>
      <c r="H103"/>
      <c r="I103" s="27"/>
      <c r="J103" s="15"/>
      <c r="K103" s="27"/>
      <c r="L103" s="15"/>
      <c r="M103" s="15"/>
      <c r="N103" s="15"/>
      <c r="O103" s="15"/>
      <c r="P103" s="15"/>
      <c r="Q103" s="15"/>
    </row>
    <row r="104" spans="1:17" s="21" customFormat="1" x14ac:dyDescent="0.3">
      <c r="A104" s="17"/>
      <c r="B104"/>
      <c r="C104"/>
      <c r="D104"/>
      <c r="E104"/>
      <c r="F104"/>
      <c r="G104"/>
      <c r="H104"/>
      <c r="I104" s="27"/>
      <c r="J104" s="15"/>
      <c r="K104" s="27"/>
      <c r="L104" s="15"/>
      <c r="M104" s="15"/>
      <c r="N104" s="15"/>
      <c r="O104" s="15"/>
      <c r="P104" s="15"/>
      <c r="Q104" s="15"/>
    </row>
    <row r="105" spans="1:17" s="21" customFormat="1" x14ac:dyDescent="0.3">
      <c r="A105" s="17"/>
      <c r="B105"/>
      <c r="C105"/>
      <c r="D105"/>
      <c r="E105"/>
      <c r="F105"/>
      <c r="G105"/>
      <c r="H105"/>
      <c r="I105" s="27"/>
      <c r="J105" s="15"/>
      <c r="K105" s="27"/>
      <c r="L105" s="15"/>
      <c r="M105" s="15"/>
      <c r="N105" s="15"/>
      <c r="O105" s="15"/>
      <c r="P105" s="15"/>
      <c r="Q105" s="15"/>
    </row>
    <row r="106" spans="1:17" s="21" customFormat="1" x14ac:dyDescent="0.3">
      <c r="A106" s="17"/>
      <c r="B106"/>
      <c r="C106"/>
      <c r="D106"/>
      <c r="E106"/>
      <c r="F106"/>
      <c r="G106"/>
      <c r="H106"/>
      <c r="I106" s="27"/>
      <c r="J106" s="15"/>
      <c r="K106" s="27"/>
      <c r="L106" s="15"/>
      <c r="M106" s="15"/>
      <c r="N106" s="15"/>
      <c r="O106" s="15"/>
      <c r="P106" s="15"/>
      <c r="Q106" s="15"/>
    </row>
    <row r="107" spans="1:17" s="21" customFormat="1" x14ac:dyDescent="0.3">
      <c r="A107" s="17"/>
      <c r="B107"/>
      <c r="C107"/>
      <c r="D107"/>
      <c r="E107"/>
      <c r="F107"/>
      <c r="G107"/>
      <c r="H107"/>
      <c r="I107" s="27"/>
      <c r="J107" s="15"/>
      <c r="K107" s="27"/>
      <c r="L107" s="15"/>
      <c r="M107" s="15"/>
      <c r="N107" s="15"/>
      <c r="O107" s="15"/>
      <c r="P107" s="15"/>
      <c r="Q107" s="15"/>
    </row>
    <row r="108" spans="1:17" s="21" customFormat="1" x14ac:dyDescent="0.3">
      <c r="A108" s="17"/>
      <c r="B108"/>
      <c r="C108"/>
      <c r="D108"/>
      <c r="E108"/>
      <c r="F108"/>
      <c r="G108"/>
      <c r="H108"/>
      <c r="I108" s="27"/>
      <c r="J108" s="15"/>
      <c r="K108" s="27"/>
      <c r="L108" s="15"/>
      <c r="M108" s="15"/>
      <c r="N108" s="15"/>
      <c r="O108" s="15"/>
      <c r="P108" s="15"/>
      <c r="Q108" s="15"/>
    </row>
    <row r="109" spans="1:17" s="21" customFormat="1" x14ac:dyDescent="0.3">
      <c r="A109" s="17"/>
      <c r="B109"/>
      <c r="C109"/>
      <c r="D109"/>
      <c r="E109"/>
      <c r="F109"/>
      <c r="G109"/>
      <c r="H109"/>
      <c r="I109" s="27"/>
      <c r="J109" s="15"/>
      <c r="K109" s="27"/>
      <c r="L109" s="15"/>
      <c r="M109" s="15"/>
      <c r="N109" s="15"/>
      <c r="O109" s="15"/>
      <c r="P109" s="15"/>
      <c r="Q109" s="15"/>
    </row>
    <row r="110" spans="1:17" s="21" customFormat="1" x14ac:dyDescent="0.3">
      <c r="A110" s="17"/>
      <c r="B110"/>
      <c r="C110"/>
      <c r="D110"/>
      <c r="E110"/>
      <c r="F110"/>
      <c r="G110"/>
      <c r="H110"/>
      <c r="I110" s="27"/>
      <c r="J110" s="15"/>
      <c r="K110" s="27"/>
      <c r="L110" s="15"/>
      <c r="M110" s="15"/>
      <c r="N110" s="15"/>
      <c r="O110" s="15"/>
      <c r="P110" s="15"/>
      <c r="Q110" s="15"/>
    </row>
  </sheetData>
  <pageMargins left="0.511811024" right="0.511811024" top="0.78740157499999996" bottom="0.78740157499999996" header="0.31496062000000002" footer="0.31496062000000002"/>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6D411-1722-43CB-82C8-A3CB0EA4E394}">
  <sheetPr>
    <tabColor theme="9" tint="0.59999389629810485"/>
  </sheetPr>
  <dimension ref="A1:Q110"/>
  <sheetViews>
    <sheetView showGridLines="0" workbookViewId="0">
      <selection activeCell="I19" sqref="I19"/>
    </sheetView>
  </sheetViews>
  <sheetFormatPr defaultColWidth="8.85546875" defaultRowHeight="18.75" x14ac:dyDescent="0.3"/>
  <cols>
    <col min="1" max="1" width="12.7109375" style="17" customWidth="1"/>
    <col min="2" max="2" width="26.28515625" customWidth="1"/>
    <col min="9" max="17" width="8.85546875" style="15"/>
  </cols>
  <sheetData>
    <row r="1" spans="1:17" x14ac:dyDescent="0.3">
      <c r="A1" s="16" t="s">
        <v>118</v>
      </c>
      <c r="I1" s="14"/>
      <c r="J1" s="14"/>
      <c r="K1" s="14"/>
      <c r="L1" s="14"/>
      <c r="M1" s="14"/>
      <c r="N1" s="14"/>
      <c r="O1" s="14"/>
      <c r="P1" s="14"/>
      <c r="Q1" s="14"/>
    </row>
    <row r="2" spans="1:17" x14ac:dyDescent="0.3">
      <c r="A2" s="17" t="s">
        <v>117</v>
      </c>
      <c r="I2" s="14"/>
      <c r="J2" s="14"/>
      <c r="K2" s="14"/>
      <c r="L2" s="14"/>
      <c r="M2" s="14"/>
      <c r="N2" s="14"/>
      <c r="O2" s="14"/>
      <c r="P2" s="14"/>
      <c r="Q2" s="14"/>
    </row>
    <row r="3" spans="1:17" x14ac:dyDescent="0.3">
      <c r="K3" s="27"/>
    </row>
    <row r="4" spans="1:17" ht="15.75" x14ac:dyDescent="0.25">
      <c r="A4" s="2" t="s">
        <v>15</v>
      </c>
      <c r="B4" s="2" t="s">
        <v>16</v>
      </c>
      <c r="K4" s="27"/>
    </row>
    <row r="5" spans="1:17" ht="15.75" x14ac:dyDescent="0.25">
      <c r="A5" s="23" t="s">
        <v>22</v>
      </c>
      <c r="B5" s="26" t="s">
        <v>116</v>
      </c>
      <c r="K5" s="27"/>
    </row>
    <row r="6" spans="1:17" ht="15.75" x14ac:dyDescent="0.25">
      <c r="A6" s="23"/>
      <c r="B6" s="26"/>
      <c r="K6" s="27"/>
    </row>
    <row r="7" spans="1:17" ht="15.75" x14ac:dyDescent="0.25">
      <c r="A7" s="23"/>
      <c r="B7" s="26"/>
      <c r="K7" s="27"/>
    </row>
    <row r="8" spans="1:17" x14ac:dyDescent="0.3">
      <c r="K8" s="27"/>
    </row>
    <row r="9" spans="1:17" x14ac:dyDescent="0.3">
      <c r="K9" s="27"/>
    </row>
    <row r="10" spans="1:17" x14ac:dyDescent="0.3">
      <c r="K10" s="27"/>
    </row>
    <row r="11" spans="1:17" x14ac:dyDescent="0.3">
      <c r="C11" s="1" t="s">
        <v>17</v>
      </c>
      <c r="D11" s="13" t="s">
        <v>22</v>
      </c>
      <c r="E11" s="12">
        <v>1</v>
      </c>
      <c r="F11" s="12">
        <v>2</v>
      </c>
      <c r="G11" s="12">
        <v>2</v>
      </c>
      <c r="I11" s="28" cm="1">
        <f t="array" ref="I11">_xlfn.LAMBDA(_xlpm.matrix, ROWS(_xlpm.matrix)*COLUMNS(_xlpm.matrix) )(E11:G15)</f>
        <v>15</v>
      </c>
      <c r="K11" s="27"/>
    </row>
    <row r="12" spans="1:17" x14ac:dyDescent="0.3">
      <c r="E12" s="12">
        <v>3</v>
      </c>
      <c r="F12" s="12">
        <v>4</v>
      </c>
      <c r="G12" s="12">
        <v>4</v>
      </c>
      <c r="I12" s="27"/>
      <c r="K12" s="27"/>
    </row>
    <row r="13" spans="1:17" x14ac:dyDescent="0.3">
      <c r="E13" s="12">
        <v>5</v>
      </c>
      <c r="F13" s="12">
        <v>6</v>
      </c>
      <c r="G13" s="12">
        <v>6</v>
      </c>
      <c r="I13" s="27"/>
      <c r="K13" s="27"/>
    </row>
    <row r="14" spans="1:17" x14ac:dyDescent="0.3">
      <c r="E14" s="12">
        <v>7</v>
      </c>
      <c r="F14" s="12">
        <v>8</v>
      </c>
      <c r="G14" s="12">
        <v>8</v>
      </c>
      <c r="I14" s="27"/>
      <c r="K14" s="27"/>
    </row>
    <row r="15" spans="1:17" x14ac:dyDescent="0.3">
      <c r="E15" s="12">
        <v>9</v>
      </c>
      <c r="F15" s="12">
        <v>10</v>
      </c>
      <c r="G15" s="12">
        <v>10</v>
      </c>
      <c r="I15" s="27"/>
      <c r="K15" s="27"/>
    </row>
    <row r="16" spans="1:17" x14ac:dyDescent="0.3">
      <c r="I16" s="27"/>
      <c r="K16" s="27"/>
    </row>
    <row r="17" spans="3:11" x14ac:dyDescent="0.3">
      <c r="I17" s="27"/>
      <c r="K17" s="27"/>
    </row>
    <row r="18" spans="3:11" x14ac:dyDescent="0.3">
      <c r="C18" s="1" t="s">
        <v>17</v>
      </c>
      <c r="D18" s="13" t="s">
        <v>22</v>
      </c>
      <c r="E18" s="12">
        <v>1</v>
      </c>
      <c r="F18" s="12">
        <v>2</v>
      </c>
      <c r="G18" s="12">
        <v>2</v>
      </c>
      <c r="I18" s="28" cm="1">
        <f t="array" ref="I18">NUMEL(E18:G19)</f>
        <v>6</v>
      </c>
      <c r="K18" s="27"/>
    </row>
    <row r="19" spans="3:11" x14ac:dyDescent="0.3">
      <c r="E19" s="12">
        <v>3</v>
      </c>
      <c r="F19" s="12">
        <v>4</v>
      </c>
      <c r="G19" s="12">
        <v>4</v>
      </c>
      <c r="I19" s="27"/>
      <c r="K19" s="27"/>
    </row>
    <row r="20" spans="3:11" x14ac:dyDescent="0.3">
      <c r="I20" s="27"/>
      <c r="K20" s="27"/>
    </row>
    <row r="21" spans="3:11" x14ac:dyDescent="0.3">
      <c r="I21" s="27"/>
      <c r="K21" s="27"/>
    </row>
    <row r="22" spans="3:11" x14ac:dyDescent="0.3">
      <c r="I22" s="27"/>
      <c r="K22" s="27"/>
    </row>
    <row r="23" spans="3:11" x14ac:dyDescent="0.3">
      <c r="I23" s="27"/>
      <c r="K23" s="27"/>
    </row>
    <row r="24" spans="3:11" x14ac:dyDescent="0.3">
      <c r="I24" s="27"/>
      <c r="K24" s="27"/>
    </row>
    <row r="25" spans="3:11" x14ac:dyDescent="0.3">
      <c r="I25" s="27"/>
      <c r="K25" s="27"/>
    </row>
    <row r="26" spans="3:11" x14ac:dyDescent="0.3">
      <c r="I26" s="27"/>
      <c r="K26" s="27"/>
    </row>
    <row r="27" spans="3:11" x14ac:dyDescent="0.3">
      <c r="I27" s="27"/>
      <c r="K27" s="27"/>
    </row>
    <row r="28" spans="3:11" x14ac:dyDescent="0.3">
      <c r="I28" s="27"/>
      <c r="K28" s="27"/>
    </row>
    <row r="29" spans="3:11" x14ac:dyDescent="0.3">
      <c r="I29" s="27"/>
      <c r="K29" s="27"/>
    </row>
    <row r="30" spans="3:11" x14ac:dyDescent="0.3">
      <c r="I30" s="27"/>
      <c r="K30" s="27"/>
    </row>
    <row r="31" spans="3:11" x14ac:dyDescent="0.3">
      <c r="I31" s="27"/>
      <c r="K31" s="27"/>
    </row>
    <row r="32" spans="3:11" x14ac:dyDescent="0.3">
      <c r="I32" s="27"/>
      <c r="K32" s="27"/>
    </row>
    <row r="33" spans="9:11" x14ac:dyDescent="0.3">
      <c r="I33" s="27"/>
      <c r="K33" s="27"/>
    </row>
    <row r="34" spans="9:11" x14ac:dyDescent="0.3">
      <c r="I34" s="27"/>
      <c r="K34" s="27"/>
    </row>
    <row r="35" spans="9:11" x14ac:dyDescent="0.3">
      <c r="I35" s="27"/>
      <c r="K35" s="27"/>
    </row>
    <row r="36" spans="9:11" x14ac:dyDescent="0.3">
      <c r="I36" s="27"/>
      <c r="K36" s="27"/>
    </row>
    <row r="37" spans="9:11" x14ac:dyDescent="0.3">
      <c r="I37" s="27"/>
      <c r="K37" s="27"/>
    </row>
    <row r="38" spans="9:11" x14ac:dyDescent="0.3">
      <c r="I38" s="27"/>
      <c r="K38" s="27"/>
    </row>
    <row r="39" spans="9:11" x14ac:dyDescent="0.3">
      <c r="I39" s="27"/>
      <c r="K39" s="27"/>
    </row>
    <row r="40" spans="9:11" x14ac:dyDescent="0.3">
      <c r="I40" s="27"/>
      <c r="K40" s="27"/>
    </row>
    <row r="41" spans="9:11" x14ac:dyDescent="0.3">
      <c r="I41" s="27"/>
      <c r="K41" s="27"/>
    </row>
    <row r="42" spans="9:11" x14ac:dyDescent="0.3">
      <c r="I42" s="27"/>
      <c r="K42" s="27"/>
    </row>
    <row r="43" spans="9:11" x14ac:dyDescent="0.3">
      <c r="I43" s="27"/>
      <c r="K43" s="27"/>
    </row>
    <row r="44" spans="9:11" x14ac:dyDescent="0.3">
      <c r="I44" s="27"/>
      <c r="K44" s="27"/>
    </row>
    <row r="45" spans="9:11" x14ac:dyDescent="0.3">
      <c r="I45" s="27"/>
      <c r="K45" s="27"/>
    </row>
    <row r="46" spans="9:11" x14ac:dyDescent="0.3">
      <c r="I46" s="27"/>
      <c r="K46" s="27"/>
    </row>
    <row r="47" spans="9:11" x14ac:dyDescent="0.3">
      <c r="I47" s="27"/>
      <c r="K47" s="27"/>
    </row>
    <row r="48" spans="9:11" x14ac:dyDescent="0.3">
      <c r="I48" s="27"/>
      <c r="K48" s="27"/>
    </row>
    <row r="49" spans="9:11" x14ac:dyDescent="0.3">
      <c r="I49" s="27"/>
      <c r="K49" s="27"/>
    </row>
    <row r="50" spans="9:11" x14ac:dyDescent="0.3">
      <c r="I50" s="27"/>
      <c r="K50" s="27"/>
    </row>
    <row r="51" spans="9:11" x14ac:dyDescent="0.3">
      <c r="I51" s="27"/>
      <c r="K51" s="27"/>
    </row>
    <row r="52" spans="9:11" x14ac:dyDescent="0.3">
      <c r="I52" s="27"/>
      <c r="K52" s="27"/>
    </row>
    <row r="53" spans="9:11" x14ac:dyDescent="0.3">
      <c r="I53" s="27"/>
      <c r="K53" s="27"/>
    </row>
    <row r="54" spans="9:11" x14ac:dyDescent="0.3">
      <c r="I54" s="27"/>
      <c r="K54" s="27"/>
    </row>
    <row r="55" spans="9:11" x14ac:dyDescent="0.3">
      <c r="I55" s="27"/>
      <c r="K55" s="27"/>
    </row>
    <row r="56" spans="9:11" x14ac:dyDescent="0.3">
      <c r="I56" s="27"/>
      <c r="K56" s="27"/>
    </row>
    <row r="57" spans="9:11" x14ac:dyDescent="0.3">
      <c r="I57" s="27"/>
      <c r="K57" s="27"/>
    </row>
    <row r="58" spans="9:11" x14ac:dyDescent="0.3">
      <c r="I58" s="27"/>
      <c r="K58" s="27"/>
    </row>
    <row r="59" spans="9:11" x14ac:dyDescent="0.3">
      <c r="I59" s="27"/>
      <c r="K59" s="27"/>
    </row>
    <row r="60" spans="9:11" x14ac:dyDescent="0.3">
      <c r="I60" s="27"/>
      <c r="K60" s="27"/>
    </row>
    <row r="61" spans="9:11" x14ac:dyDescent="0.3">
      <c r="I61" s="27"/>
      <c r="K61" s="27"/>
    </row>
    <row r="62" spans="9:11" x14ac:dyDescent="0.3">
      <c r="I62" s="27"/>
      <c r="K62" s="27"/>
    </row>
    <row r="63" spans="9:11" x14ac:dyDescent="0.3">
      <c r="I63" s="27"/>
      <c r="K63" s="27"/>
    </row>
    <row r="64" spans="9:11" x14ac:dyDescent="0.3">
      <c r="I64" s="27"/>
      <c r="K64" s="27"/>
    </row>
    <row r="65" spans="9:11" x14ac:dyDescent="0.3">
      <c r="I65" s="27"/>
      <c r="K65" s="27"/>
    </row>
    <row r="66" spans="9:11" x14ac:dyDescent="0.3">
      <c r="I66" s="27"/>
      <c r="K66" s="27"/>
    </row>
    <row r="67" spans="9:11" x14ac:dyDescent="0.3">
      <c r="I67" s="27"/>
      <c r="K67" s="27"/>
    </row>
    <row r="68" spans="9:11" x14ac:dyDescent="0.3">
      <c r="I68" s="27"/>
      <c r="K68" s="27"/>
    </row>
    <row r="69" spans="9:11" x14ac:dyDescent="0.3">
      <c r="I69" s="27"/>
      <c r="K69" s="27"/>
    </row>
    <row r="70" spans="9:11" x14ac:dyDescent="0.3">
      <c r="I70" s="27"/>
      <c r="K70" s="27"/>
    </row>
    <row r="71" spans="9:11" x14ac:dyDescent="0.3">
      <c r="I71" s="27"/>
      <c r="K71" s="27"/>
    </row>
    <row r="72" spans="9:11" x14ac:dyDescent="0.3">
      <c r="I72" s="27"/>
      <c r="K72" s="27"/>
    </row>
    <row r="73" spans="9:11" x14ac:dyDescent="0.3">
      <c r="I73" s="27"/>
      <c r="K73" s="27"/>
    </row>
    <row r="74" spans="9:11" x14ac:dyDescent="0.3">
      <c r="I74" s="27"/>
      <c r="K74" s="27"/>
    </row>
    <row r="75" spans="9:11" x14ac:dyDescent="0.3">
      <c r="I75" s="27"/>
      <c r="K75" s="27"/>
    </row>
    <row r="76" spans="9:11" x14ac:dyDescent="0.3">
      <c r="I76" s="27"/>
      <c r="K76" s="27"/>
    </row>
    <row r="77" spans="9:11" x14ac:dyDescent="0.3">
      <c r="I77" s="27"/>
      <c r="K77" s="27"/>
    </row>
    <row r="78" spans="9:11" x14ac:dyDescent="0.3">
      <c r="I78" s="27"/>
      <c r="K78" s="27"/>
    </row>
    <row r="79" spans="9:11" x14ac:dyDescent="0.3">
      <c r="I79" s="27"/>
      <c r="K79" s="27"/>
    </row>
    <row r="80" spans="9:11" x14ac:dyDescent="0.3">
      <c r="I80" s="27"/>
      <c r="K80" s="27"/>
    </row>
    <row r="81" spans="9:11" x14ac:dyDescent="0.3">
      <c r="I81" s="27"/>
      <c r="K81" s="27"/>
    </row>
    <row r="82" spans="9:11" x14ac:dyDescent="0.3">
      <c r="I82" s="27"/>
      <c r="K82" s="27"/>
    </row>
    <row r="83" spans="9:11" x14ac:dyDescent="0.3">
      <c r="I83" s="27"/>
      <c r="K83" s="27"/>
    </row>
    <row r="84" spans="9:11" x14ac:dyDescent="0.3">
      <c r="I84" s="27"/>
      <c r="K84" s="27"/>
    </row>
    <row r="85" spans="9:11" x14ac:dyDescent="0.3">
      <c r="I85" s="27"/>
      <c r="K85" s="27"/>
    </row>
    <row r="86" spans="9:11" x14ac:dyDescent="0.3">
      <c r="I86" s="27"/>
      <c r="K86" s="27"/>
    </row>
    <row r="87" spans="9:11" x14ac:dyDescent="0.3">
      <c r="I87" s="27"/>
      <c r="K87" s="27"/>
    </row>
    <row r="88" spans="9:11" x14ac:dyDescent="0.3">
      <c r="I88" s="27"/>
      <c r="K88" s="27"/>
    </row>
    <row r="89" spans="9:11" x14ac:dyDescent="0.3">
      <c r="I89" s="27"/>
      <c r="K89" s="27"/>
    </row>
    <row r="90" spans="9:11" x14ac:dyDescent="0.3">
      <c r="I90" s="27"/>
      <c r="K90" s="27"/>
    </row>
    <row r="91" spans="9:11" x14ac:dyDescent="0.3">
      <c r="I91" s="27"/>
      <c r="K91" s="27"/>
    </row>
    <row r="92" spans="9:11" x14ac:dyDescent="0.3">
      <c r="I92" s="27"/>
      <c r="K92" s="27"/>
    </row>
    <row r="93" spans="9:11" x14ac:dyDescent="0.3">
      <c r="I93" s="27"/>
      <c r="K93" s="27"/>
    </row>
    <row r="94" spans="9:11" x14ac:dyDescent="0.3">
      <c r="I94" s="27"/>
      <c r="K94" s="27"/>
    </row>
    <row r="95" spans="9:11" x14ac:dyDescent="0.3">
      <c r="I95" s="27"/>
      <c r="K95" s="27"/>
    </row>
    <row r="96" spans="9:11" x14ac:dyDescent="0.3">
      <c r="I96" s="27"/>
      <c r="K96" s="27"/>
    </row>
    <row r="97" spans="9:11" x14ac:dyDescent="0.3">
      <c r="I97" s="27"/>
      <c r="K97" s="27"/>
    </row>
    <row r="98" spans="9:11" x14ac:dyDescent="0.3">
      <c r="I98" s="27"/>
      <c r="K98" s="27"/>
    </row>
    <row r="99" spans="9:11" x14ac:dyDescent="0.3">
      <c r="I99" s="27"/>
      <c r="K99" s="27"/>
    </row>
    <row r="100" spans="9:11" x14ac:dyDescent="0.3">
      <c r="I100" s="27"/>
      <c r="K100" s="27"/>
    </row>
    <row r="101" spans="9:11" x14ac:dyDescent="0.3">
      <c r="I101" s="27"/>
      <c r="K101" s="27"/>
    </row>
    <row r="102" spans="9:11" x14ac:dyDescent="0.3">
      <c r="I102" s="27"/>
      <c r="K102" s="27"/>
    </row>
    <row r="103" spans="9:11" x14ac:dyDescent="0.3">
      <c r="I103" s="27"/>
      <c r="K103" s="27"/>
    </row>
    <row r="104" spans="9:11" x14ac:dyDescent="0.3">
      <c r="I104" s="27"/>
      <c r="K104" s="27"/>
    </row>
    <row r="105" spans="9:11" x14ac:dyDescent="0.3">
      <c r="I105" s="27"/>
      <c r="K105" s="27"/>
    </row>
    <row r="106" spans="9:11" x14ac:dyDescent="0.3">
      <c r="I106" s="27"/>
      <c r="K106" s="27"/>
    </row>
    <row r="107" spans="9:11" x14ac:dyDescent="0.3">
      <c r="I107" s="27"/>
      <c r="K107" s="27"/>
    </row>
    <row r="108" spans="9:11" x14ac:dyDescent="0.3">
      <c r="I108" s="27"/>
      <c r="K108" s="27"/>
    </row>
    <row r="109" spans="9:11" x14ac:dyDescent="0.3">
      <c r="I109" s="27"/>
      <c r="K109" s="27"/>
    </row>
    <row r="110" spans="9:11" x14ac:dyDescent="0.3">
      <c r="I110" s="27"/>
      <c r="K110" s="27"/>
    </row>
  </sheetData>
  <pageMargins left="0.511811024" right="0.511811024" top="0.78740157499999996" bottom="0.78740157499999996" header="0.31496062000000002" footer="0.3149606200000000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1A8714-B703-4C9F-AB5D-F70F66CA9810}">
  <sheetPr codeName="Planilha28">
    <tabColor theme="9" tint="0.59999389629810485"/>
  </sheetPr>
  <dimension ref="A1:Q24"/>
  <sheetViews>
    <sheetView showGridLines="0" workbookViewId="0">
      <selection activeCell="K7" sqref="K7"/>
    </sheetView>
  </sheetViews>
  <sheetFormatPr defaultColWidth="8.85546875" defaultRowHeight="18.75" x14ac:dyDescent="0.3"/>
  <cols>
    <col min="1" max="1" width="12.7109375" style="17" customWidth="1"/>
    <col min="2" max="2" width="36.42578125" customWidth="1"/>
    <col min="5" max="5" width="12.28515625" bestFit="1" customWidth="1"/>
    <col min="6" max="6" width="12.42578125" bestFit="1" customWidth="1"/>
    <col min="11" max="15" width="8.85546875" style="15"/>
    <col min="16" max="17" width="12.42578125" style="15" bestFit="1" customWidth="1"/>
    <col min="18" max="19" width="12.42578125" bestFit="1" customWidth="1"/>
  </cols>
  <sheetData>
    <row r="1" spans="1:17" x14ac:dyDescent="0.3">
      <c r="A1" s="16" t="s">
        <v>139</v>
      </c>
      <c r="K1" s="14"/>
      <c r="L1" s="14"/>
      <c r="M1" s="14"/>
      <c r="N1" s="14"/>
      <c r="O1" s="14"/>
      <c r="P1" s="14"/>
      <c r="Q1" s="14"/>
    </row>
    <row r="2" spans="1:17" x14ac:dyDescent="0.3">
      <c r="A2" s="17" t="s">
        <v>142</v>
      </c>
      <c r="K2" s="14"/>
      <c r="L2" s="14"/>
      <c r="M2" s="14"/>
      <c r="N2" s="14"/>
      <c r="O2" s="14"/>
      <c r="P2" s="14"/>
      <c r="Q2" s="14"/>
    </row>
    <row r="4" spans="1:17" ht="15.75" x14ac:dyDescent="0.25">
      <c r="A4" s="2" t="s">
        <v>15</v>
      </c>
      <c r="B4" s="2" t="s">
        <v>16</v>
      </c>
    </row>
    <row r="5" spans="1:17" ht="63" x14ac:dyDescent="0.25">
      <c r="A5" s="19" t="s">
        <v>22</v>
      </c>
      <c r="B5" s="26" t="s">
        <v>143</v>
      </c>
    </row>
    <row r="6" spans="1:17" ht="31.5" x14ac:dyDescent="0.25">
      <c r="A6" s="23" t="s">
        <v>140</v>
      </c>
      <c r="B6" s="24" t="s">
        <v>141</v>
      </c>
    </row>
    <row r="7" spans="1:17" x14ac:dyDescent="0.3">
      <c r="D7" s="1" t="s">
        <v>17</v>
      </c>
      <c r="E7" s="13" t="s">
        <v>22</v>
      </c>
      <c r="F7" s="12">
        <v>1</v>
      </c>
      <c r="G7" s="12">
        <v>2</v>
      </c>
      <c r="H7" s="12">
        <v>3</v>
      </c>
      <c r="K7" s="15" cm="1">
        <f t="array" ref="K7:M9">_xlfn.LAMBDA(_xlpm.matrix,_xlop.dim,
_xlfn.LET(_xlpm.dim,IF(_xlfn.ISOMITTED(_xlpm.dim),1,_xlpm.dim),
IF(_xlpm.dim = 1,
_xlfn._xlws.FILTER( _xlpm.matrix, _xlfn.BYROW(_xlpm.matrix,_xlfn.LAMBDA(_xlpm.row, SUM(1*ISERROR(_xlpm.row)) + SUM(1*ISBLANK(_xlpm.row)) ))=0 ),
_xlfn._xlws.FILTER( _xlpm.matrix, _xlfn.BYCOL(_xlpm.matrix,_xlfn.LAMBDA(_xlpm.col, SUM(1*ISERROR(_xlpm.col)) + SUM(1*ISBLANK(_xlpm.col)) ))=0 ) )
))($F$7:$H$12,$F$14)</f>
        <v>1</v>
      </c>
      <c r="L7" s="15">
        <v>2</v>
      </c>
      <c r="M7" s="15">
        <v>3</v>
      </c>
    </row>
    <row r="8" spans="1:17" x14ac:dyDescent="0.3">
      <c r="F8" s="12">
        <v>4</v>
      </c>
      <c r="G8" s="12" t="e">
        <f>NA()</f>
        <v>#N/A</v>
      </c>
      <c r="H8" s="12">
        <v>6</v>
      </c>
      <c r="K8" s="15">
        <v>7</v>
      </c>
      <c r="L8" s="15">
        <v>8</v>
      </c>
      <c r="M8" s="15">
        <v>9</v>
      </c>
    </row>
    <row r="9" spans="1:17" x14ac:dyDescent="0.3">
      <c r="F9" s="12">
        <v>7</v>
      </c>
      <c r="G9" s="12">
        <v>8</v>
      </c>
      <c r="H9" s="12">
        <v>9</v>
      </c>
      <c r="K9" s="15">
        <v>16</v>
      </c>
      <c r="L9" s="15">
        <v>17</v>
      </c>
      <c r="M9" s="15">
        <v>18</v>
      </c>
    </row>
    <row r="10" spans="1:17" ht="15" x14ac:dyDescent="0.25">
      <c r="A10"/>
      <c r="F10" s="12" t="e">
        <v>#VALUE!</v>
      </c>
      <c r="G10" s="12">
        <v>11</v>
      </c>
      <c r="H10" s="12">
        <v>12</v>
      </c>
    </row>
    <row r="11" spans="1:17" x14ac:dyDescent="0.3">
      <c r="F11" s="12">
        <v>13</v>
      </c>
      <c r="G11" s="12"/>
      <c r="H11" s="12">
        <v>15</v>
      </c>
    </row>
    <row r="12" spans="1:17" x14ac:dyDescent="0.3">
      <c r="F12" s="12">
        <v>16</v>
      </c>
      <c r="G12" s="12">
        <v>17</v>
      </c>
      <c r="H12" s="12">
        <v>18</v>
      </c>
    </row>
    <row r="14" spans="1:17" x14ac:dyDescent="0.3">
      <c r="E14" s="13" t="s">
        <v>140</v>
      </c>
      <c r="F14" s="12">
        <v>1</v>
      </c>
    </row>
    <row r="17" spans="4:11" x14ac:dyDescent="0.3">
      <c r="D17" s="1" t="s">
        <v>17</v>
      </c>
      <c r="E17" s="13" t="s">
        <v>22</v>
      </c>
      <c r="F17" s="12">
        <v>1</v>
      </c>
      <c r="G17" s="12">
        <v>2</v>
      </c>
      <c r="H17" s="12">
        <v>3</v>
      </c>
      <c r="K17" s="15" cm="1">
        <f t="array" ref="K17:K22">RMMISSING($F$17:$H$22,$F$24)</f>
        <v>3</v>
      </c>
    </row>
    <row r="18" spans="4:11" x14ac:dyDescent="0.3">
      <c r="F18" s="12">
        <v>4</v>
      </c>
      <c r="G18" s="12" t="e">
        <f>NA()</f>
        <v>#N/A</v>
      </c>
      <c r="H18" s="12">
        <v>6</v>
      </c>
      <c r="K18" s="15">
        <v>6</v>
      </c>
    </row>
    <row r="19" spans="4:11" x14ac:dyDescent="0.3">
      <c r="F19" s="12">
        <v>7</v>
      </c>
      <c r="G19" s="12">
        <v>8</v>
      </c>
      <c r="H19" s="12">
        <v>9</v>
      </c>
      <c r="K19" s="15">
        <v>9</v>
      </c>
    </row>
    <row r="20" spans="4:11" x14ac:dyDescent="0.3">
      <c r="F20" s="12" t="e">
        <v>#VALUE!</v>
      </c>
      <c r="G20" s="12">
        <v>11</v>
      </c>
      <c r="H20" s="12">
        <v>12</v>
      </c>
      <c r="K20" s="15">
        <v>12</v>
      </c>
    </row>
    <row r="21" spans="4:11" x14ac:dyDescent="0.3">
      <c r="F21" s="12">
        <v>13</v>
      </c>
      <c r="G21" s="12"/>
      <c r="H21" s="12">
        <v>15</v>
      </c>
      <c r="K21" s="15">
        <v>15</v>
      </c>
    </row>
    <row r="22" spans="4:11" x14ac:dyDescent="0.3">
      <c r="F22" s="12">
        <v>16</v>
      </c>
      <c r="G22" s="12">
        <v>17</v>
      </c>
      <c r="H22" s="12">
        <v>18</v>
      </c>
      <c r="K22" s="15">
        <v>18</v>
      </c>
    </row>
    <row r="24" spans="4:11" x14ac:dyDescent="0.3">
      <c r="E24" s="13" t="s">
        <v>140</v>
      </c>
      <c r="F24" s="12">
        <v>2</v>
      </c>
    </row>
  </sheetData>
  <pageMargins left="0.511811024" right="0.511811024" top="0.78740157499999996" bottom="0.78740157499999996" header="0.31496062000000002" footer="0.31496062000000002"/>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3B6533-05D9-4981-831F-4486DDEDFC9C}">
  <sheetPr>
    <tabColor theme="9" tint="0.59999389629810485"/>
  </sheetPr>
  <dimension ref="A1:Q34"/>
  <sheetViews>
    <sheetView showGridLines="0" workbookViewId="0">
      <selection activeCell="F5" sqref="F5"/>
    </sheetView>
  </sheetViews>
  <sheetFormatPr defaultColWidth="8.85546875" defaultRowHeight="18.75" x14ac:dyDescent="0.3"/>
  <cols>
    <col min="1" max="1" width="12.7109375" style="17" customWidth="1"/>
    <col min="2" max="2" width="36.42578125" customWidth="1"/>
    <col min="5" max="5" width="12.28515625" bestFit="1" customWidth="1"/>
    <col min="6" max="6" width="12.42578125" bestFit="1" customWidth="1"/>
    <col min="11" max="13" width="13" style="15" customWidth="1"/>
    <col min="14" max="14" width="8.85546875" style="15"/>
    <col min="15" max="17" width="12.42578125" style="15" bestFit="1" customWidth="1"/>
    <col min="18" max="19" width="12.42578125" bestFit="1" customWidth="1"/>
  </cols>
  <sheetData>
    <row r="1" spans="1:17" x14ac:dyDescent="0.3">
      <c r="A1" s="16" t="s">
        <v>447</v>
      </c>
      <c r="K1" s="14"/>
      <c r="L1" s="14"/>
      <c r="M1" s="14"/>
      <c r="N1" s="14"/>
      <c r="O1" s="14"/>
      <c r="P1" s="14"/>
      <c r="Q1" s="14"/>
    </row>
    <row r="2" spans="1:17" x14ac:dyDescent="0.3">
      <c r="A2" s="17" t="s">
        <v>448</v>
      </c>
      <c r="K2" s="14"/>
      <c r="L2" s="14"/>
      <c r="M2" s="14"/>
      <c r="N2" s="14"/>
      <c r="O2" s="14"/>
      <c r="P2" s="14"/>
      <c r="Q2" s="14"/>
    </row>
    <row r="4" spans="1:17" ht="15.75" x14ac:dyDescent="0.25">
      <c r="A4" s="2" t="s">
        <v>15</v>
      </c>
      <c r="B4" s="2" t="s">
        <v>16</v>
      </c>
    </row>
    <row r="5" spans="1:17" ht="31.5" x14ac:dyDescent="0.25">
      <c r="A5" s="19" t="s">
        <v>22</v>
      </c>
      <c r="B5" s="26" t="s">
        <v>449</v>
      </c>
    </row>
    <row r="6" spans="1:17" ht="31.5" x14ac:dyDescent="0.25">
      <c r="A6" s="23" t="s">
        <v>140</v>
      </c>
      <c r="B6" s="24" t="s">
        <v>141</v>
      </c>
    </row>
    <row r="7" spans="1:17" ht="47.25" x14ac:dyDescent="0.25">
      <c r="A7" s="23" t="s">
        <v>441</v>
      </c>
      <c r="B7" s="24" t="s">
        <v>444</v>
      </c>
    </row>
    <row r="8" spans="1:17" ht="31.5" x14ac:dyDescent="0.25">
      <c r="A8" s="23" t="s">
        <v>112</v>
      </c>
      <c r="B8" s="24" t="s">
        <v>445</v>
      </c>
    </row>
    <row r="9" spans="1:17" ht="31.5" x14ac:dyDescent="0.25">
      <c r="A9" s="23" t="s">
        <v>113</v>
      </c>
      <c r="B9" s="24" t="s">
        <v>446</v>
      </c>
    </row>
    <row r="10" spans="1:17" ht="15.75" x14ac:dyDescent="0.25">
      <c r="A10" s="23"/>
      <c r="B10" s="24"/>
    </row>
    <row r="11" spans="1:17" x14ac:dyDescent="0.3">
      <c r="D11" s="1" t="s">
        <v>17</v>
      </c>
      <c r="E11" s="13" t="s">
        <v>22</v>
      </c>
      <c r="F11" s="12">
        <v>1</v>
      </c>
      <c r="G11" s="12">
        <v>2</v>
      </c>
      <c r="H11" s="12">
        <v>3</v>
      </c>
      <c r="K11" s="15" t="b" cm="1">
        <f t="array" ref="K11:M16">_xlfn.LAMBDA(_xlpm.matrix,_xlop.dim,_xlop.method,_xlop.lb,_xlop.ub,
_xlfn.LET(
_xlpm.dim,IF(_xlfn.ISOMITTED(_xlpm.dim),1,_xlpm.dim),
_xlpm.method,IF(_xlfn.ISOMITTED(_xlpm.method),"MAD",_xlpm.method),
_xlpm.lb,IF(_xlfn.ISOMITTED(_xlpm.lb),3,_xlpm.lb),
_xlpm.ub,IF(_xlfn.ISOMITTED(_xlpm.ub),3,_xlpm.ub),
_xlpm.identOut, IF(
_xlpm.dim=1, _xlfn.MAKEARRAY(ROWS(_xlpm.matrix),COLUMNS(_xlpm.matrix), _xlfn.LAMBDA(_xlpm.lin,_xlpm.col, _xlfn.LET(_xlpm.coll, RMMISSING(INDEX(_xlpm.matrix,0,_xlpm.col),_xlpm.dim), _xlpm.mad, MEDIAN(ABS(_xlpm.coll-MEDIAN(_xlpm.coll))), OR( (INDEX(_xlpm.matrix,_xlpm.lin,_xlpm.col) - MEDIAN(_xlpm.coll)) &gt; _xlpm.ub*_xlpm.mad, (MEDIAN(_xlpm.coll) - INDEX(_xlpm.matrix,_xlpm.lin,_xlpm.col)) &gt; _xlpm.lb*_xlpm.mad ) ))),
_xlfn.MAKEARRAY(ROWS(_xlpm.matrix),COLUMNS(_xlpm.matrix), _xlfn.LAMBDA(_xlpm.lin,_xlpm.col,  _xlfn.LET(_xlpm.linn, RMMISSING(INDEX(_xlpm.matrix,_xlpm.lin,0),_xlpm.dim), _xlpm.mad, MEDIAN(ABS(_xlpm.linn-MEDIAN(_xlpm.linn))), OR( (INDEX(_xlpm.matrix,_xlpm.lin,_xlpm.col) - MEDIAN(_xlpm.linn)) &gt; _xlpm.ub*_xlpm.mad, (MEDIAN(_xlpm.linn) - INDEX(_xlpm.matrix,_xlpm.lin,_xlpm.col)) &gt; _xlpm.lb*_xlpm.mad ) )))
),
_xlpm.identOut
))($F$11:$H$16,$F$18,$F$19,$F$20,$F$21)</f>
        <v>0</v>
      </c>
      <c r="L11" s="15" t="b">
        <v>0</v>
      </c>
      <c r="M11" s="15" t="b">
        <v>0</v>
      </c>
    </row>
    <row r="12" spans="1:17" x14ac:dyDescent="0.3">
      <c r="F12" s="12">
        <v>4</v>
      </c>
      <c r="G12" s="12">
        <v>2</v>
      </c>
      <c r="H12" s="12">
        <v>6</v>
      </c>
      <c r="K12" s="15" t="b">
        <v>0</v>
      </c>
      <c r="L12" s="15" t="b">
        <v>0</v>
      </c>
      <c r="M12" s="15" t="b">
        <v>0</v>
      </c>
    </row>
    <row r="13" spans="1:17" x14ac:dyDescent="0.3">
      <c r="F13" s="12">
        <v>7</v>
      </c>
      <c r="G13" s="12" t="e">
        <f>NA()</f>
        <v>#N/A</v>
      </c>
      <c r="H13" s="12">
        <v>9</v>
      </c>
      <c r="K13" s="15" t="b">
        <v>0</v>
      </c>
      <c r="L13" s="15" t="e">
        <v>#N/A</v>
      </c>
      <c r="M13" s="15" t="b">
        <v>0</v>
      </c>
    </row>
    <row r="14" spans="1:17" ht="15" x14ac:dyDescent="0.25">
      <c r="A14"/>
      <c r="F14" s="12">
        <v>1</v>
      </c>
      <c r="G14" s="12">
        <v>11</v>
      </c>
      <c r="H14" s="12">
        <v>2000</v>
      </c>
      <c r="K14" s="15" t="b">
        <v>0</v>
      </c>
      <c r="L14" s="15" t="b">
        <v>0</v>
      </c>
      <c r="M14" s="15" t="b">
        <v>1</v>
      </c>
    </row>
    <row r="15" spans="1:17" x14ac:dyDescent="0.3">
      <c r="F15" s="12">
        <v>900</v>
      </c>
      <c r="G15" s="12">
        <v>5</v>
      </c>
      <c r="H15" s="12">
        <v>15</v>
      </c>
      <c r="K15" s="15" t="b">
        <v>1</v>
      </c>
      <c r="L15" s="15" t="b">
        <v>0</v>
      </c>
      <c r="M15" s="15" t="b">
        <v>0</v>
      </c>
    </row>
    <row r="16" spans="1:17" x14ac:dyDescent="0.3">
      <c r="F16" s="12">
        <v>16</v>
      </c>
      <c r="G16" s="12">
        <v>17</v>
      </c>
      <c r="H16" s="12">
        <v>18</v>
      </c>
      <c r="K16" s="15" t="b">
        <v>0</v>
      </c>
      <c r="L16" s="15" t="b">
        <v>1</v>
      </c>
      <c r="M16" s="15" t="b">
        <v>0</v>
      </c>
    </row>
    <row r="18" spans="1:13" x14ac:dyDescent="0.3">
      <c r="E18" s="13" t="s">
        <v>140</v>
      </c>
      <c r="F18" s="12">
        <v>1</v>
      </c>
    </row>
    <row r="19" spans="1:13" x14ac:dyDescent="0.3">
      <c r="E19" s="13" t="s">
        <v>441</v>
      </c>
      <c r="F19" s="12" t="s">
        <v>442</v>
      </c>
    </row>
    <row r="20" spans="1:13" x14ac:dyDescent="0.3">
      <c r="E20" s="13" t="s">
        <v>112</v>
      </c>
      <c r="F20" s="12">
        <v>3</v>
      </c>
    </row>
    <row r="21" spans="1:13" x14ac:dyDescent="0.3">
      <c r="E21" s="13" t="s">
        <v>113</v>
      </c>
      <c r="F21" s="12">
        <v>3</v>
      </c>
    </row>
    <row r="24" spans="1:13" s="15" customFormat="1" x14ac:dyDescent="0.3">
      <c r="A24" s="17"/>
      <c r="B24"/>
      <c r="C24"/>
      <c r="D24" s="1" t="s">
        <v>17</v>
      </c>
      <c r="E24" s="13" t="s">
        <v>22</v>
      </c>
      <c r="F24" s="12">
        <v>1</v>
      </c>
      <c r="G24" s="12">
        <v>2</v>
      </c>
      <c r="H24" s="12">
        <v>3</v>
      </c>
      <c r="I24"/>
      <c r="J24"/>
      <c r="K24" s="15" t="b" cm="1">
        <f t="array" ref="K24:M29">ISOUTLIER($F$24:$H$29,$F$31,$F$32,$F$33,$F$34)</f>
        <v>0</v>
      </c>
      <c r="L24" s="15" t="b">
        <v>0</v>
      </c>
      <c r="M24" s="15" t="b">
        <v>0</v>
      </c>
    </row>
    <row r="25" spans="1:13" s="15" customFormat="1" x14ac:dyDescent="0.3">
      <c r="A25" s="17"/>
      <c r="B25"/>
      <c r="C25"/>
      <c r="D25"/>
      <c r="E25"/>
      <c r="F25" s="12">
        <v>4</v>
      </c>
      <c r="G25" s="12">
        <v>2</v>
      </c>
      <c r="H25" s="12">
        <v>6</v>
      </c>
      <c r="I25"/>
      <c r="J25"/>
      <c r="K25" s="15" t="b">
        <v>0</v>
      </c>
      <c r="L25" s="15" t="b">
        <v>0</v>
      </c>
      <c r="M25" s="15" t="b">
        <v>0</v>
      </c>
    </row>
    <row r="26" spans="1:13" s="15" customFormat="1" x14ac:dyDescent="0.3">
      <c r="A26" s="17"/>
      <c r="B26"/>
      <c r="C26"/>
      <c r="D26"/>
      <c r="E26"/>
      <c r="F26" s="12">
        <v>7</v>
      </c>
      <c r="G26" s="12" t="e">
        <f>NA()</f>
        <v>#N/A</v>
      </c>
      <c r="H26" s="12">
        <v>9</v>
      </c>
      <c r="I26"/>
      <c r="J26"/>
      <c r="K26" s="15" t="b">
        <v>0</v>
      </c>
      <c r="L26" s="15" t="e">
        <v>#N/A</v>
      </c>
      <c r="M26" s="15" t="b">
        <v>0</v>
      </c>
    </row>
    <row r="27" spans="1:13" s="15" customFormat="1" x14ac:dyDescent="0.3">
      <c r="A27" s="17"/>
      <c r="B27"/>
      <c r="C27"/>
      <c r="D27"/>
      <c r="E27"/>
      <c r="F27" s="12">
        <v>1</v>
      </c>
      <c r="G27" s="12">
        <v>11</v>
      </c>
      <c r="H27" s="12">
        <v>2000</v>
      </c>
      <c r="I27"/>
      <c r="J27"/>
      <c r="K27" s="15" t="b">
        <v>0</v>
      </c>
      <c r="L27" s="15" t="b">
        <v>0</v>
      </c>
      <c r="M27" s="15" t="b">
        <v>1</v>
      </c>
    </row>
    <row r="28" spans="1:13" s="15" customFormat="1" x14ac:dyDescent="0.3">
      <c r="A28" s="17"/>
      <c r="B28"/>
      <c r="C28"/>
      <c r="D28"/>
      <c r="E28"/>
      <c r="F28" s="12">
        <v>900</v>
      </c>
      <c r="G28" s="12">
        <v>5</v>
      </c>
      <c r="H28" s="12">
        <v>15</v>
      </c>
      <c r="I28"/>
      <c r="J28"/>
      <c r="K28" s="15" t="b">
        <v>1</v>
      </c>
      <c r="L28" s="15" t="b">
        <v>0</v>
      </c>
      <c r="M28" s="15" t="b">
        <v>0</v>
      </c>
    </row>
    <row r="29" spans="1:13" s="15" customFormat="1" x14ac:dyDescent="0.3">
      <c r="A29" s="17"/>
      <c r="B29"/>
      <c r="C29"/>
      <c r="D29"/>
      <c r="E29"/>
      <c r="F29" s="12">
        <v>16</v>
      </c>
      <c r="G29" s="12">
        <v>17</v>
      </c>
      <c r="H29" s="12">
        <v>18</v>
      </c>
      <c r="I29"/>
      <c r="J29"/>
      <c r="K29" s="15" t="b">
        <v>0</v>
      </c>
      <c r="L29" s="15" t="b">
        <v>0</v>
      </c>
      <c r="M29" s="15" t="b">
        <v>0</v>
      </c>
    </row>
    <row r="31" spans="1:13" s="15" customFormat="1" x14ac:dyDescent="0.3">
      <c r="A31" s="17"/>
      <c r="B31"/>
      <c r="C31"/>
      <c r="D31"/>
      <c r="E31" s="13" t="s">
        <v>140</v>
      </c>
      <c r="F31" s="12">
        <v>2</v>
      </c>
      <c r="G31"/>
      <c r="H31"/>
      <c r="I31"/>
      <c r="J31"/>
    </row>
    <row r="32" spans="1:13" x14ac:dyDescent="0.3">
      <c r="E32" s="13" t="s">
        <v>441</v>
      </c>
      <c r="F32" s="12" t="s">
        <v>442</v>
      </c>
    </row>
    <row r="33" spans="5:6" x14ac:dyDescent="0.3">
      <c r="E33" s="13" t="s">
        <v>112</v>
      </c>
      <c r="F33" s="12">
        <v>3</v>
      </c>
    </row>
    <row r="34" spans="5:6" x14ac:dyDescent="0.3">
      <c r="E34" s="13" t="s">
        <v>113</v>
      </c>
      <c r="F34" s="12">
        <v>3</v>
      </c>
    </row>
  </sheetData>
  <pageMargins left="0.511811024" right="0.511811024" top="0.78740157499999996" bottom="0.78740157499999996" header="0.31496062000000002" footer="0.31496062000000002"/>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A08392-964F-4588-9CBF-0E0A4E5B4916}">
  <sheetPr>
    <tabColor theme="9" tint="0.59999389629810485"/>
  </sheetPr>
  <dimension ref="A1:Q34"/>
  <sheetViews>
    <sheetView showGridLines="0" workbookViewId="0">
      <selection activeCell="I6" sqref="I6"/>
    </sheetView>
  </sheetViews>
  <sheetFormatPr defaultColWidth="8.85546875" defaultRowHeight="18.75" x14ac:dyDescent="0.3"/>
  <cols>
    <col min="1" max="1" width="12.7109375" style="17" customWidth="1"/>
    <col min="2" max="2" width="36.42578125" customWidth="1"/>
    <col min="5" max="5" width="12.28515625" bestFit="1" customWidth="1"/>
    <col min="6" max="6" width="12.42578125" bestFit="1" customWidth="1"/>
    <col min="11" max="13" width="13" style="15" customWidth="1"/>
    <col min="14" max="14" width="8.85546875" style="15"/>
    <col min="15" max="17" width="12.42578125" style="15" bestFit="1" customWidth="1"/>
    <col min="18" max="19" width="12.42578125" bestFit="1" customWidth="1"/>
  </cols>
  <sheetData>
    <row r="1" spans="1:17" x14ac:dyDescent="0.3">
      <c r="A1" s="16" t="s">
        <v>440</v>
      </c>
      <c r="K1" s="14"/>
      <c r="L1" s="14"/>
      <c r="M1" s="14"/>
      <c r="N1" s="14"/>
      <c r="O1" s="14"/>
      <c r="P1" s="14"/>
      <c r="Q1" s="14"/>
    </row>
    <row r="2" spans="1:17" x14ac:dyDescent="0.3">
      <c r="A2" s="17" t="s">
        <v>439</v>
      </c>
      <c r="K2" s="14"/>
      <c r="L2" s="14"/>
      <c r="M2" s="14"/>
      <c r="N2" s="14"/>
      <c r="O2" s="14"/>
      <c r="P2" s="14"/>
      <c r="Q2" s="14"/>
    </row>
    <row r="4" spans="1:17" ht="15.75" x14ac:dyDescent="0.25">
      <c r="A4" s="2" t="s">
        <v>15</v>
      </c>
      <c r="B4" s="2" t="s">
        <v>16</v>
      </c>
    </row>
    <row r="5" spans="1:17" ht="31.5" x14ac:dyDescent="0.25">
      <c r="A5" s="19" t="s">
        <v>22</v>
      </c>
      <c r="B5" s="26" t="s">
        <v>443</v>
      </c>
    </row>
    <row r="6" spans="1:17" ht="31.5" x14ac:dyDescent="0.25">
      <c r="A6" s="23" t="s">
        <v>140</v>
      </c>
      <c r="B6" s="24" t="s">
        <v>141</v>
      </c>
    </row>
    <row r="7" spans="1:17" ht="47.25" x14ac:dyDescent="0.25">
      <c r="A7" s="23" t="s">
        <v>441</v>
      </c>
      <c r="B7" s="24" t="s">
        <v>444</v>
      </c>
    </row>
    <row r="8" spans="1:17" ht="31.5" x14ac:dyDescent="0.25">
      <c r="A8" s="23" t="s">
        <v>112</v>
      </c>
      <c r="B8" s="24" t="s">
        <v>445</v>
      </c>
    </row>
    <row r="9" spans="1:17" ht="31.5" x14ac:dyDescent="0.25">
      <c r="A9" s="23" t="s">
        <v>113</v>
      </c>
      <c r="B9" s="24" t="s">
        <v>446</v>
      </c>
    </row>
    <row r="10" spans="1:17" ht="15.75" x14ac:dyDescent="0.25">
      <c r="A10" s="23"/>
      <c r="B10" s="24"/>
    </row>
    <row r="11" spans="1:17" x14ac:dyDescent="0.3">
      <c r="D11" s="1" t="s">
        <v>17</v>
      </c>
      <c r="E11" s="13" t="s">
        <v>22</v>
      </c>
      <c r="F11" s="12">
        <v>1</v>
      </c>
      <c r="G11" s="12">
        <v>2</v>
      </c>
      <c r="H11" s="12">
        <v>3</v>
      </c>
      <c r="K11" s="15" cm="1">
        <f t="array" ref="K11:M13">_xlfn.LAMBDA(_xlpm.matrix,_xlop.dim,_xlop.method,_xlop.lb,_xlop.ub,
_xlfn.LET(
_xlpm.dim,IF(_xlfn.ISOMITTED(_xlpm.dim),1,_xlpm.dim),
_xlpm.method,IF(_xlfn.ISOMITTED(_xlpm.method),"MAD",_xlpm.method),
_xlpm.lb,IF(_xlfn.ISOMITTED(_xlpm.lb),3,_xlpm.lb),
_xlpm.ub,IF(_xlfn.ISOMITTED(_xlpm.ub),3,_xlpm.ub),
_xlpm.identOut, 1*ISOUTLIER(_xlpm.matrix,_xlpm.dim,_xlpm.method,_xlpm.lb,_xlpm.ub),
IF(_xlpm.dim = 1,
_xlfn._xlws.FILTER( _xlpm.matrix, _xlfn.BYROW(_xlpm.identOut,_xlfn.LAMBDA(_xlpm.row, SUM(IFERROR(_xlpm.row,0))))=0 ),
_xlfn._xlws.FILTER( _xlpm.matrix, _xlfn.BYCOL(_xlpm.identOut,_xlfn.LAMBDA(_xlpm.col, SUM(IFERROR(_xlpm.col,0)) ))=0 ) )
))($F$11:$H$16,$F$18,$F$19,$F$20,$F$21)</f>
        <v>1</v>
      </c>
      <c r="L11" s="15">
        <v>2</v>
      </c>
      <c r="M11" s="15">
        <v>3</v>
      </c>
    </row>
    <row r="12" spans="1:17" x14ac:dyDescent="0.3">
      <c r="F12" s="12">
        <v>4</v>
      </c>
      <c r="G12" s="12">
        <v>2</v>
      </c>
      <c r="H12" s="12">
        <v>6</v>
      </c>
      <c r="K12" s="15">
        <v>4</v>
      </c>
      <c r="L12" s="15">
        <v>2</v>
      </c>
      <c r="M12" s="15">
        <v>6</v>
      </c>
    </row>
    <row r="13" spans="1:17" x14ac:dyDescent="0.3">
      <c r="F13" s="12">
        <v>7</v>
      </c>
      <c r="G13" s="12" t="e">
        <f>NA()</f>
        <v>#N/A</v>
      </c>
      <c r="H13" s="12">
        <v>9</v>
      </c>
      <c r="K13" s="15">
        <v>7</v>
      </c>
      <c r="L13" s="15" t="e">
        <v>#N/A</v>
      </c>
      <c r="M13" s="15">
        <v>9</v>
      </c>
    </row>
    <row r="14" spans="1:17" ht="15" x14ac:dyDescent="0.25">
      <c r="A14"/>
      <c r="F14" s="12">
        <v>1</v>
      </c>
      <c r="G14" s="12">
        <v>11</v>
      </c>
      <c r="H14" s="12">
        <v>2000</v>
      </c>
    </row>
    <row r="15" spans="1:17" x14ac:dyDescent="0.3">
      <c r="F15" s="12">
        <v>900</v>
      </c>
      <c r="G15" s="12">
        <v>5</v>
      </c>
      <c r="H15" s="12">
        <v>15</v>
      </c>
    </row>
    <row r="16" spans="1:17" x14ac:dyDescent="0.3">
      <c r="F16" s="12">
        <v>16</v>
      </c>
      <c r="G16" s="12">
        <v>17</v>
      </c>
      <c r="H16" s="12">
        <v>18</v>
      </c>
    </row>
    <row r="18" spans="1:11" x14ac:dyDescent="0.3">
      <c r="E18" s="13" t="s">
        <v>140</v>
      </c>
      <c r="F18" s="12">
        <v>1</v>
      </c>
    </row>
    <row r="19" spans="1:11" x14ac:dyDescent="0.3">
      <c r="E19" s="13" t="s">
        <v>441</v>
      </c>
      <c r="F19" s="12" t="s">
        <v>442</v>
      </c>
    </row>
    <row r="20" spans="1:11" x14ac:dyDescent="0.3">
      <c r="E20" s="13" t="s">
        <v>112</v>
      </c>
      <c r="F20" s="12">
        <v>3</v>
      </c>
    </row>
    <row r="21" spans="1:11" x14ac:dyDescent="0.3">
      <c r="E21" s="13" t="s">
        <v>113</v>
      </c>
      <c r="F21" s="12">
        <v>3</v>
      </c>
    </row>
    <row r="24" spans="1:11" s="15" customFormat="1" x14ac:dyDescent="0.3">
      <c r="A24" s="17"/>
      <c r="B24"/>
      <c r="C24"/>
      <c r="D24" s="1" t="s">
        <v>17</v>
      </c>
      <c r="E24" s="13" t="s">
        <v>22</v>
      </c>
      <c r="F24" s="12">
        <v>1</v>
      </c>
      <c r="G24" s="12">
        <v>2</v>
      </c>
      <c r="H24" s="12">
        <v>3</v>
      </c>
      <c r="I24"/>
      <c r="J24"/>
      <c r="K24" s="15" cm="1">
        <f t="array" ref="K24:K29">RMOUTLIERS($F$24:$H$29,$F$31,$F$32,$F$33,$F$34)</f>
        <v>2</v>
      </c>
    </row>
    <row r="25" spans="1:11" s="15" customFormat="1" x14ac:dyDescent="0.3">
      <c r="A25" s="17"/>
      <c r="B25"/>
      <c r="C25"/>
      <c r="D25"/>
      <c r="E25"/>
      <c r="F25" s="12">
        <v>4</v>
      </c>
      <c r="G25" s="12">
        <v>2</v>
      </c>
      <c r="H25" s="12">
        <v>6</v>
      </c>
      <c r="I25"/>
      <c r="J25"/>
      <c r="K25" s="15">
        <v>2</v>
      </c>
    </row>
    <row r="26" spans="1:11" s="15" customFormat="1" x14ac:dyDescent="0.3">
      <c r="A26" s="17"/>
      <c r="B26"/>
      <c r="C26"/>
      <c r="D26"/>
      <c r="E26"/>
      <c r="F26" s="12">
        <v>7</v>
      </c>
      <c r="G26" s="12" t="e">
        <f>NA()</f>
        <v>#N/A</v>
      </c>
      <c r="H26" s="12">
        <v>9</v>
      </c>
      <c r="I26"/>
      <c r="J26"/>
      <c r="K26" s="15" t="e">
        <v>#N/A</v>
      </c>
    </row>
    <row r="27" spans="1:11" s="15" customFormat="1" x14ac:dyDescent="0.3">
      <c r="A27" s="17"/>
      <c r="B27"/>
      <c r="C27"/>
      <c r="D27"/>
      <c r="E27"/>
      <c r="F27" s="12">
        <v>1</v>
      </c>
      <c r="G27" s="12">
        <v>11</v>
      </c>
      <c r="H27" s="12">
        <v>2000</v>
      </c>
      <c r="I27"/>
      <c r="J27"/>
      <c r="K27" s="15">
        <v>11</v>
      </c>
    </row>
    <row r="28" spans="1:11" s="15" customFormat="1" x14ac:dyDescent="0.3">
      <c r="A28" s="17"/>
      <c r="B28"/>
      <c r="C28"/>
      <c r="D28"/>
      <c r="E28"/>
      <c r="F28" s="12">
        <v>900</v>
      </c>
      <c r="G28" s="12">
        <v>5</v>
      </c>
      <c r="H28" s="12">
        <v>15</v>
      </c>
      <c r="I28"/>
      <c r="J28"/>
      <c r="K28" s="15">
        <v>5</v>
      </c>
    </row>
    <row r="29" spans="1:11" s="15" customFormat="1" x14ac:dyDescent="0.3">
      <c r="A29" s="17"/>
      <c r="B29"/>
      <c r="C29"/>
      <c r="D29"/>
      <c r="E29"/>
      <c r="F29" s="12">
        <v>16</v>
      </c>
      <c r="G29" s="12">
        <v>17</v>
      </c>
      <c r="H29" s="12">
        <v>18</v>
      </c>
      <c r="I29"/>
      <c r="J29"/>
      <c r="K29" s="15">
        <v>17</v>
      </c>
    </row>
    <row r="31" spans="1:11" s="15" customFormat="1" x14ac:dyDescent="0.3">
      <c r="A31" s="17"/>
      <c r="B31"/>
      <c r="C31"/>
      <c r="D31"/>
      <c r="E31" s="13" t="s">
        <v>140</v>
      </c>
      <c r="F31" s="12">
        <v>2</v>
      </c>
      <c r="G31"/>
      <c r="H31"/>
      <c r="I31"/>
      <c r="J31"/>
    </row>
    <row r="32" spans="1:11" x14ac:dyDescent="0.3">
      <c r="E32" s="13" t="s">
        <v>441</v>
      </c>
      <c r="F32" s="12" t="s">
        <v>442</v>
      </c>
    </row>
    <row r="33" spans="5:6" x14ac:dyDescent="0.3">
      <c r="E33" s="13" t="s">
        <v>112</v>
      </c>
      <c r="F33" s="12">
        <v>3</v>
      </c>
    </row>
    <row r="34" spans="5:6" x14ac:dyDescent="0.3">
      <c r="E34" s="13" t="s">
        <v>113</v>
      </c>
      <c r="F34" s="12">
        <v>3</v>
      </c>
    </row>
  </sheetData>
  <pageMargins left="0.511811024" right="0.511811024" top="0.78740157499999996" bottom="0.78740157499999996" header="0.31496062000000002" footer="0.31496062000000002"/>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DEBF5-5825-44A0-AAFE-CB64D1323078}">
  <sheetPr>
    <tabColor theme="9" tint="0.59999389629810485"/>
  </sheetPr>
  <dimension ref="A1:Q40"/>
  <sheetViews>
    <sheetView showGridLines="0" topLeftCell="A7" workbookViewId="0">
      <selection activeCell="K11" sqref="K11"/>
    </sheetView>
  </sheetViews>
  <sheetFormatPr defaultColWidth="12.42578125" defaultRowHeight="18.75" x14ac:dyDescent="0.3"/>
  <cols>
    <col min="1" max="1" width="12.7109375" style="17" customWidth="1"/>
    <col min="2" max="2" width="61.28515625" customWidth="1"/>
    <col min="3" max="4" width="8.85546875"/>
    <col min="5" max="5" width="12.28515625" bestFit="1" customWidth="1"/>
    <col min="6" max="8" width="11.28515625" customWidth="1"/>
    <col min="9" max="10" width="8.85546875"/>
    <col min="11" max="14" width="8.85546875" style="15"/>
    <col min="15" max="17" width="12.42578125" style="15" bestFit="1" customWidth="1"/>
    <col min="18" max="18" width="12.42578125" bestFit="1" customWidth="1"/>
  </cols>
  <sheetData>
    <row r="1" spans="1:17" x14ac:dyDescent="0.3">
      <c r="A1" s="84" t="s">
        <v>284</v>
      </c>
      <c r="K1" s="14"/>
      <c r="L1" s="14"/>
      <c r="M1" s="14"/>
      <c r="N1" s="14"/>
      <c r="O1" s="14"/>
      <c r="P1" s="14"/>
      <c r="Q1" s="14"/>
    </row>
    <row r="2" spans="1:17" x14ac:dyDescent="0.3">
      <c r="A2" s="17" t="s">
        <v>289</v>
      </c>
      <c r="K2" s="14"/>
      <c r="L2" s="14"/>
      <c r="M2" s="14"/>
      <c r="N2" s="14"/>
      <c r="O2" s="14"/>
      <c r="P2" s="14"/>
      <c r="Q2" s="14"/>
    </row>
    <row r="4" spans="1:17" ht="15.75" x14ac:dyDescent="0.25">
      <c r="A4" s="2" t="s">
        <v>15</v>
      </c>
      <c r="B4" s="2" t="s">
        <v>16</v>
      </c>
    </row>
    <row r="5" spans="1:17" ht="15.75" x14ac:dyDescent="0.25">
      <c r="A5" s="23" t="s">
        <v>286</v>
      </c>
      <c r="B5" s="26" t="s">
        <v>290</v>
      </c>
    </row>
    <row r="6" spans="1:17" ht="94.5" x14ac:dyDescent="0.25">
      <c r="A6" s="23" t="s">
        <v>287</v>
      </c>
      <c r="B6" s="24" t="s">
        <v>295</v>
      </c>
    </row>
    <row r="7" spans="1:17" ht="31.5" x14ac:dyDescent="0.25">
      <c r="A7" s="23" t="s">
        <v>288</v>
      </c>
      <c r="B7" s="24" t="s">
        <v>293</v>
      </c>
    </row>
    <row r="8" spans="1:17" ht="47.25" x14ac:dyDescent="0.25">
      <c r="A8" s="23" t="s">
        <v>291</v>
      </c>
      <c r="B8" s="24" t="s">
        <v>292</v>
      </c>
    </row>
    <row r="11" spans="1:17" ht="15" x14ac:dyDescent="0.25">
      <c r="A11"/>
      <c r="D11" s="1" t="s">
        <v>17</v>
      </c>
      <c r="E11" s="13" t="s">
        <v>286</v>
      </c>
      <c r="F11" s="12" t="s">
        <v>281</v>
      </c>
      <c r="G11" s="12" t="s">
        <v>282</v>
      </c>
      <c r="H11" s="12" t="s">
        <v>283</v>
      </c>
      <c r="K11" s="15" t="str" cm="1">
        <f t="array" ref="K11:M12">_xlfn.LAMBDA(_xlpm.array,_xlpm.include,_xlop.if_empty,_xlop.headers,
_xlfn.LET(
_xlpm.criteriaDelim, ";",
_xlpm.if_empty, IF(_xlfn.ISOMITTED(_xlpm.if_empty), NA(), _xlpm.if_empty),
_xlpm.headers, IF(_xlfn.ISOMITTED(_xlpm.headers), INDEX(_xlpm.array,1,0), _xlpm.headers),
_xlpm.array, IF(_xlfn.ISOMITTED(_xlpm.headers), SLICE(_xlpm.array,2,-1), _xlpm.array),
_xlpm.include, _xludf.SPLIT(_xlpm.include, _xlpm.criteriaDelim),
_xlpm.actualValue, _xlfn.LAMBDA(_xlpm.value, _xlfn.LET(_xlpm.value,TRIM(_xlpm.value), IF( AND( LEFT(_xlpm.value,1) = """", RIGHT(_xlpm.value,1) = """" ),  MID(_xlpm.value, 2, LEN(_xlpm.value) - 2), VALUE(_xlpm.value) ) ) ),
IFERROR(
_xlfn.REDUCE(_xlpm.array, _xlpm.include,
_xlfn.LAMBDA(_xlpm.accum,_xlpm.criterion,  _xlfn._xlws.FILTER(_xlpm.accum,
_xlfn.IFS(
NOT(ISERR(SEARCH("&lt;&gt;",_xlpm.criterion))), _xlfn.LET( _xlpm.crit, _xlfn.LAMBDA(_xlpm.idx, INDEX(_xludf.SPLIT(_xlpm.criterion, "&lt;&gt;"),1,_xlpm.idx)), _xlpm.colCrit, MATCH( _xlpm.crit(1), _xlpm.headers, 0 ), INDEX(_xlpm.accum,0,_xlpm.colCrit) &lt;&gt; _xlpm.actualValue(_xlpm.crit(2)) ),
NOT(ISERR(SEARCH("&gt;=",_xlpm.criterion))), _xlfn.LET( _xlpm.crit, _xlfn.LAMBDA(_xlpm.idx, INDEX(_xludf.SPLIT(_xlpm.criterion, "&gt;="),1,_xlpm.idx)), _xlpm.colCrit, MATCH( _xlpm.crit(1), _xlpm.headers, 0 ), INDEX(_xlpm.accum,0,_xlpm.colCrit) &gt;= _xlpm.actualValue(_xlpm.crit(2)) ),
NOT(ISERR(SEARCH("&lt;=",_xlpm.criterion))), _xlfn.LET( _xlpm.crit, _xlfn.LAMBDA(_xlpm.idx, INDEX(_xludf.SPLIT(_xlpm.criterion, "&lt;="),1,_xlpm.idx)), _xlpm.colCrit, MATCH( _xlpm.crit(1), _xlpm.headers, 0 ), INDEX(_xlpm.accum,0,_xlpm.colCrit) &lt;= _xlpm.actualValue(_xlpm.crit(2)) ),
NOT(ISERR(SEARCH("=",_xlpm.criterion))), _xlfn.LET( _xlpm.crit, _xlfn.LAMBDA(_xlpm.idx, INDEX(_xludf.SPLIT(_xlpm.criterion, "="),1,_xlpm.idx)), _xlpm.colCrit, MATCH( _xlpm.crit(1), _xlpm.headers, 0 ), INDEX(_xlpm.accum,0,_xlpm.colCrit) = _xlpm.actualValue(_xlpm.crit(2)) ),
NOT(ISERR(SEARCH("&gt;",_xlpm.criterion))), _xlfn.LET( _xlpm.crit, _xlfn.LAMBDA(_xlpm.idx, INDEX(_xludf.SPLIT(_xlpm.criterion, "&gt;"),1,_xlpm.idx)), _xlpm.colCrit, MATCH( _xlpm.crit(1), _xlpm.headers, 0 ), INDEX(_xlpm.accum,0,_xlpm.colCrit) &gt; _xlpm.actualValue(_xlpm.crit(2)) ),
NOT(ISERR(SEARCH("&lt;",_xlpm.criterion))), _xlfn.LET( _xlpm.crit, _xlfn.LAMBDA(_xlpm.idx, INDEX(_xludf.SPLIT(_xlpm.criterion, "&lt;"),1,_xlpm.idx)), _xlpm.colCrit, MATCH( _xlpm.crit(1), _xlpm.headers, 0 ), INDEX(_xlpm.accum,0,_xlpm.colCrit) &lt; _xlpm.actualValue(_xlpm.crit(2)) )
)
))), _xlpm.if_empty)
)
)($F$11:$H$20,F22)</f>
        <v>ab</v>
      </c>
      <c r="L11" s="15">
        <v>200</v>
      </c>
      <c r="M11" s="15">
        <v>2000</v>
      </c>
      <c r="O11" s="15" t="b" cm="1">
        <f t="array" ref="O11:O19">ISNUMBER(MATCH(H12:H20,{1000;200},0))</f>
        <v>1</v>
      </c>
    </row>
    <row r="12" spans="1:17" x14ac:dyDescent="0.3">
      <c r="F12" s="12">
        <v>10</v>
      </c>
      <c r="G12" s="12">
        <v>100</v>
      </c>
      <c r="H12" s="12">
        <v>1000</v>
      </c>
      <c r="K12" s="15" t="str">
        <v>ab</v>
      </c>
      <c r="L12" s="15">
        <v>300.5</v>
      </c>
      <c r="M12" s="15">
        <v>2000</v>
      </c>
      <c r="O12" s="15" t="b">
        <v>1</v>
      </c>
    </row>
    <row r="13" spans="1:17" x14ac:dyDescent="0.3">
      <c r="F13" s="12">
        <v>20</v>
      </c>
      <c r="G13" s="12">
        <v>100</v>
      </c>
      <c r="H13" s="12">
        <v>1000</v>
      </c>
      <c r="O13" s="15" t="b">
        <v>1</v>
      </c>
    </row>
    <row r="14" spans="1:17" x14ac:dyDescent="0.3">
      <c r="F14" s="12">
        <v>20</v>
      </c>
      <c r="G14" s="12">
        <v>200</v>
      </c>
      <c r="H14" s="12">
        <v>1000</v>
      </c>
      <c r="O14" s="15" t="b">
        <v>1</v>
      </c>
    </row>
    <row r="15" spans="1:17" x14ac:dyDescent="0.3">
      <c r="F15" s="12" t="s">
        <v>294</v>
      </c>
      <c r="G15" s="12">
        <v>100</v>
      </c>
      <c r="H15" s="12">
        <v>1000</v>
      </c>
      <c r="O15" s="15" t="b">
        <v>0</v>
      </c>
    </row>
    <row r="16" spans="1:17" x14ac:dyDescent="0.3">
      <c r="F16" s="12" t="s">
        <v>294</v>
      </c>
      <c r="G16" s="12">
        <v>200</v>
      </c>
      <c r="H16" s="12">
        <v>2000</v>
      </c>
      <c r="O16" s="15" t="b">
        <v>0</v>
      </c>
    </row>
    <row r="17" spans="1:17" x14ac:dyDescent="0.3">
      <c r="F17" s="12" t="s">
        <v>294</v>
      </c>
      <c r="G17" s="12">
        <v>300.5</v>
      </c>
      <c r="H17" s="12">
        <v>2000</v>
      </c>
      <c r="O17" s="15" t="b">
        <v>0</v>
      </c>
    </row>
    <row r="18" spans="1:17" s="21" customFormat="1" x14ac:dyDescent="0.3">
      <c r="A18" s="17"/>
      <c r="B18"/>
      <c r="C18"/>
      <c r="D18"/>
      <c r="E18"/>
      <c r="F18" s="12" t="s">
        <v>294</v>
      </c>
      <c r="G18" s="12">
        <v>300</v>
      </c>
      <c r="H18" s="12">
        <v>3000</v>
      </c>
      <c r="I18"/>
      <c r="J18"/>
      <c r="K18" s="15"/>
      <c r="L18" s="15"/>
      <c r="M18" s="15"/>
      <c r="N18" s="15"/>
      <c r="O18" s="15" t="b">
        <v>0</v>
      </c>
      <c r="P18" s="15"/>
      <c r="Q18" s="15"/>
    </row>
    <row r="19" spans="1:17" s="21" customFormat="1" x14ac:dyDescent="0.3">
      <c r="A19" s="17"/>
      <c r="B19"/>
      <c r="C19"/>
      <c r="D19"/>
      <c r="E19"/>
      <c r="F19" s="12">
        <v>50</v>
      </c>
      <c r="G19" s="12">
        <v>300</v>
      </c>
      <c r="H19" s="12">
        <v>2000</v>
      </c>
      <c r="I19"/>
      <c r="J19"/>
      <c r="K19" s="15"/>
      <c r="L19" s="15"/>
      <c r="M19" s="15"/>
      <c r="N19" s="15"/>
      <c r="O19" s="15" t="b">
        <v>0</v>
      </c>
      <c r="P19" s="15"/>
      <c r="Q19" s="15"/>
    </row>
    <row r="20" spans="1:17" x14ac:dyDescent="0.3">
      <c r="F20" s="12">
        <v>50</v>
      </c>
      <c r="G20" s="12">
        <v>400</v>
      </c>
      <c r="H20" s="12">
        <v>2000</v>
      </c>
    </row>
    <row r="21" spans="1:17" s="21" customFormat="1" x14ac:dyDescent="0.3">
      <c r="A21" s="17"/>
      <c r="B21"/>
      <c r="C21"/>
      <c r="D21"/>
      <c r="E21"/>
      <c r="F21"/>
      <c r="G21"/>
      <c r="H21"/>
      <c r="I21"/>
      <c r="J21"/>
      <c r="K21" s="15"/>
      <c r="L21" s="15"/>
      <c r="M21" s="15"/>
      <c r="N21" s="15"/>
      <c r="O21" s="15"/>
      <c r="P21" s="15"/>
      <c r="Q21" s="15"/>
    </row>
    <row r="22" spans="1:17" x14ac:dyDescent="0.3">
      <c r="E22" s="13" t="s">
        <v>287</v>
      </c>
      <c r="F22" s="114" t="s">
        <v>296</v>
      </c>
      <c r="G22" s="115"/>
      <c r="H22" s="116"/>
    </row>
    <row r="25" spans="1:17" x14ac:dyDescent="0.3">
      <c r="D25" s="1" t="s">
        <v>17</v>
      </c>
      <c r="E25" s="13" t="s">
        <v>286</v>
      </c>
      <c r="F25" s="12">
        <v>10</v>
      </c>
      <c r="G25" s="12">
        <v>100</v>
      </c>
      <c r="H25" s="12">
        <v>50</v>
      </c>
      <c r="K25" s="15" t="str" cm="1">
        <f t="array" ref="K25:M26">MULTIFILTER($F$25:$H$34,$F$36,$F$38,$F$40:$H$40)</f>
        <v>ab</v>
      </c>
      <c r="L25" s="15">
        <v>200</v>
      </c>
      <c r="M25" s="15">
        <v>2000</v>
      </c>
    </row>
    <row r="26" spans="1:17" x14ac:dyDescent="0.3">
      <c r="F26" s="12">
        <v>10</v>
      </c>
      <c r="G26" s="12">
        <v>100</v>
      </c>
      <c r="H26" s="12">
        <v>1000</v>
      </c>
      <c r="K26" s="15" t="str">
        <v>ab</v>
      </c>
      <c r="L26" s="15">
        <v>300</v>
      </c>
      <c r="M26" s="15">
        <v>2000</v>
      </c>
    </row>
    <row r="27" spans="1:17" x14ac:dyDescent="0.3">
      <c r="F27" s="12">
        <v>20</v>
      </c>
      <c r="G27" s="12">
        <v>100</v>
      </c>
      <c r="H27" s="12">
        <v>1000</v>
      </c>
    </row>
    <row r="28" spans="1:17" x14ac:dyDescent="0.3">
      <c r="F28" s="12">
        <v>20</v>
      </c>
      <c r="G28" s="12">
        <v>200</v>
      </c>
      <c r="H28" s="12">
        <v>1000</v>
      </c>
    </row>
    <row r="29" spans="1:17" x14ac:dyDescent="0.3">
      <c r="F29" s="12" t="s">
        <v>294</v>
      </c>
      <c r="G29" s="12">
        <v>100</v>
      </c>
      <c r="H29" s="12">
        <v>1000</v>
      </c>
    </row>
    <row r="30" spans="1:17" x14ac:dyDescent="0.3">
      <c r="F30" s="12" t="s">
        <v>294</v>
      </c>
      <c r="G30" s="12">
        <v>200</v>
      </c>
      <c r="H30" s="12">
        <v>2000</v>
      </c>
    </row>
    <row r="31" spans="1:17" x14ac:dyDescent="0.3">
      <c r="F31" s="12" t="s">
        <v>294</v>
      </c>
      <c r="G31" s="12">
        <v>300</v>
      </c>
      <c r="H31" s="12">
        <v>2000</v>
      </c>
    </row>
    <row r="32" spans="1:17" x14ac:dyDescent="0.3">
      <c r="F32" s="12" t="s">
        <v>294</v>
      </c>
      <c r="G32" s="12">
        <v>300</v>
      </c>
      <c r="H32" s="12">
        <v>3000</v>
      </c>
    </row>
    <row r="33" spans="5:8" x14ac:dyDescent="0.3">
      <c r="F33" s="12">
        <v>50</v>
      </c>
      <c r="G33" s="12">
        <v>300</v>
      </c>
      <c r="H33" s="12">
        <v>2000</v>
      </c>
    </row>
    <row r="34" spans="5:8" x14ac:dyDescent="0.3">
      <c r="F34" s="12">
        <v>50</v>
      </c>
      <c r="G34" s="12">
        <v>400</v>
      </c>
      <c r="H34" s="12">
        <v>2000</v>
      </c>
    </row>
    <row r="36" spans="5:8" x14ac:dyDescent="0.3">
      <c r="E36" s="13" t="s">
        <v>287</v>
      </c>
      <c r="F36" s="114" t="s">
        <v>296</v>
      </c>
      <c r="G36" s="115"/>
      <c r="H36" s="116"/>
    </row>
    <row r="38" spans="5:8" x14ac:dyDescent="0.3">
      <c r="E38" s="13" t="s">
        <v>288</v>
      </c>
      <c r="F38" s="12" t="s">
        <v>297</v>
      </c>
    </row>
    <row r="40" spans="5:8" x14ac:dyDescent="0.3">
      <c r="E40" s="13" t="s">
        <v>291</v>
      </c>
      <c r="F40" s="12" t="s">
        <v>281</v>
      </c>
      <c r="G40" s="12" t="s">
        <v>282</v>
      </c>
      <c r="H40" s="12" t="s">
        <v>283</v>
      </c>
    </row>
  </sheetData>
  <mergeCells count="2">
    <mergeCell ref="F22:H22"/>
    <mergeCell ref="F36:H36"/>
  </mergeCells>
  <pageMargins left="0.511811024" right="0.511811024" top="0.78740157499999996" bottom="0.78740157499999996" header="0.31496062000000002" footer="0.31496062000000002"/>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32A11-D228-423E-B3B1-97D5898C74B8}">
  <sheetPr>
    <tabColor theme="9" tint="0.59999389629810485"/>
  </sheetPr>
  <dimension ref="A1:Q22"/>
  <sheetViews>
    <sheetView showGridLines="0" workbookViewId="0">
      <selection activeCell="A3" sqref="A3"/>
    </sheetView>
  </sheetViews>
  <sheetFormatPr defaultColWidth="12.42578125" defaultRowHeight="18.75" x14ac:dyDescent="0.3"/>
  <cols>
    <col min="1" max="1" width="12.7109375" style="17" customWidth="1"/>
    <col min="2" max="2" width="61.28515625" customWidth="1"/>
    <col min="3" max="4" width="8.85546875"/>
    <col min="5" max="5" width="12.28515625" bestFit="1" customWidth="1"/>
    <col min="6" max="8" width="11.28515625" customWidth="1"/>
    <col min="9" max="10" width="8.85546875"/>
    <col min="11" max="14" width="8.85546875" style="15"/>
    <col min="15" max="17" width="12.42578125" style="15" bestFit="1" customWidth="1"/>
    <col min="18" max="18" width="12.42578125" bestFit="1" customWidth="1"/>
  </cols>
  <sheetData>
    <row r="1" spans="1:17" x14ac:dyDescent="0.3">
      <c r="A1" s="84" t="s">
        <v>298</v>
      </c>
      <c r="K1" s="14"/>
      <c r="L1" s="14"/>
      <c r="M1" s="14"/>
      <c r="N1" s="14"/>
      <c r="O1" s="14"/>
      <c r="P1" s="14"/>
      <c r="Q1" s="14"/>
    </row>
    <row r="2" spans="1:17" x14ac:dyDescent="0.3">
      <c r="A2" s="17" t="s">
        <v>335</v>
      </c>
      <c r="K2" s="14"/>
      <c r="L2" s="14"/>
      <c r="M2" s="14"/>
      <c r="N2" s="14"/>
      <c r="O2" s="14"/>
      <c r="P2" s="14"/>
      <c r="Q2" s="14"/>
    </row>
    <row r="4" spans="1:17" ht="15.75" x14ac:dyDescent="0.25">
      <c r="A4" s="2" t="s">
        <v>15</v>
      </c>
      <c r="B4" s="2" t="s">
        <v>16</v>
      </c>
    </row>
    <row r="5" spans="1:17" ht="15.75" x14ac:dyDescent="0.25">
      <c r="A5" s="23" t="s">
        <v>299</v>
      </c>
      <c r="B5" s="26" t="s">
        <v>300</v>
      </c>
    </row>
    <row r="6" spans="1:17" ht="31.5" x14ac:dyDescent="0.25">
      <c r="A6" s="23" t="s">
        <v>301</v>
      </c>
      <c r="B6" s="24" t="s">
        <v>303</v>
      </c>
    </row>
    <row r="7" spans="1:17" ht="31.5" x14ac:dyDescent="0.25">
      <c r="A7" s="23" t="s">
        <v>302</v>
      </c>
      <c r="B7" s="24" t="s">
        <v>304</v>
      </c>
    </row>
    <row r="8" spans="1:17" ht="15.75" x14ac:dyDescent="0.25">
      <c r="A8" s="23"/>
      <c r="B8" s="24"/>
    </row>
    <row r="11" spans="1:17" ht="15" x14ac:dyDescent="0.25">
      <c r="A11"/>
      <c r="E11" s="13" t="s">
        <v>22</v>
      </c>
      <c r="F11" s="13">
        <v>1</v>
      </c>
      <c r="G11" s="13">
        <v>2</v>
      </c>
      <c r="H11" s="13">
        <v>3</v>
      </c>
      <c r="K11" s="15" cm="1">
        <f t="array" ref="K11:M14">_xlfn.LAMBDA(_xlpm.matrixText,_xlop.lineChar,_xlop.colChar,
_xlfn.LET(
_xlpm.lineChar, IF(_xlfn.ISOMITTED(_xlpm.lineChar), MID( _xlfn.ARRAYTOTEXT({1;1},1), 3, 1), _xlpm.lineChar),
_xlpm.colChar, IF(_xlfn.ISOMITTED(_xlpm.colChar), MID( _xlfn.ARRAYTOTEXT({1,1},1), 3, 1), _xlpm.colChar),
_xlpm.rows, TRANSPOSE( _xludf.SPLIT( _xlfn.LET( _xlpm.matrix, _xlpm.matrixText, MID( _xlpm.matrix, 2, LEN(_xlpm.matrix) -2)), _xlpm.lineChar) ),
_xlpm.actualValue, _xlfn.LAMBDA(_xlpm.value, _xlfn.LET(_xlpm.value,TRIM(_xlpm.value), IF( AND( LEFT(_xlpm.value,1) = """", RIGHT(_xlpm.value,1) = """" ),  MID(_xlpm.value, 2, LEN(_xlpm.value) - 2), VALUE(_xlpm.value) ) ) ),
_xlfn.MAKEARRAY(LENGTH(_xlpm.rows), LENGTH( _xludf.SPLIT( INDEX(_xlpm.rows,1,1), _xlpm.colChar ) ), _xlfn.LAMBDA(_xlpm.row,_xlpm.col,  _xlpm.actualValue( INDEX( _xludf.SPLIT( INDEX(_xlpm.rows,_xlpm.row,1), _xlpm.colChar ), 1, _xlpm.col ) ) ) )
))($F$16,$F$18,$F$20)</f>
        <v>1</v>
      </c>
      <c r="L11" s="15">
        <v>2</v>
      </c>
      <c r="M11" s="15">
        <v>3</v>
      </c>
    </row>
    <row r="12" spans="1:17" x14ac:dyDescent="0.3">
      <c r="F12" s="13">
        <v>4</v>
      </c>
      <c r="G12" s="13">
        <v>3</v>
      </c>
      <c r="H12" s="13">
        <v>6</v>
      </c>
      <c r="K12" s="15">
        <v>4</v>
      </c>
      <c r="L12" s="15">
        <v>3</v>
      </c>
      <c r="M12" s="15">
        <v>6</v>
      </c>
    </row>
    <row r="13" spans="1:17" x14ac:dyDescent="0.3">
      <c r="F13" s="13">
        <v>7</v>
      </c>
      <c r="G13" s="13">
        <v>8</v>
      </c>
      <c r="H13" s="13">
        <v>9</v>
      </c>
      <c r="K13" s="15">
        <v>7</v>
      </c>
      <c r="L13" s="15">
        <v>8</v>
      </c>
      <c r="M13" s="15">
        <v>9</v>
      </c>
    </row>
    <row r="14" spans="1:17" x14ac:dyDescent="0.3">
      <c r="F14" s="13">
        <v>10</v>
      </c>
      <c r="G14" s="13">
        <v>11</v>
      </c>
      <c r="H14" s="13">
        <v>12</v>
      </c>
      <c r="K14" s="15">
        <v>10</v>
      </c>
      <c r="L14" s="15">
        <v>11</v>
      </c>
      <c r="M14" s="15">
        <v>12</v>
      </c>
    </row>
    <row r="16" spans="1:17" x14ac:dyDescent="0.3">
      <c r="D16" s="1" t="s">
        <v>17</v>
      </c>
      <c r="E16" s="13" t="s">
        <v>299</v>
      </c>
      <c r="F16" s="117" t="str">
        <f>_xlfn.ARRAYTOTEXT(F11:H14,1)</f>
        <v>{1\2\3;4\3\6;7\8\9;10\11\12}</v>
      </c>
      <c r="G16" s="117"/>
      <c r="H16" s="117"/>
    </row>
    <row r="18" spans="1:17" s="21" customFormat="1" x14ac:dyDescent="0.3">
      <c r="A18" s="17"/>
      <c r="B18"/>
      <c r="C18"/>
      <c r="D18"/>
      <c r="E18" s="13" t="s">
        <v>301</v>
      </c>
      <c r="F18" s="80" t="s">
        <v>305</v>
      </c>
      <c r="G18"/>
      <c r="H18"/>
      <c r="I18"/>
      <c r="J18"/>
      <c r="K18" s="15"/>
      <c r="L18" s="15"/>
      <c r="M18" s="15"/>
      <c r="N18" s="15"/>
      <c r="O18" s="15"/>
      <c r="P18" s="15"/>
      <c r="Q18" s="15"/>
    </row>
    <row r="19" spans="1:17" s="21" customFormat="1" x14ac:dyDescent="0.3">
      <c r="A19" s="17"/>
      <c r="B19"/>
      <c r="C19"/>
      <c r="D19"/>
      <c r="E19"/>
      <c r="F19"/>
      <c r="G19"/>
      <c r="H19"/>
      <c r="I19"/>
      <c r="J19"/>
      <c r="K19" s="15" cm="1">
        <f t="array" ref="K19:M22">TEXTTOARRAY($F$16,$F$18,$F$20)</f>
        <v>1</v>
      </c>
      <c r="L19" s="15">
        <v>2</v>
      </c>
      <c r="M19" s="15">
        <v>3</v>
      </c>
      <c r="N19" s="15"/>
      <c r="O19" s="15"/>
      <c r="P19" s="15"/>
      <c r="Q19" s="15"/>
    </row>
    <row r="20" spans="1:17" x14ac:dyDescent="0.3">
      <c r="E20" s="13" t="s">
        <v>302</v>
      </c>
      <c r="F20" s="80" t="s">
        <v>306</v>
      </c>
      <c r="K20" s="15">
        <v>4</v>
      </c>
      <c r="L20" s="15">
        <v>3</v>
      </c>
      <c r="M20" s="15">
        <v>6</v>
      </c>
    </row>
    <row r="21" spans="1:17" s="21" customFormat="1" x14ac:dyDescent="0.3">
      <c r="A21" s="17"/>
      <c r="B21"/>
      <c r="C21"/>
      <c r="D21"/>
      <c r="E21"/>
      <c r="F21"/>
      <c r="G21"/>
      <c r="H21"/>
      <c r="I21"/>
      <c r="J21"/>
      <c r="K21" s="15">
        <v>7</v>
      </c>
      <c r="L21" s="15">
        <v>8</v>
      </c>
      <c r="M21" s="15">
        <v>9</v>
      </c>
      <c r="N21" s="15"/>
      <c r="O21" s="15"/>
      <c r="P21" s="15"/>
      <c r="Q21" s="15"/>
    </row>
    <row r="22" spans="1:17" x14ac:dyDescent="0.3">
      <c r="K22" s="15">
        <v>10</v>
      </c>
      <c r="L22" s="15">
        <v>11</v>
      </c>
      <c r="M22" s="15">
        <v>12</v>
      </c>
    </row>
  </sheetData>
  <mergeCells count="1">
    <mergeCell ref="F16:H16"/>
  </mergeCells>
  <pageMargins left="0.511811024" right="0.511811024" top="0.78740157499999996" bottom="0.78740157499999996" header="0.31496062000000002" footer="0.31496062000000002"/>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7A682-3F30-4F2C-87E0-751F5AC701F0}">
  <sheetPr codeName="Planilha27">
    <tabColor theme="9" tint="0.59999389629810485"/>
  </sheetPr>
  <dimension ref="A1:R111"/>
  <sheetViews>
    <sheetView showGridLines="0" workbookViewId="0">
      <selection activeCell="J12" sqref="J12"/>
    </sheetView>
  </sheetViews>
  <sheetFormatPr defaultColWidth="8.85546875" defaultRowHeight="18.75" x14ac:dyDescent="0.3"/>
  <cols>
    <col min="1" max="1" width="12.7109375" style="17" customWidth="1"/>
    <col min="2" max="3" width="26.28515625" customWidth="1"/>
    <col min="4" max="4" width="8.85546875" customWidth="1"/>
    <col min="10" max="10" width="11.28515625" style="15" bestFit="1" customWidth="1"/>
    <col min="11" max="18" width="8.85546875" style="15"/>
  </cols>
  <sheetData>
    <row r="1" spans="1:18" x14ac:dyDescent="0.3">
      <c r="A1" s="16" t="s">
        <v>322</v>
      </c>
      <c r="J1" s="14"/>
      <c r="K1" s="14"/>
      <c r="L1" s="14"/>
      <c r="M1" s="14"/>
      <c r="N1" s="14"/>
      <c r="O1" s="14"/>
      <c r="P1" s="14"/>
      <c r="Q1" s="14"/>
      <c r="R1" s="14"/>
    </row>
    <row r="2" spans="1:18" x14ac:dyDescent="0.3">
      <c r="A2" s="17" t="s">
        <v>333</v>
      </c>
      <c r="J2" s="14"/>
      <c r="K2" s="14"/>
      <c r="L2" s="14"/>
      <c r="M2" s="14"/>
      <c r="N2" s="14"/>
      <c r="O2" s="14"/>
      <c r="P2" s="14"/>
      <c r="Q2" s="14"/>
      <c r="R2" s="14"/>
    </row>
    <row r="3" spans="1:18" x14ac:dyDescent="0.3">
      <c r="L3" s="27"/>
    </row>
    <row r="4" spans="1:18" ht="15.75" x14ac:dyDescent="0.25">
      <c r="A4" s="2" t="s">
        <v>15</v>
      </c>
      <c r="B4" s="2" t="s">
        <v>16</v>
      </c>
      <c r="C4" s="2"/>
      <c r="L4" s="27"/>
    </row>
    <row r="5" spans="1:18" ht="31.5" x14ac:dyDescent="0.25">
      <c r="A5" s="23" t="s">
        <v>22</v>
      </c>
      <c r="B5" s="26" t="s">
        <v>327</v>
      </c>
      <c r="C5" s="26"/>
      <c r="L5" s="27"/>
    </row>
    <row r="6" spans="1:18" ht="63" x14ac:dyDescent="0.25">
      <c r="A6" s="23" t="s">
        <v>323</v>
      </c>
      <c r="B6" s="26" t="s">
        <v>326</v>
      </c>
      <c r="C6" s="26"/>
      <c r="L6" s="27"/>
    </row>
    <row r="7" spans="1:18" ht="47.25" x14ac:dyDescent="0.25">
      <c r="A7" s="23" t="s">
        <v>324</v>
      </c>
      <c r="B7" s="26" t="s">
        <v>325</v>
      </c>
      <c r="C7" s="26"/>
      <c r="L7" s="27"/>
    </row>
    <row r="8" spans="1:18" ht="15.75" x14ac:dyDescent="0.25">
      <c r="A8" s="23"/>
      <c r="B8" s="26"/>
      <c r="C8" s="26"/>
      <c r="L8" s="27"/>
    </row>
    <row r="9" spans="1:18" ht="15.75" x14ac:dyDescent="0.25">
      <c r="A9" s="2" t="s">
        <v>328</v>
      </c>
      <c r="L9" s="27"/>
    </row>
    <row r="10" spans="1:18" ht="15.75" x14ac:dyDescent="0.25">
      <c r="A10" s="23" t="s">
        <v>329</v>
      </c>
      <c r="L10" s="27"/>
    </row>
    <row r="11" spans="1:18" x14ac:dyDescent="0.3">
      <c r="L11" s="27"/>
    </row>
    <row r="12" spans="1:18" x14ac:dyDescent="0.3">
      <c r="D12" s="1" t="s">
        <v>17</v>
      </c>
      <c r="E12" s="13" t="s">
        <v>22</v>
      </c>
      <c r="F12" s="12">
        <v>1</v>
      </c>
      <c r="G12" s="12">
        <v>2</v>
      </c>
      <c r="H12" s="12">
        <v>2</v>
      </c>
      <c r="J12" s="28" cm="1">
        <f t="array" ref="J12:J14">_xlfn.LAMBDA(_xlpm.matrix,_xlop.minInteger,_xlop.maxInteger,
_xlfn.LET(
_xlpm.minInteger, IF( _xlfn.ISOMITTED(_xlpm.minInteger), MIN(_xlpm.matrix), _xlpm.minInteger ),
_xlpm.maxInteger, IF( _xlfn.ISOMITTED(_xlpm.maxInteger), MAX(_xlpm.matrix), _xlpm.maxInteger ),
IFERROR( _xlfn.UNIQUE(VERTCAT(VEC(_xlpm.matrix), _xlfn.SEQUENCE(_xlpm.maxInteger-_xlpm.minInteger+1,1,_xlpm.minInteger)),FALSE,TRUE), NA())
))(F12:H16)</f>
        <v>4</v>
      </c>
      <c r="L12" s="27"/>
    </row>
    <row r="13" spans="1:18" x14ac:dyDescent="0.3">
      <c r="F13" s="12">
        <v>3</v>
      </c>
      <c r="G13" s="12">
        <v>3</v>
      </c>
      <c r="H13" s="12">
        <v>3</v>
      </c>
      <c r="J13" s="28">
        <v>8</v>
      </c>
      <c r="L13" s="27"/>
    </row>
    <row r="14" spans="1:18" x14ac:dyDescent="0.3">
      <c r="F14" s="12">
        <v>5</v>
      </c>
      <c r="G14" s="12">
        <v>6</v>
      </c>
      <c r="H14" s="12">
        <v>6</v>
      </c>
      <c r="J14" s="28">
        <v>11</v>
      </c>
      <c r="L14" s="27"/>
    </row>
    <row r="15" spans="1:18" x14ac:dyDescent="0.3">
      <c r="F15" s="12">
        <v>7</v>
      </c>
      <c r="G15" s="12">
        <v>7</v>
      </c>
      <c r="H15" s="12">
        <v>7</v>
      </c>
      <c r="J15" s="27"/>
      <c r="L15" s="27"/>
    </row>
    <row r="16" spans="1:18" x14ac:dyDescent="0.3">
      <c r="F16" s="12">
        <v>9</v>
      </c>
      <c r="G16" s="12">
        <v>10</v>
      </c>
      <c r="H16" s="12">
        <v>12</v>
      </c>
      <c r="J16" s="27"/>
      <c r="L16" s="27"/>
    </row>
    <row r="17" spans="4:12" x14ac:dyDescent="0.3">
      <c r="J17" s="27"/>
      <c r="L17" s="27"/>
    </row>
    <row r="18" spans="4:12" x14ac:dyDescent="0.3">
      <c r="J18" s="27"/>
      <c r="L18" s="27"/>
    </row>
    <row r="19" spans="4:12" x14ac:dyDescent="0.3">
      <c r="D19" s="1" t="s">
        <v>17</v>
      </c>
      <c r="E19" s="13" t="s">
        <v>22</v>
      </c>
      <c r="F19" s="12">
        <v>1</v>
      </c>
      <c r="G19" s="12">
        <v>2</v>
      </c>
      <c r="H19" s="12">
        <v>3</v>
      </c>
      <c r="J19" s="28" t="e" cm="1">
        <f t="array" ref="J19">COMPLEMENT(F19:H20)</f>
        <v>#N/A</v>
      </c>
      <c r="L19" s="27"/>
    </row>
    <row r="20" spans="4:12" x14ac:dyDescent="0.3">
      <c r="F20" s="12">
        <v>4</v>
      </c>
      <c r="G20" s="12">
        <v>5</v>
      </c>
      <c r="H20" s="12">
        <v>6</v>
      </c>
      <c r="J20" s="27"/>
      <c r="L20" s="27"/>
    </row>
    <row r="21" spans="4:12" x14ac:dyDescent="0.3">
      <c r="J21" s="27"/>
      <c r="L21" s="27"/>
    </row>
    <row r="22" spans="4:12" x14ac:dyDescent="0.3">
      <c r="J22" s="27"/>
      <c r="L22" s="27"/>
    </row>
    <row r="23" spans="4:12" x14ac:dyDescent="0.3">
      <c r="J23" s="27"/>
      <c r="L23" s="27"/>
    </row>
    <row r="24" spans="4:12" x14ac:dyDescent="0.3">
      <c r="J24" s="27"/>
      <c r="L24" s="27"/>
    </row>
    <row r="25" spans="4:12" x14ac:dyDescent="0.3">
      <c r="J25" s="27"/>
      <c r="L25" s="27"/>
    </row>
    <row r="26" spans="4:12" x14ac:dyDescent="0.3">
      <c r="J26" s="27"/>
      <c r="L26" s="27"/>
    </row>
    <row r="27" spans="4:12" x14ac:dyDescent="0.3">
      <c r="J27" s="27"/>
      <c r="L27" s="27"/>
    </row>
    <row r="28" spans="4:12" x14ac:dyDescent="0.3">
      <c r="J28" s="27"/>
      <c r="L28" s="27"/>
    </row>
    <row r="29" spans="4:12" x14ac:dyDescent="0.3">
      <c r="J29" s="27"/>
      <c r="L29" s="27"/>
    </row>
    <row r="30" spans="4:12" x14ac:dyDescent="0.3">
      <c r="J30" s="27"/>
      <c r="L30" s="27"/>
    </row>
    <row r="31" spans="4:12" x14ac:dyDescent="0.3">
      <c r="J31" s="27"/>
      <c r="L31" s="27"/>
    </row>
    <row r="32" spans="4:12" x14ac:dyDescent="0.3">
      <c r="J32" s="27"/>
      <c r="L32" s="27"/>
    </row>
    <row r="33" spans="10:12" x14ac:dyDescent="0.3">
      <c r="J33" s="27"/>
      <c r="L33" s="27"/>
    </row>
    <row r="34" spans="10:12" x14ac:dyDescent="0.3">
      <c r="J34" s="27"/>
      <c r="L34" s="27"/>
    </row>
    <row r="35" spans="10:12" x14ac:dyDescent="0.3">
      <c r="J35" s="27"/>
      <c r="L35" s="27"/>
    </row>
    <row r="36" spans="10:12" x14ac:dyDescent="0.3">
      <c r="J36" s="27"/>
      <c r="L36" s="27"/>
    </row>
    <row r="37" spans="10:12" x14ac:dyDescent="0.3">
      <c r="J37" s="27"/>
      <c r="L37" s="27"/>
    </row>
    <row r="38" spans="10:12" x14ac:dyDescent="0.3">
      <c r="J38" s="27"/>
      <c r="L38" s="27"/>
    </row>
    <row r="39" spans="10:12" x14ac:dyDescent="0.3">
      <c r="J39" s="27"/>
      <c r="L39" s="27"/>
    </row>
    <row r="40" spans="10:12" x14ac:dyDescent="0.3">
      <c r="J40" s="27"/>
      <c r="L40" s="27"/>
    </row>
    <row r="41" spans="10:12" x14ac:dyDescent="0.3">
      <c r="J41" s="27"/>
      <c r="L41" s="27"/>
    </row>
    <row r="42" spans="10:12" x14ac:dyDescent="0.3">
      <c r="J42" s="27"/>
      <c r="L42" s="27"/>
    </row>
    <row r="43" spans="10:12" x14ac:dyDescent="0.3">
      <c r="J43" s="27"/>
      <c r="L43" s="27"/>
    </row>
    <row r="44" spans="10:12" x14ac:dyDescent="0.3">
      <c r="J44" s="27"/>
      <c r="L44" s="27"/>
    </row>
    <row r="45" spans="10:12" x14ac:dyDescent="0.3">
      <c r="J45" s="27"/>
      <c r="L45" s="27"/>
    </row>
    <row r="46" spans="10:12" x14ac:dyDescent="0.3">
      <c r="J46" s="27"/>
      <c r="L46" s="27"/>
    </row>
    <row r="47" spans="10:12" x14ac:dyDescent="0.3">
      <c r="J47" s="27"/>
      <c r="L47" s="27"/>
    </row>
    <row r="48" spans="10:12" x14ac:dyDescent="0.3">
      <c r="J48" s="27"/>
      <c r="L48" s="27"/>
    </row>
    <row r="49" spans="10:12" x14ac:dyDescent="0.3">
      <c r="J49" s="27"/>
      <c r="L49" s="27"/>
    </row>
    <row r="50" spans="10:12" x14ac:dyDescent="0.3">
      <c r="J50" s="27"/>
      <c r="L50" s="27"/>
    </row>
    <row r="51" spans="10:12" x14ac:dyDescent="0.3">
      <c r="J51" s="27"/>
      <c r="L51" s="27"/>
    </row>
    <row r="52" spans="10:12" x14ac:dyDescent="0.3">
      <c r="J52" s="27"/>
      <c r="L52" s="27"/>
    </row>
    <row r="53" spans="10:12" x14ac:dyDescent="0.3">
      <c r="J53" s="27"/>
      <c r="L53" s="27"/>
    </row>
    <row r="54" spans="10:12" x14ac:dyDescent="0.3">
      <c r="J54" s="27"/>
      <c r="L54" s="27"/>
    </row>
    <row r="55" spans="10:12" x14ac:dyDescent="0.3">
      <c r="J55" s="27"/>
      <c r="L55" s="27"/>
    </row>
    <row r="56" spans="10:12" x14ac:dyDescent="0.3">
      <c r="J56" s="27"/>
      <c r="L56" s="27"/>
    </row>
    <row r="57" spans="10:12" x14ac:dyDescent="0.3">
      <c r="J57" s="27"/>
      <c r="L57" s="27"/>
    </row>
    <row r="58" spans="10:12" x14ac:dyDescent="0.3">
      <c r="J58" s="27"/>
      <c r="L58" s="27"/>
    </row>
    <row r="59" spans="10:12" x14ac:dyDescent="0.3">
      <c r="J59" s="27"/>
      <c r="L59" s="27"/>
    </row>
    <row r="60" spans="10:12" x14ac:dyDescent="0.3">
      <c r="J60" s="27"/>
      <c r="L60" s="27"/>
    </row>
    <row r="61" spans="10:12" x14ac:dyDescent="0.3">
      <c r="J61" s="27"/>
      <c r="L61" s="27"/>
    </row>
    <row r="62" spans="10:12" x14ac:dyDescent="0.3">
      <c r="J62" s="27"/>
      <c r="L62" s="27"/>
    </row>
    <row r="63" spans="10:12" x14ac:dyDescent="0.3">
      <c r="J63" s="27"/>
      <c r="L63" s="27"/>
    </row>
    <row r="64" spans="10:12" x14ac:dyDescent="0.3">
      <c r="J64" s="27"/>
      <c r="L64" s="27"/>
    </row>
    <row r="65" spans="10:12" x14ac:dyDescent="0.3">
      <c r="J65" s="27"/>
      <c r="L65" s="27"/>
    </row>
    <row r="66" spans="10:12" x14ac:dyDescent="0.3">
      <c r="J66" s="27"/>
      <c r="L66" s="27"/>
    </row>
    <row r="67" spans="10:12" x14ac:dyDescent="0.3">
      <c r="J67" s="27"/>
      <c r="L67" s="27"/>
    </row>
    <row r="68" spans="10:12" x14ac:dyDescent="0.3">
      <c r="J68" s="27"/>
      <c r="L68" s="27"/>
    </row>
    <row r="69" spans="10:12" x14ac:dyDescent="0.3">
      <c r="J69" s="27"/>
      <c r="L69" s="27"/>
    </row>
    <row r="70" spans="10:12" x14ac:dyDescent="0.3">
      <c r="J70" s="27"/>
      <c r="L70" s="27"/>
    </row>
    <row r="71" spans="10:12" x14ac:dyDescent="0.3">
      <c r="J71" s="27"/>
      <c r="L71" s="27"/>
    </row>
    <row r="72" spans="10:12" x14ac:dyDescent="0.3">
      <c r="J72" s="27"/>
      <c r="L72" s="27"/>
    </row>
    <row r="73" spans="10:12" x14ac:dyDescent="0.3">
      <c r="J73" s="27"/>
      <c r="L73" s="27"/>
    </row>
    <row r="74" spans="10:12" x14ac:dyDescent="0.3">
      <c r="J74" s="27"/>
      <c r="L74" s="27"/>
    </row>
    <row r="75" spans="10:12" x14ac:dyDescent="0.3">
      <c r="J75" s="27"/>
      <c r="L75" s="27"/>
    </row>
    <row r="76" spans="10:12" x14ac:dyDescent="0.3">
      <c r="J76" s="27"/>
      <c r="L76" s="27"/>
    </row>
    <row r="77" spans="10:12" x14ac:dyDescent="0.3">
      <c r="J77" s="27"/>
      <c r="L77" s="27"/>
    </row>
    <row r="78" spans="10:12" x14ac:dyDescent="0.3">
      <c r="J78" s="27"/>
      <c r="L78" s="27"/>
    </row>
    <row r="79" spans="10:12" x14ac:dyDescent="0.3">
      <c r="J79" s="27"/>
      <c r="L79" s="27"/>
    </row>
    <row r="80" spans="10:12" x14ac:dyDescent="0.3">
      <c r="J80" s="27"/>
      <c r="L80" s="27"/>
    </row>
    <row r="81" spans="10:12" x14ac:dyDescent="0.3">
      <c r="J81" s="27"/>
      <c r="L81" s="27"/>
    </row>
    <row r="82" spans="10:12" x14ac:dyDescent="0.3">
      <c r="J82" s="27"/>
      <c r="L82" s="27"/>
    </row>
    <row r="83" spans="10:12" x14ac:dyDescent="0.3">
      <c r="J83" s="27"/>
      <c r="L83" s="27"/>
    </row>
    <row r="84" spans="10:12" x14ac:dyDescent="0.3">
      <c r="J84" s="27"/>
      <c r="L84" s="27"/>
    </row>
    <row r="85" spans="10:12" x14ac:dyDescent="0.3">
      <c r="J85" s="27"/>
      <c r="L85" s="27"/>
    </row>
    <row r="86" spans="10:12" x14ac:dyDescent="0.3">
      <c r="J86" s="27"/>
      <c r="L86" s="27"/>
    </row>
    <row r="87" spans="10:12" x14ac:dyDescent="0.3">
      <c r="J87" s="27"/>
      <c r="L87" s="27"/>
    </row>
    <row r="88" spans="10:12" x14ac:dyDescent="0.3">
      <c r="J88" s="27"/>
      <c r="L88" s="27"/>
    </row>
    <row r="89" spans="10:12" x14ac:dyDescent="0.3">
      <c r="J89" s="27"/>
      <c r="L89" s="27"/>
    </row>
    <row r="90" spans="10:12" x14ac:dyDescent="0.3">
      <c r="J90" s="27"/>
      <c r="L90" s="27"/>
    </row>
    <row r="91" spans="10:12" x14ac:dyDescent="0.3">
      <c r="J91" s="27"/>
      <c r="L91" s="27"/>
    </row>
    <row r="92" spans="10:12" x14ac:dyDescent="0.3">
      <c r="J92" s="27"/>
      <c r="L92" s="27"/>
    </row>
    <row r="93" spans="10:12" x14ac:dyDescent="0.3">
      <c r="J93" s="27"/>
      <c r="L93" s="27"/>
    </row>
    <row r="94" spans="10:12" x14ac:dyDescent="0.3">
      <c r="J94" s="27"/>
      <c r="L94" s="27"/>
    </row>
    <row r="95" spans="10:12" x14ac:dyDescent="0.3">
      <c r="J95" s="27"/>
      <c r="L95" s="27"/>
    </row>
    <row r="96" spans="10:12" x14ac:dyDescent="0.3">
      <c r="J96" s="27"/>
      <c r="L96" s="27"/>
    </row>
    <row r="97" spans="10:12" x14ac:dyDescent="0.3">
      <c r="J97" s="27"/>
      <c r="L97" s="27"/>
    </row>
    <row r="98" spans="10:12" x14ac:dyDescent="0.3">
      <c r="J98" s="27"/>
      <c r="L98" s="27"/>
    </row>
    <row r="99" spans="10:12" x14ac:dyDescent="0.3">
      <c r="J99" s="27"/>
      <c r="L99" s="27"/>
    </row>
    <row r="100" spans="10:12" x14ac:dyDescent="0.3">
      <c r="J100" s="27"/>
      <c r="L100" s="27"/>
    </row>
    <row r="101" spans="10:12" x14ac:dyDescent="0.3">
      <c r="J101" s="27"/>
      <c r="L101" s="27"/>
    </row>
    <row r="102" spans="10:12" x14ac:dyDescent="0.3">
      <c r="J102" s="27"/>
      <c r="L102" s="27"/>
    </row>
    <row r="103" spans="10:12" x14ac:dyDescent="0.3">
      <c r="J103" s="27"/>
      <c r="L103" s="27"/>
    </row>
    <row r="104" spans="10:12" x14ac:dyDescent="0.3">
      <c r="J104" s="27"/>
      <c r="L104" s="27"/>
    </row>
    <row r="105" spans="10:12" x14ac:dyDescent="0.3">
      <c r="J105" s="27"/>
      <c r="L105" s="27"/>
    </row>
    <row r="106" spans="10:12" x14ac:dyDescent="0.3">
      <c r="J106" s="27"/>
      <c r="L106" s="27"/>
    </row>
    <row r="107" spans="10:12" x14ac:dyDescent="0.3">
      <c r="J107" s="27"/>
      <c r="L107" s="27"/>
    </row>
    <row r="108" spans="10:12" x14ac:dyDescent="0.3">
      <c r="J108" s="27"/>
      <c r="L108" s="27"/>
    </row>
    <row r="109" spans="10:12" x14ac:dyDescent="0.3">
      <c r="J109" s="27"/>
      <c r="L109" s="27"/>
    </row>
    <row r="110" spans="10:12" x14ac:dyDescent="0.3">
      <c r="J110" s="27"/>
      <c r="L110" s="27"/>
    </row>
    <row r="111" spans="10:12" x14ac:dyDescent="0.3">
      <c r="J111" s="27"/>
      <c r="L111" s="27"/>
    </row>
  </sheetData>
  <pageMargins left="0.511811024" right="0.511811024" top="0.78740157499999996" bottom="0.78740157499999996" header="0.31496062000000002" footer="0.31496062000000002"/>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27B24-7818-435A-BA81-AEC859389AE6}">
  <sheetPr>
    <tabColor theme="9" tint="0.59999389629810485"/>
  </sheetPr>
  <dimension ref="A1:U112"/>
  <sheetViews>
    <sheetView showGridLines="0" workbookViewId="0">
      <selection activeCell="G16" sqref="G16"/>
    </sheetView>
  </sheetViews>
  <sheetFormatPr defaultColWidth="8.85546875" defaultRowHeight="18.75" x14ac:dyDescent="0.3"/>
  <cols>
    <col min="1" max="1" width="12.7109375" style="17" customWidth="1"/>
    <col min="2" max="3" width="26.28515625" customWidth="1"/>
    <col min="4" max="4" width="8.85546875" customWidth="1"/>
    <col min="10" max="11" width="12.42578125" bestFit="1" customWidth="1"/>
    <col min="13" max="15" width="11.28515625" style="15" bestFit="1" customWidth="1"/>
    <col min="16" max="19" width="8.85546875" style="15"/>
    <col min="20" max="20" width="10.5703125" style="15" customWidth="1"/>
    <col min="21" max="21" width="8.85546875" style="15"/>
  </cols>
  <sheetData>
    <row r="1" spans="1:21" x14ac:dyDescent="0.3">
      <c r="A1" s="16" t="s">
        <v>399</v>
      </c>
      <c r="M1" s="14"/>
      <c r="N1" s="14"/>
      <c r="O1" s="14"/>
      <c r="P1" s="14"/>
      <c r="Q1" s="14"/>
      <c r="R1" s="14"/>
      <c r="S1" s="14"/>
      <c r="T1" s="14"/>
      <c r="U1" s="14"/>
    </row>
    <row r="2" spans="1:21" x14ac:dyDescent="0.3">
      <c r="A2" s="17" t="s">
        <v>408</v>
      </c>
      <c r="M2" s="14"/>
      <c r="N2" s="14"/>
      <c r="O2" s="14"/>
      <c r="P2" s="14"/>
      <c r="Q2" s="14"/>
      <c r="R2" s="14"/>
      <c r="S2" s="14"/>
      <c r="T2" s="14"/>
      <c r="U2" s="14"/>
    </row>
    <row r="3" spans="1:21" ht="15" x14ac:dyDescent="0.25">
      <c r="A3" t="s">
        <v>407</v>
      </c>
    </row>
    <row r="4" spans="1:21" ht="15" x14ac:dyDescent="0.25">
      <c r="A4" s="86"/>
    </row>
    <row r="5" spans="1:21" ht="15.75" x14ac:dyDescent="0.25">
      <c r="A5" s="2" t="s">
        <v>15</v>
      </c>
      <c r="B5" s="2" t="s">
        <v>16</v>
      </c>
      <c r="C5" s="2"/>
    </row>
    <row r="6" spans="1:21" ht="31.5" x14ac:dyDescent="0.25">
      <c r="A6" s="23" t="s">
        <v>400</v>
      </c>
      <c r="B6" s="26" t="s">
        <v>327</v>
      </c>
      <c r="C6" s="26"/>
    </row>
    <row r="7" spans="1:21" ht="63" x14ac:dyDescent="0.25">
      <c r="A7" s="23" t="s">
        <v>401</v>
      </c>
      <c r="B7" s="26" t="s">
        <v>406</v>
      </c>
      <c r="C7" s="26"/>
    </row>
    <row r="8" spans="1:21" ht="47.25" x14ac:dyDescent="0.25">
      <c r="A8" s="23" t="s">
        <v>402</v>
      </c>
      <c r="B8" s="26" t="s">
        <v>403</v>
      </c>
      <c r="C8" s="26"/>
    </row>
    <row r="9" spans="1:21" ht="15.75" x14ac:dyDescent="0.25">
      <c r="A9" s="23"/>
      <c r="B9" s="26"/>
      <c r="C9" s="26"/>
    </row>
    <row r="10" spans="1:21" ht="15.75" x14ac:dyDescent="0.25">
      <c r="A10" s="23"/>
    </row>
    <row r="11" spans="1:21" ht="15.75" x14ac:dyDescent="0.25">
      <c r="A11" s="23"/>
    </row>
    <row r="12" spans="1:21" x14ac:dyDescent="0.3">
      <c r="J12" s="49" t="s">
        <v>404</v>
      </c>
      <c r="K12" s="49" t="s">
        <v>405</v>
      </c>
    </row>
    <row r="13" spans="1:21" x14ac:dyDescent="0.3">
      <c r="D13" s="1" t="s">
        <v>17</v>
      </c>
      <c r="E13" s="13" t="s">
        <v>400</v>
      </c>
      <c r="F13" s="12">
        <v>1</v>
      </c>
      <c r="G13" s="12">
        <v>2</v>
      </c>
      <c r="H13" s="12">
        <v>2</v>
      </c>
      <c r="J13" s="12" t="b">
        <v>1</v>
      </c>
      <c r="K13" s="12" t="b">
        <v>1</v>
      </c>
      <c r="M13" s="28" cm="1">
        <f t="array" ref="M13:O17">_xlfn.LAMBDA(_xlpm.range,_xlop.sortRows,_xlop.asc,
    _xlfn.LET(
        _xlpm.asc, IF(_xlfn.ISOMITTED(_xlpm.asc),TRUE,_xlpm.asc),
        _xlpm.nRows, ROWS(_xlpm.range),
        _xlpm.mCols, COLUMNS(_xlpm.range),
        _xlfn.SWITCH(IF(_xlpm.sortRows,1), 1,
            _xlfn.MAKEARRAY(_xlpm.nRows,_xlpm.mCols,
                _xlfn.LAMBDA(_xlpm.i,_xlpm.j,
                    INDEX( _xlfn.BYROW(_xlpm.range,
                            _xlfn.LAMBDA(_xlpm.value,
                                IF( _xlpm.asc,
                                    _xlfn.LET(_xlpm.sortedValue, _xlfn._xlws.SORT(_xlpm.value,,,TRUE), SLICE(_xlpm.sortedValue,1,1,_xlpm.j,_xlpm.j)),
                                    _xlfn.LET(_xlpm.sortedValue, _xlfn._xlws.SORT(_xlpm.value,,-1,TRUE), SLICE(_xlpm.sortedValue, 1,1,_xlpm.j,_xlpm.j))
                                )
                            )
                    ), _xlpm.i, 1)
                )
            ),
            _xlfn.MAKEARRAY(_xlpm.nRows,_xlpm.mCols,
                _xlfn.LAMBDA(_xlpm.i,_xlpm.j,
                    INDEX( _xlfn.BYCOL(_xlpm.range,
                        _xlfn.LAMBDA(_xlpm.value,
                            IF( _xlpm.asc,
                                _xlfn.LET(_xlpm.sortedValue, _xlfn._xlws.SORT(_xlpm.value,,,FALSE), SLICE(_xlpm.sortedValue, _xlpm.i, _xlpm.i, 1, 1)),
                                _xlfn.LET(_xlpm.sortedValue, _xlfn._xlws.SORT(_xlpm.value,,-1,FALSE), SLICE(_xlpm.sortedValue, _xlpm.i, _xlpm.i, 1, 1))
                            )
                        )
                    ), 1, _xlpm.j)
                )
            )
        )
    )
)(F13:H17,$J$13,$K$13)</f>
        <v>1</v>
      </c>
      <c r="N13" s="28">
        <v>2</v>
      </c>
      <c r="O13" s="28">
        <v>2</v>
      </c>
    </row>
    <row r="14" spans="1:21" x14ac:dyDescent="0.3">
      <c r="F14" s="12" t="s">
        <v>341</v>
      </c>
      <c r="G14" s="12" t="s">
        <v>340</v>
      </c>
      <c r="H14" s="12">
        <v>1</v>
      </c>
      <c r="M14" s="28">
        <v>1</v>
      </c>
      <c r="N14" s="28" t="str">
        <v>a</v>
      </c>
      <c r="O14" s="28" t="str">
        <v>b</v>
      </c>
    </row>
    <row r="15" spans="1:21" x14ac:dyDescent="0.3">
      <c r="F15" s="12">
        <v>5</v>
      </c>
      <c r="G15" s="12">
        <v>6</v>
      </c>
      <c r="H15" s="12">
        <v>6</v>
      </c>
      <c r="M15" s="28">
        <v>5</v>
      </c>
      <c r="N15" s="28">
        <v>6</v>
      </c>
      <c r="O15" s="28">
        <v>6</v>
      </c>
    </row>
    <row r="16" spans="1:21" x14ac:dyDescent="0.3">
      <c r="F16" s="12">
        <v>7</v>
      </c>
      <c r="G16" s="12">
        <v>7</v>
      </c>
      <c r="H16" s="12">
        <v>5</v>
      </c>
      <c r="M16" s="28">
        <v>5</v>
      </c>
      <c r="N16" s="28">
        <v>7</v>
      </c>
      <c r="O16" s="28">
        <v>7</v>
      </c>
    </row>
    <row r="17" spans="1:15" x14ac:dyDescent="0.3">
      <c r="F17" s="12">
        <v>9</v>
      </c>
      <c r="G17" s="12">
        <v>10</v>
      </c>
      <c r="H17" s="12">
        <v>12</v>
      </c>
      <c r="M17" s="28">
        <v>9</v>
      </c>
      <c r="N17" s="28">
        <v>10</v>
      </c>
      <c r="O17" s="28">
        <v>12</v>
      </c>
    </row>
    <row r="18" spans="1:15" s="15" customFormat="1" x14ac:dyDescent="0.3">
      <c r="A18" s="17"/>
      <c r="B18"/>
      <c r="C18"/>
      <c r="D18"/>
      <c r="E18"/>
      <c r="F18"/>
      <c r="G18"/>
      <c r="H18"/>
      <c r="I18"/>
      <c r="J18"/>
      <c r="K18"/>
      <c r="L18"/>
      <c r="M18" s="27"/>
      <c r="N18" s="27"/>
      <c r="O18" s="27"/>
    </row>
    <row r="19" spans="1:15" s="15" customFormat="1" x14ac:dyDescent="0.3">
      <c r="A19" s="17"/>
      <c r="B19"/>
      <c r="C19"/>
      <c r="D19"/>
      <c r="E19"/>
      <c r="F19"/>
      <c r="G19"/>
      <c r="H19"/>
      <c r="I19"/>
      <c r="J19" s="49" t="s">
        <v>404</v>
      </c>
      <c r="K19" s="49" t="s">
        <v>405</v>
      </c>
      <c r="L19"/>
      <c r="M19" s="27"/>
      <c r="N19" s="27"/>
      <c r="O19" s="27"/>
    </row>
    <row r="20" spans="1:15" s="15" customFormat="1" x14ac:dyDescent="0.3">
      <c r="A20" s="17"/>
      <c r="B20"/>
      <c r="C20"/>
      <c r="D20" s="1" t="s">
        <v>17</v>
      </c>
      <c r="E20" s="13" t="s">
        <v>400</v>
      </c>
      <c r="F20" s="12">
        <v>10</v>
      </c>
      <c r="G20" s="12">
        <v>2</v>
      </c>
      <c r="H20" s="12">
        <v>30</v>
      </c>
      <c r="I20"/>
      <c r="J20" s="12" t="b">
        <v>0</v>
      </c>
      <c r="K20" s="12" t="b">
        <v>1</v>
      </c>
      <c r="L20"/>
      <c r="M20" s="28" cm="1">
        <f t="array" ref="M20:O21">SORTRANGE($F$20:$H$21,$J$20,$K$20)</f>
        <v>4</v>
      </c>
      <c r="N20" s="28">
        <v>2</v>
      </c>
      <c r="O20" s="28">
        <v>6</v>
      </c>
    </row>
    <row r="21" spans="1:15" s="15" customFormat="1" x14ac:dyDescent="0.3">
      <c r="A21" s="17"/>
      <c r="B21"/>
      <c r="C21"/>
      <c r="D21"/>
      <c r="E21"/>
      <c r="F21" s="12">
        <v>4</v>
      </c>
      <c r="G21" s="12">
        <v>50</v>
      </c>
      <c r="H21" s="12">
        <v>6</v>
      </c>
      <c r="I21"/>
      <c r="J21"/>
      <c r="K21"/>
      <c r="L21"/>
      <c r="M21" s="28">
        <v>10</v>
      </c>
      <c r="N21" s="28">
        <v>50</v>
      </c>
      <c r="O21" s="28">
        <v>30</v>
      </c>
    </row>
    <row r="22" spans="1:15" s="15" customFormat="1" x14ac:dyDescent="0.3">
      <c r="A22" s="17"/>
      <c r="B22"/>
      <c r="C22"/>
      <c r="D22"/>
      <c r="E22"/>
      <c r="F22"/>
      <c r="G22"/>
      <c r="H22"/>
      <c r="I22"/>
      <c r="J22"/>
      <c r="K22"/>
      <c r="L22"/>
      <c r="M22" s="27"/>
      <c r="N22" s="27"/>
      <c r="O22" s="27"/>
    </row>
    <row r="23" spans="1:15" s="15" customFormat="1" x14ac:dyDescent="0.3">
      <c r="A23" s="17"/>
      <c r="B23"/>
      <c r="C23"/>
      <c r="D23"/>
      <c r="E23"/>
      <c r="F23"/>
      <c r="G23"/>
      <c r="H23"/>
      <c r="I23"/>
      <c r="J23"/>
      <c r="K23"/>
      <c r="L23"/>
      <c r="M23" s="27"/>
      <c r="N23" s="27"/>
      <c r="O23" s="27"/>
    </row>
    <row r="24" spans="1:15" s="15" customFormat="1" x14ac:dyDescent="0.3">
      <c r="A24" s="17"/>
      <c r="B24"/>
      <c r="C24"/>
      <c r="D24"/>
      <c r="E24"/>
      <c r="F24"/>
      <c r="G24"/>
      <c r="H24"/>
      <c r="I24"/>
      <c r="J24"/>
      <c r="K24"/>
      <c r="L24"/>
      <c r="M24" s="27"/>
      <c r="N24" s="27"/>
      <c r="O24" s="27"/>
    </row>
    <row r="25" spans="1:15" s="15" customFormat="1" x14ac:dyDescent="0.3">
      <c r="A25" s="17"/>
      <c r="B25"/>
      <c r="C25"/>
      <c r="D25"/>
      <c r="E25"/>
      <c r="F25"/>
      <c r="G25"/>
      <c r="H25"/>
      <c r="I25"/>
      <c r="J25"/>
      <c r="K25"/>
      <c r="L25"/>
      <c r="M25" s="27"/>
      <c r="N25" s="27"/>
      <c r="O25" s="27"/>
    </row>
    <row r="26" spans="1:15" s="15" customFormat="1" x14ac:dyDescent="0.3">
      <c r="A26" s="17"/>
      <c r="B26"/>
      <c r="C26"/>
      <c r="D26"/>
      <c r="E26"/>
      <c r="F26"/>
      <c r="G26"/>
      <c r="H26"/>
      <c r="I26"/>
      <c r="J26"/>
      <c r="K26"/>
      <c r="L26"/>
      <c r="M26" s="27"/>
      <c r="N26" s="27"/>
      <c r="O26" s="27"/>
    </row>
    <row r="27" spans="1:15" s="15" customFormat="1" x14ac:dyDescent="0.3">
      <c r="A27" s="17"/>
      <c r="B27"/>
      <c r="C27"/>
      <c r="D27"/>
      <c r="E27"/>
      <c r="F27"/>
      <c r="G27"/>
      <c r="H27"/>
      <c r="I27"/>
      <c r="J27"/>
      <c r="K27"/>
      <c r="L27"/>
      <c r="M27" s="27"/>
      <c r="N27" s="27"/>
      <c r="O27" s="27"/>
    </row>
    <row r="28" spans="1:15" s="15" customFormat="1" x14ac:dyDescent="0.3">
      <c r="A28" s="17"/>
      <c r="B28"/>
      <c r="C28"/>
      <c r="D28"/>
      <c r="E28"/>
      <c r="F28"/>
      <c r="G28"/>
      <c r="H28"/>
      <c r="I28"/>
      <c r="J28"/>
      <c r="K28"/>
      <c r="L28"/>
      <c r="M28" s="27"/>
      <c r="N28" s="27"/>
      <c r="O28" s="27"/>
    </row>
    <row r="29" spans="1:15" s="15" customFormat="1" x14ac:dyDescent="0.3">
      <c r="A29" s="17"/>
      <c r="B29"/>
      <c r="C29"/>
      <c r="D29"/>
      <c r="E29"/>
      <c r="F29"/>
      <c r="G29"/>
      <c r="H29"/>
      <c r="I29"/>
      <c r="J29"/>
      <c r="K29"/>
      <c r="L29"/>
      <c r="M29" s="27"/>
      <c r="N29" s="27"/>
      <c r="O29" s="27"/>
    </row>
    <row r="30" spans="1:15" s="15" customFormat="1" x14ac:dyDescent="0.3">
      <c r="A30" s="17"/>
      <c r="B30"/>
      <c r="C30"/>
      <c r="D30"/>
      <c r="E30"/>
      <c r="F30"/>
      <c r="G30"/>
      <c r="H30"/>
      <c r="I30"/>
      <c r="J30"/>
      <c r="K30"/>
      <c r="L30"/>
      <c r="M30" s="27"/>
      <c r="N30" s="27"/>
      <c r="O30" s="27"/>
    </row>
    <row r="31" spans="1:15" s="15" customFormat="1" x14ac:dyDescent="0.3">
      <c r="A31" s="17"/>
      <c r="B31"/>
      <c r="C31"/>
      <c r="D31"/>
      <c r="E31"/>
      <c r="F31"/>
      <c r="G31"/>
      <c r="H31"/>
      <c r="I31"/>
      <c r="J31"/>
      <c r="K31"/>
      <c r="L31"/>
      <c r="M31" s="27"/>
      <c r="N31" s="27"/>
      <c r="O31" s="27"/>
    </row>
    <row r="32" spans="1:15" s="15" customFormat="1" x14ac:dyDescent="0.3">
      <c r="A32" s="17"/>
      <c r="B32"/>
      <c r="C32"/>
      <c r="D32"/>
      <c r="E32"/>
      <c r="F32"/>
      <c r="G32"/>
      <c r="H32"/>
      <c r="I32"/>
      <c r="J32"/>
      <c r="K32"/>
      <c r="L32"/>
      <c r="M32" s="27"/>
      <c r="N32" s="27"/>
      <c r="O32" s="27"/>
    </row>
    <row r="33" spans="1:15" s="15" customFormat="1" x14ac:dyDescent="0.3">
      <c r="A33" s="17"/>
      <c r="B33"/>
      <c r="C33"/>
      <c r="D33"/>
      <c r="E33"/>
      <c r="F33"/>
      <c r="G33"/>
      <c r="H33"/>
      <c r="I33"/>
      <c r="J33"/>
      <c r="K33"/>
      <c r="L33"/>
      <c r="M33" s="27"/>
      <c r="N33" s="27"/>
      <c r="O33" s="27"/>
    </row>
    <row r="34" spans="1:15" s="15" customFormat="1" x14ac:dyDescent="0.3">
      <c r="A34" s="17"/>
      <c r="B34"/>
      <c r="C34"/>
      <c r="D34"/>
      <c r="E34"/>
      <c r="F34"/>
      <c r="G34"/>
      <c r="H34"/>
      <c r="I34"/>
      <c r="J34"/>
      <c r="K34"/>
      <c r="L34"/>
      <c r="M34" s="27"/>
      <c r="N34" s="27"/>
      <c r="O34" s="27"/>
    </row>
    <row r="35" spans="1:15" s="15" customFormat="1" x14ac:dyDescent="0.3">
      <c r="A35" s="17"/>
      <c r="B35"/>
      <c r="C35"/>
      <c r="D35"/>
      <c r="E35"/>
      <c r="F35"/>
      <c r="G35"/>
      <c r="H35"/>
      <c r="I35"/>
      <c r="J35"/>
      <c r="K35"/>
      <c r="L35"/>
      <c r="M35" s="27"/>
      <c r="N35" s="27"/>
      <c r="O35" s="27"/>
    </row>
    <row r="36" spans="1:15" s="15" customFormat="1" x14ac:dyDescent="0.3">
      <c r="A36" s="17"/>
      <c r="B36"/>
      <c r="C36"/>
      <c r="D36"/>
      <c r="E36"/>
      <c r="F36"/>
      <c r="G36"/>
      <c r="H36"/>
      <c r="I36"/>
      <c r="J36"/>
      <c r="K36"/>
      <c r="L36"/>
      <c r="M36" s="27"/>
      <c r="N36" s="27"/>
      <c r="O36" s="27"/>
    </row>
    <row r="37" spans="1:15" s="15" customFormat="1" x14ac:dyDescent="0.3">
      <c r="A37" s="17"/>
      <c r="B37"/>
      <c r="C37"/>
      <c r="D37"/>
      <c r="E37"/>
      <c r="F37"/>
      <c r="G37"/>
      <c r="H37"/>
      <c r="I37"/>
      <c r="J37"/>
      <c r="K37"/>
      <c r="L37"/>
      <c r="M37" s="27"/>
      <c r="N37" s="27"/>
      <c r="O37" s="27"/>
    </row>
    <row r="38" spans="1:15" s="15" customFormat="1" x14ac:dyDescent="0.3">
      <c r="A38" s="17"/>
      <c r="B38"/>
      <c r="C38"/>
      <c r="D38"/>
      <c r="E38"/>
      <c r="F38"/>
      <c r="G38"/>
      <c r="H38"/>
      <c r="I38"/>
      <c r="J38"/>
      <c r="K38"/>
      <c r="L38"/>
      <c r="M38" s="27"/>
      <c r="N38" s="27"/>
      <c r="O38" s="27"/>
    </row>
    <row r="39" spans="1:15" s="15" customFormat="1" x14ac:dyDescent="0.3">
      <c r="A39" s="17"/>
      <c r="B39"/>
      <c r="C39"/>
      <c r="D39"/>
      <c r="E39"/>
      <c r="F39"/>
      <c r="G39"/>
      <c r="H39"/>
      <c r="I39"/>
      <c r="J39"/>
      <c r="K39"/>
      <c r="L39"/>
      <c r="M39" s="27"/>
      <c r="N39" s="27"/>
      <c r="O39" s="27"/>
    </row>
    <row r="40" spans="1:15" s="15" customFormat="1" x14ac:dyDescent="0.3">
      <c r="A40" s="17"/>
      <c r="B40"/>
      <c r="C40"/>
      <c r="D40"/>
      <c r="E40"/>
      <c r="F40"/>
      <c r="G40"/>
      <c r="H40"/>
      <c r="I40"/>
      <c r="J40"/>
      <c r="K40"/>
      <c r="L40"/>
      <c r="M40" s="27"/>
      <c r="N40" s="27"/>
      <c r="O40" s="27"/>
    </row>
    <row r="41" spans="1:15" s="15" customFormat="1" x14ac:dyDescent="0.3">
      <c r="A41" s="17"/>
      <c r="B41"/>
      <c r="C41"/>
      <c r="D41"/>
      <c r="E41"/>
      <c r="F41"/>
      <c r="G41"/>
      <c r="H41"/>
      <c r="I41"/>
      <c r="J41"/>
      <c r="K41"/>
      <c r="L41"/>
      <c r="M41" s="27"/>
      <c r="N41" s="27"/>
      <c r="O41" s="27"/>
    </row>
    <row r="42" spans="1:15" s="15" customFormat="1" x14ac:dyDescent="0.3">
      <c r="A42" s="17"/>
      <c r="B42"/>
      <c r="C42"/>
      <c r="D42"/>
      <c r="E42"/>
      <c r="F42"/>
      <c r="G42"/>
      <c r="H42"/>
      <c r="I42"/>
      <c r="J42"/>
      <c r="K42"/>
      <c r="L42"/>
      <c r="M42" s="27"/>
      <c r="N42" s="27"/>
      <c r="O42" s="27"/>
    </row>
    <row r="43" spans="1:15" s="15" customFormat="1" x14ac:dyDescent="0.3">
      <c r="A43" s="17"/>
      <c r="B43"/>
      <c r="C43"/>
      <c r="D43"/>
      <c r="E43"/>
      <c r="F43"/>
      <c r="G43"/>
      <c r="H43"/>
      <c r="I43"/>
      <c r="J43"/>
      <c r="K43"/>
      <c r="L43"/>
      <c r="M43" s="27"/>
      <c r="N43" s="27"/>
      <c r="O43" s="27"/>
    </row>
    <row r="44" spans="1:15" s="15" customFormat="1" x14ac:dyDescent="0.3">
      <c r="A44" s="17"/>
      <c r="B44"/>
      <c r="C44"/>
      <c r="D44"/>
      <c r="E44"/>
      <c r="F44"/>
      <c r="G44"/>
      <c r="H44"/>
      <c r="I44"/>
      <c r="J44"/>
      <c r="K44"/>
      <c r="L44"/>
      <c r="M44" s="27"/>
      <c r="N44" s="27"/>
      <c r="O44" s="27"/>
    </row>
    <row r="45" spans="1:15" s="15" customFormat="1" x14ac:dyDescent="0.3">
      <c r="A45" s="17"/>
      <c r="B45"/>
      <c r="C45"/>
      <c r="D45"/>
      <c r="E45"/>
      <c r="F45"/>
      <c r="G45"/>
      <c r="H45"/>
      <c r="I45"/>
      <c r="J45"/>
      <c r="K45"/>
      <c r="L45"/>
      <c r="M45" s="27"/>
      <c r="N45" s="27"/>
      <c r="O45" s="27"/>
    </row>
    <row r="46" spans="1:15" s="15" customFormat="1" x14ac:dyDescent="0.3">
      <c r="A46" s="17"/>
      <c r="B46"/>
      <c r="C46"/>
      <c r="D46"/>
      <c r="E46"/>
      <c r="F46"/>
      <c r="G46"/>
      <c r="H46"/>
      <c r="I46"/>
      <c r="J46"/>
      <c r="K46"/>
      <c r="L46"/>
      <c r="M46" s="27"/>
      <c r="N46" s="27"/>
      <c r="O46" s="27"/>
    </row>
    <row r="47" spans="1:15" s="15" customFormat="1" x14ac:dyDescent="0.3">
      <c r="A47" s="17"/>
      <c r="B47"/>
      <c r="C47"/>
      <c r="D47"/>
      <c r="E47"/>
      <c r="F47"/>
      <c r="G47"/>
      <c r="H47"/>
      <c r="I47"/>
      <c r="J47"/>
      <c r="K47"/>
      <c r="L47"/>
      <c r="M47" s="27"/>
      <c r="N47" s="27"/>
      <c r="O47" s="27"/>
    </row>
    <row r="48" spans="1:15" s="15" customFormat="1" x14ac:dyDescent="0.3">
      <c r="A48" s="17"/>
      <c r="B48"/>
      <c r="C48"/>
      <c r="D48"/>
      <c r="E48"/>
      <c r="F48"/>
      <c r="G48"/>
      <c r="H48"/>
      <c r="I48"/>
      <c r="J48"/>
      <c r="K48"/>
      <c r="L48"/>
      <c r="M48" s="27"/>
      <c r="N48" s="27"/>
      <c r="O48" s="27"/>
    </row>
    <row r="49" spans="1:15" s="15" customFormat="1" x14ac:dyDescent="0.3">
      <c r="A49" s="17"/>
      <c r="B49"/>
      <c r="C49"/>
      <c r="D49"/>
      <c r="E49"/>
      <c r="F49"/>
      <c r="G49"/>
      <c r="H49"/>
      <c r="I49"/>
      <c r="J49"/>
      <c r="K49"/>
      <c r="L49"/>
      <c r="M49" s="27"/>
      <c r="N49" s="27"/>
      <c r="O49" s="27"/>
    </row>
    <row r="50" spans="1:15" s="15" customFormat="1" x14ac:dyDescent="0.3">
      <c r="A50" s="17"/>
      <c r="B50"/>
      <c r="C50"/>
      <c r="D50"/>
      <c r="E50"/>
      <c r="F50"/>
      <c r="G50"/>
      <c r="H50"/>
      <c r="I50"/>
      <c r="J50"/>
      <c r="K50"/>
      <c r="L50"/>
      <c r="M50" s="27"/>
      <c r="N50" s="27"/>
      <c r="O50" s="27"/>
    </row>
    <row r="51" spans="1:15" s="15" customFormat="1" x14ac:dyDescent="0.3">
      <c r="A51" s="17"/>
      <c r="B51"/>
      <c r="C51"/>
      <c r="D51"/>
      <c r="E51"/>
      <c r="F51"/>
      <c r="G51"/>
      <c r="H51"/>
      <c r="I51"/>
      <c r="J51"/>
      <c r="K51"/>
      <c r="L51"/>
      <c r="M51" s="27"/>
      <c r="N51" s="27"/>
      <c r="O51" s="27"/>
    </row>
    <row r="52" spans="1:15" s="15" customFormat="1" x14ac:dyDescent="0.3">
      <c r="A52" s="17"/>
      <c r="B52"/>
      <c r="C52"/>
      <c r="D52"/>
      <c r="E52"/>
      <c r="F52"/>
      <c r="G52"/>
      <c r="H52"/>
      <c r="I52"/>
      <c r="J52"/>
      <c r="K52"/>
      <c r="L52"/>
      <c r="M52" s="27"/>
      <c r="N52" s="27"/>
      <c r="O52" s="27"/>
    </row>
    <row r="53" spans="1:15" s="15" customFormat="1" x14ac:dyDescent="0.3">
      <c r="A53" s="17"/>
      <c r="B53"/>
      <c r="C53"/>
      <c r="D53"/>
      <c r="E53"/>
      <c r="F53"/>
      <c r="G53"/>
      <c r="H53"/>
      <c r="I53"/>
      <c r="J53"/>
      <c r="K53"/>
      <c r="L53"/>
      <c r="M53" s="27"/>
      <c r="N53" s="27"/>
      <c r="O53" s="27"/>
    </row>
    <row r="54" spans="1:15" s="15" customFormat="1" x14ac:dyDescent="0.3">
      <c r="A54" s="17"/>
      <c r="B54"/>
      <c r="C54"/>
      <c r="D54"/>
      <c r="E54"/>
      <c r="F54"/>
      <c r="G54"/>
      <c r="H54"/>
      <c r="I54"/>
      <c r="J54"/>
      <c r="K54"/>
      <c r="L54"/>
      <c r="M54" s="27"/>
      <c r="N54" s="27"/>
      <c r="O54" s="27"/>
    </row>
    <row r="55" spans="1:15" s="15" customFormat="1" x14ac:dyDescent="0.3">
      <c r="A55" s="17"/>
      <c r="B55"/>
      <c r="C55"/>
      <c r="D55"/>
      <c r="E55"/>
      <c r="F55"/>
      <c r="G55"/>
      <c r="H55"/>
      <c r="I55"/>
      <c r="J55"/>
      <c r="K55"/>
      <c r="L55"/>
      <c r="M55" s="27"/>
      <c r="N55" s="27"/>
      <c r="O55" s="27"/>
    </row>
    <row r="56" spans="1:15" s="15" customFormat="1" x14ac:dyDescent="0.3">
      <c r="A56" s="17"/>
      <c r="B56"/>
      <c r="C56"/>
      <c r="D56"/>
      <c r="E56"/>
      <c r="F56"/>
      <c r="G56"/>
      <c r="H56"/>
      <c r="I56"/>
      <c r="J56"/>
      <c r="K56"/>
      <c r="L56"/>
      <c r="M56" s="27"/>
      <c r="N56" s="27"/>
      <c r="O56" s="27"/>
    </row>
    <row r="57" spans="1:15" s="15" customFormat="1" x14ac:dyDescent="0.3">
      <c r="A57" s="17"/>
      <c r="B57"/>
      <c r="C57"/>
      <c r="D57"/>
      <c r="E57"/>
      <c r="F57"/>
      <c r="G57"/>
      <c r="H57"/>
      <c r="I57"/>
      <c r="J57"/>
      <c r="K57"/>
      <c r="L57"/>
      <c r="M57" s="27"/>
      <c r="N57" s="27"/>
      <c r="O57" s="27"/>
    </row>
    <row r="58" spans="1:15" s="15" customFormat="1" x14ac:dyDescent="0.3">
      <c r="A58" s="17"/>
      <c r="B58"/>
      <c r="C58"/>
      <c r="D58"/>
      <c r="E58"/>
      <c r="F58"/>
      <c r="G58"/>
      <c r="H58"/>
      <c r="I58"/>
      <c r="J58"/>
      <c r="K58"/>
      <c r="L58"/>
      <c r="M58" s="27"/>
      <c r="N58" s="27"/>
      <c r="O58" s="27"/>
    </row>
    <row r="59" spans="1:15" s="15" customFormat="1" x14ac:dyDescent="0.3">
      <c r="A59" s="17"/>
      <c r="B59"/>
      <c r="C59"/>
      <c r="D59"/>
      <c r="E59"/>
      <c r="F59"/>
      <c r="G59"/>
      <c r="H59"/>
      <c r="I59"/>
      <c r="J59"/>
      <c r="K59"/>
      <c r="L59"/>
      <c r="M59" s="27"/>
      <c r="N59" s="27"/>
      <c r="O59" s="27"/>
    </row>
    <row r="60" spans="1:15" s="15" customFormat="1" x14ac:dyDescent="0.3">
      <c r="A60" s="17"/>
      <c r="B60"/>
      <c r="C60"/>
      <c r="D60"/>
      <c r="E60"/>
      <c r="F60"/>
      <c r="G60"/>
      <c r="H60"/>
      <c r="I60"/>
      <c r="J60"/>
      <c r="K60"/>
      <c r="L60"/>
      <c r="M60" s="27"/>
      <c r="N60" s="27"/>
      <c r="O60" s="27"/>
    </row>
    <row r="61" spans="1:15" s="15" customFormat="1" x14ac:dyDescent="0.3">
      <c r="A61" s="17"/>
      <c r="B61"/>
      <c r="C61"/>
      <c r="D61"/>
      <c r="E61"/>
      <c r="F61"/>
      <c r="G61"/>
      <c r="H61"/>
      <c r="I61"/>
      <c r="J61"/>
      <c r="K61"/>
      <c r="L61"/>
      <c r="M61" s="27"/>
      <c r="N61" s="27"/>
      <c r="O61" s="27"/>
    </row>
    <row r="62" spans="1:15" s="15" customFormat="1" x14ac:dyDescent="0.3">
      <c r="A62" s="17"/>
      <c r="B62"/>
      <c r="C62"/>
      <c r="D62"/>
      <c r="E62"/>
      <c r="F62"/>
      <c r="G62"/>
      <c r="H62"/>
      <c r="I62"/>
      <c r="J62"/>
      <c r="K62"/>
      <c r="L62"/>
      <c r="M62" s="27"/>
      <c r="N62" s="27"/>
      <c r="O62" s="27"/>
    </row>
    <row r="63" spans="1:15" s="15" customFormat="1" x14ac:dyDescent="0.3">
      <c r="A63" s="17"/>
      <c r="B63"/>
      <c r="C63"/>
      <c r="D63"/>
      <c r="E63"/>
      <c r="F63"/>
      <c r="G63"/>
      <c r="H63"/>
      <c r="I63"/>
      <c r="J63"/>
      <c r="K63"/>
      <c r="L63"/>
      <c r="M63" s="27"/>
      <c r="N63" s="27"/>
      <c r="O63" s="27"/>
    </row>
    <row r="64" spans="1:15" s="15" customFormat="1" x14ac:dyDescent="0.3">
      <c r="A64" s="17"/>
      <c r="B64"/>
      <c r="C64"/>
      <c r="D64"/>
      <c r="E64"/>
      <c r="F64"/>
      <c r="G64"/>
      <c r="H64"/>
      <c r="I64"/>
      <c r="J64"/>
      <c r="K64"/>
      <c r="L64"/>
      <c r="M64" s="27"/>
      <c r="N64" s="27"/>
      <c r="O64" s="27"/>
    </row>
    <row r="65" spans="1:15" s="15" customFormat="1" x14ac:dyDescent="0.3">
      <c r="A65" s="17"/>
      <c r="B65"/>
      <c r="C65"/>
      <c r="D65"/>
      <c r="E65"/>
      <c r="F65"/>
      <c r="G65"/>
      <c r="H65"/>
      <c r="I65"/>
      <c r="J65"/>
      <c r="K65"/>
      <c r="L65"/>
      <c r="M65" s="27"/>
      <c r="N65" s="27"/>
      <c r="O65" s="27"/>
    </row>
    <row r="66" spans="1:15" s="15" customFormat="1" x14ac:dyDescent="0.3">
      <c r="A66" s="17"/>
      <c r="B66"/>
      <c r="C66"/>
      <c r="D66"/>
      <c r="E66"/>
      <c r="F66"/>
      <c r="G66"/>
      <c r="H66"/>
      <c r="I66"/>
      <c r="J66"/>
      <c r="K66"/>
      <c r="L66"/>
      <c r="M66" s="27"/>
      <c r="N66" s="27"/>
      <c r="O66" s="27"/>
    </row>
    <row r="67" spans="1:15" s="15" customFormat="1" x14ac:dyDescent="0.3">
      <c r="A67" s="17"/>
      <c r="B67"/>
      <c r="C67"/>
      <c r="D67"/>
      <c r="E67"/>
      <c r="F67"/>
      <c r="G67"/>
      <c r="H67"/>
      <c r="I67"/>
      <c r="J67"/>
      <c r="K67"/>
      <c r="L67"/>
      <c r="M67" s="27"/>
      <c r="N67" s="27"/>
      <c r="O67" s="27"/>
    </row>
    <row r="68" spans="1:15" s="15" customFormat="1" x14ac:dyDescent="0.3">
      <c r="A68" s="17"/>
      <c r="B68"/>
      <c r="C68"/>
      <c r="D68"/>
      <c r="E68"/>
      <c r="F68"/>
      <c r="G68"/>
      <c r="H68"/>
      <c r="I68"/>
      <c r="J68"/>
      <c r="K68"/>
      <c r="L68"/>
      <c r="M68" s="27"/>
      <c r="N68" s="27"/>
      <c r="O68" s="27"/>
    </row>
    <row r="69" spans="1:15" s="15" customFormat="1" x14ac:dyDescent="0.3">
      <c r="A69" s="17"/>
      <c r="B69"/>
      <c r="C69"/>
      <c r="D69"/>
      <c r="E69"/>
      <c r="F69"/>
      <c r="G69"/>
      <c r="H69"/>
      <c r="I69"/>
      <c r="J69"/>
      <c r="K69"/>
      <c r="L69"/>
      <c r="M69" s="27"/>
      <c r="N69" s="27"/>
      <c r="O69" s="27"/>
    </row>
    <row r="70" spans="1:15" s="15" customFormat="1" x14ac:dyDescent="0.3">
      <c r="A70" s="17"/>
      <c r="B70"/>
      <c r="C70"/>
      <c r="D70"/>
      <c r="E70"/>
      <c r="F70"/>
      <c r="G70"/>
      <c r="H70"/>
      <c r="I70"/>
      <c r="J70"/>
      <c r="K70"/>
      <c r="L70"/>
      <c r="M70" s="27"/>
      <c r="N70" s="27"/>
      <c r="O70" s="27"/>
    </row>
    <row r="71" spans="1:15" s="15" customFormat="1" x14ac:dyDescent="0.3">
      <c r="A71" s="17"/>
      <c r="B71"/>
      <c r="C71"/>
      <c r="D71"/>
      <c r="E71"/>
      <c r="F71"/>
      <c r="G71"/>
      <c r="H71"/>
      <c r="I71"/>
      <c r="J71"/>
      <c r="K71"/>
      <c r="L71"/>
      <c r="M71" s="27"/>
      <c r="N71" s="27"/>
      <c r="O71" s="27"/>
    </row>
    <row r="72" spans="1:15" s="15" customFormat="1" x14ac:dyDescent="0.3">
      <c r="A72" s="17"/>
      <c r="B72"/>
      <c r="C72"/>
      <c r="D72"/>
      <c r="E72"/>
      <c r="F72"/>
      <c r="G72"/>
      <c r="H72"/>
      <c r="I72"/>
      <c r="J72"/>
      <c r="K72"/>
      <c r="L72"/>
      <c r="M72" s="27"/>
      <c r="N72" s="27"/>
      <c r="O72" s="27"/>
    </row>
    <row r="73" spans="1:15" s="15" customFormat="1" x14ac:dyDescent="0.3">
      <c r="A73" s="17"/>
      <c r="B73"/>
      <c r="C73"/>
      <c r="D73"/>
      <c r="E73"/>
      <c r="F73"/>
      <c r="G73"/>
      <c r="H73"/>
      <c r="I73"/>
      <c r="J73"/>
      <c r="K73"/>
      <c r="L73"/>
      <c r="M73" s="27"/>
      <c r="N73" s="27"/>
      <c r="O73" s="27"/>
    </row>
    <row r="74" spans="1:15" s="15" customFormat="1" x14ac:dyDescent="0.3">
      <c r="A74" s="17"/>
      <c r="B74"/>
      <c r="C74"/>
      <c r="D74"/>
      <c r="E74"/>
      <c r="F74"/>
      <c r="G74"/>
      <c r="H74"/>
      <c r="I74"/>
      <c r="J74"/>
      <c r="K74"/>
      <c r="L74"/>
      <c r="M74" s="27"/>
      <c r="N74" s="27"/>
      <c r="O74" s="27"/>
    </row>
    <row r="75" spans="1:15" s="15" customFormat="1" x14ac:dyDescent="0.3">
      <c r="A75" s="17"/>
      <c r="B75"/>
      <c r="C75"/>
      <c r="D75"/>
      <c r="E75"/>
      <c r="F75"/>
      <c r="G75"/>
      <c r="H75"/>
      <c r="I75"/>
      <c r="J75"/>
      <c r="K75"/>
      <c r="L75"/>
      <c r="M75" s="27"/>
      <c r="N75" s="27"/>
      <c r="O75" s="27"/>
    </row>
    <row r="76" spans="1:15" s="15" customFormat="1" x14ac:dyDescent="0.3">
      <c r="A76" s="17"/>
      <c r="B76"/>
      <c r="C76"/>
      <c r="D76"/>
      <c r="E76"/>
      <c r="F76"/>
      <c r="G76"/>
      <c r="H76"/>
      <c r="I76"/>
      <c r="J76"/>
      <c r="K76"/>
      <c r="L76"/>
      <c r="M76" s="27"/>
      <c r="N76" s="27"/>
      <c r="O76" s="27"/>
    </row>
    <row r="77" spans="1:15" s="15" customFormat="1" x14ac:dyDescent="0.3">
      <c r="A77" s="17"/>
      <c r="B77"/>
      <c r="C77"/>
      <c r="D77"/>
      <c r="E77"/>
      <c r="F77"/>
      <c r="G77"/>
      <c r="H77"/>
      <c r="I77"/>
      <c r="J77"/>
      <c r="K77"/>
      <c r="L77"/>
      <c r="M77" s="27"/>
      <c r="N77" s="27"/>
      <c r="O77" s="27"/>
    </row>
    <row r="78" spans="1:15" s="15" customFormat="1" x14ac:dyDescent="0.3">
      <c r="A78" s="17"/>
      <c r="B78"/>
      <c r="C78"/>
      <c r="D78"/>
      <c r="E78"/>
      <c r="F78"/>
      <c r="G78"/>
      <c r="H78"/>
      <c r="I78"/>
      <c r="J78"/>
      <c r="K78"/>
      <c r="L78"/>
      <c r="M78" s="27"/>
      <c r="N78" s="27"/>
      <c r="O78" s="27"/>
    </row>
    <row r="79" spans="1:15" s="15" customFormat="1" x14ac:dyDescent="0.3">
      <c r="A79" s="17"/>
      <c r="B79"/>
      <c r="C79"/>
      <c r="D79"/>
      <c r="E79"/>
      <c r="F79"/>
      <c r="G79"/>
      <c r="H79"/>
      <c r="I79"/>
      <c r="J79"/>
      <c r="K79"/>
      <c r="L79"/>
      <c r="M79" s="27"/>
      <c r="N79" s="27"/>
      <c r="O79" s="27"/>
    </row>
    <row r="80" spans="1:15" s="15" customFormat="1" x14ac:dyDescent="0.3">
      <c r="A80" s="17"/>
      <c r="B80"/>
      <c r="C80"/>
      <c r="D80"/>
      <c r="E80"/>
      <c r="F80"/>
      <c r="G80"/>
      <c r="H80"/>
      <c r="I80"/>
      <c r="J80"/>
      <c r="K80"/>
      <c r="L80"/>
      <c r="M80" s="27"/>
      <c r="N80" s="27"/>
      <c r="O80" s="27"/>
    </row>
    <row r="81" spans="1:15" s="15" customFormat="1" x14ac:dyDescent="0.3">
      <c r="A81" s="17"/>
      <c r="B81"/>
      <c r="C81"/>
      <c r="D81"/>
      <c r="E81"/>
      <c r="F81"/>
      <c r="G81"/>
      <c r="H81"/>
      <c r="I81"/>
      <c r="J81"/>
      <c r="K81"/>
      <c r="L81"/>
      <c r="M81" s="27"/>
      <c r="N81" s="27"/>
      <c r="O81" s="27"/>
    </row>
    <row r="82" spans="1:15" s="15" customFormat="1" x14ac:dyDescent="0.3">
      <c r="A82" s="17"/>
      <c r="B82"/>
      <c r="C82"/>
      <c r="D82"/>
      <c r="E82"/>
      <c r="F82"/>
      <c r="G82"/>
      <c r="H82"/>
      <c r="I82"/>
      <c r="J82"/>
      <c r="K82"/>
      <c r="L82"/>
      <c r="M82" s="27"/>
      <c r="N82" s="27"/>
      <c r="O82" s="27"/>
    </row>
    <row r="83" spans="1:15" s="15" customFormat="1" x14ac:dyDescent="0.3">
      <c r="A83" s="17"/>
      <c r="B83"/>
      <c r="C83"/>
      <c r="D83"/>
      <c r="E83"/>
      <c r="F83"/>
      <c r="G83"/>
      <c r="H83"/>
      <c r="I83"/>
      <c r="J83"/>
      <c r="K83"/>
      <c r="L83"/>
      <c r="M83" s="27"/>
      <c r="N83" s="27"/>
      <c r="O83" s="27"/>
    </row>
    <row r="84" spans="1:15" s="15" customFormat="1" x14ac:dyDescent="0.3">
      <c r="A84" s="17"/>
      <c r="B84"/>
      <c r="C84"/>
      <c r="D84"/>
      <c r="E84"/>
      <c r="F84"/>
      <c r="G84"/>
      <c r="H84"/>
      <c r="I84"/>
      <c r="J84"/>
      <c r="K84"/>
      <c r="L84"/>
      <c r="M84" s="27"/>
      <c r="N84" s="27"/>
      <c r="O84" s="27"/>
    </row>
    <row r="85" spans="1:15" s="15" customFormat="1" x14ac:dyDescent="0.3">
      <c r="A85" s="17"/>
      <c r="B85"/>
      <c r="C85"/>
      <c r="D85"/>
      <c r="E85"/>
      <c r="F85"/>
      <c r="G85"/>
      <c r="H85"/>
      <c r="I85"/>
      <c r="J85"/>
      <c r="K85"/>
      <c r="L85"/>
      <c r="M85" s="27"/>
      <c r="N85" s="27"/>
      <c r="O85" s="27"/>
    </row>
    <row r="86" spans="1:15" s="15" customFormat="1" x14ac:dyDescent="0.3">
      <c r="A86" s="17"/>
      <c r="B86"/>
      <c r="C86"/>
      <c r="D86"/>
      <c r="E86"/>
      <c r="F86"/>
      <c r="G86"/>
      <c r="H86"/>
      <c r="I86"/>
      <c r="J86"/>
      <c r="K86"/>
      <c r="L86"/>
      <c r="M86" s="27"/>
      <c r="N86" s="27"/>
      <c r="O86" s="27"/>
    </row>
    <row r="87" spans="1:15" s="15" customFormat="1" x14ac:dyDescent="0.3">
      <c r="A87" s="17"/>
      <c r="B87"/>
      <c r="C87"/>
      <c r="D87"/>
      <c r="E87"/>
      <c r="F87"/>
      <c r="G87"/>
      <c r="H87"/>
      <c r="I87"/>
      <c r="J87"/>
      <c r="K87"/>
      <c r="L87"/>
      <c r="M87" s="27"/>
      <c r="N87" s="27"/>
      <c r="O87" s="27"/>
    </row>
    <row r="88" spans="1:15" s="15" customFormat="1" x14ac:dyDescent="0.3">
      <c r="A88" s="17"/>
      <c r="B88"/>
      <c r="C88"/>
      <c r="D88"/>
      <c r="E88"/>
      <c r="F88"/>
      <c r="G88"/>
      <c r="H88"/>
      <c r="I88"/>
      <c r="J88"/>
      <c r="K88"/>
      <c r="L88"/>
      <c r="M88" s="27"/>
      <c r="N88" s="27"/>
      <c r="O88" s="27"/>
    </row>
    <row r="89" spans="1:15" s="15" customFormat="1" x14ac:dyDescent="0.3">
      <c r="A89" s="17"/>
      <c r="B89"/>
      <c r="C89"/>
      <c r="D89"/>
      <c r="E89"/>
      <c r="F89"/>
      <c r="G89"/>
      <c r="H89"/>
      <c r="I89"/>
      <c r="J89"/>
      <c r="K89"/>
      <c r="L89"/>
      <c r="M89" s="27"/>
      <c r="N89" s="27"/>
      <c r="O89" s="27"/>
    </row>
    <row r="90" spans="1:15" s="15" customFormat="1" x14ac:dyDescent="0.3">
      <c r="A90" s="17"/>
      <c r="B90"/>
      <c r="C90"/>
      <c r="D90"/>
      <c r="E90"/>
      <c r="F90"/>
      <c r="G90"/>
      <c r="H90"/>
      <c r="I90"/>
      <c r="J90"/>
      <c r="K90"/>
      <c r="L90"/>
      <c r="M90" s="27"/>
      <c r="N90" s="27"/>
      <c r="O90" s="27"/>
    </row>
    <row r="91" spans="1:15" s="15" customFormat="1" x14ac:dyDescent="0.3">
      <c r="A91" s="17"/>
      <c r="B91"/>
      <c r="C91"/>
      <c r="D91"/>
      <c r="E91"/>
      <c r="F91"/>
      <c r="G91"/>
      <c r="H91"/>
      <c r="I91"/>
      <c r="J91"/>
      <c r="K91"/>
      <c r="L91"/>
      <c r="M91" s="27"/>
      <c r="N91" s="27"/>
      <c r="O91" s="27"/>
    </row>
    <row r="92" spans="1:15" s="15" customFormat="1" x14ac:dyDescent="0.3">
      <c r="A92" s="17"/>
      <c r="B92"/>
      <c r="C92"/>
      <c r="D92"/>
      <c r="E92"/>
      <c r="F92"/>
      <c r="G92"/>
      <c r="H92"/>
      <c r="I92"/>
      <c r="J92"/>
      <c r="K92"/>
      <c r="L92"/>
      <c r="M92" s="27"/>
      <c r="N92" s="27"/>
      <c r="O92" s="27"/>
    </row>
    <row r="93" spans="1:15" s="15" customFormat="1" x14ac:dyDescent="0.3">
      <c r="A93" s="17"/>
      <c r="B93"/>
      <c r="C93"/>
      <c r="D93"/>
      <c r="E93"/>
      <c r="F93"/>
      <c r="G93"/>
      <c r="H93"/>
      <c r="I93"/>
      <c r="J93"/>
      <c r="K93"/>
      <c r="L93"/>
      <c r="M93" s="27"/>
      <c r="N93" s="27"/>
      <c r="O93" s="27"/>
    </row>
    <row r="94" spans="1:15" s="15" customFormat="1" x14ac:dyDescent="0.3">
      <c r="A94" s="17"/>
      <c r="B94"/>
      <c r="C94"/>
      <c r="D94"/>
      <c r="E94"/>
      <c r="F94"/>
      <c r="G94"/>
      <c r="H94"/>
      <c r="I94"/>
      <c r="J94"/>
      <c r="K94"/>
      <c r="L94"/>
      <c r="M94" s="27"/>
      <c r="N94" s="27"/>
      <c r="O94" s="27"/>
    </row>
    <row r="95" spans="1:15" s="15" customFormat="1" x14ac:dyDescent="0.3">
      <c r="A95" s="17"/>
      <c r="B95"/>
      <c r="C95"/>
      <c r="D95"/>
      <c r="E95"/>
      <c r="F95"/>
      <c r="G95"/>
      <c r="H95"/>
      <c r="I95"/>
      <c r="J95"/>
      <c r="K95"/>
      <c r="L95"/>
      <c r="M95" s="27"/>
      <c r="N95" s="27"/>
      <c r="O95" s="27"/>
    </row>
    <row r="96" spans="1:15" s="15" customFormat="1" x14ac:dyDescent="0.3">
      <c r="A96" s="17"/>
      <c r="B96"/>
      <c r="C96"/>
      <c r="D96"/>
      <c r="E96"/>
      <c r="F96"/>
      <c r="G96"/>
      <c r="H96"/>
      <c r="I96"/>
      <c r="J96"/>
      <c r="K96"/>
      <c r="L96"/>
      <c r="M96" s="27"/>
      <c r="N96" s="27"/>
      <c r="O96" s="27"/>
    </row>
    <row r="97" spans="1:15" s="15" customFormat="1" x14ac:dyDescent="0.3">
      <c r="A97" s="17"/>
      <c r="B97"/>
      <c r="C97"/>
      <c r="D97"/>
      <c r="E97"/>
      <c r="F97"/>
      <c r="G97"/>
      <c r="H97"/>
      <c r="I97"/>
      <c r="J97"/>
      <c r="K97"/>
      <c r="L97"/>
      <c r="M97" s="27"/>
      <c r="N97" s="27"/>
      <c r="O97" s="27"/>
    </row>
    <row r="98" spans="1:15" s="15" customFormat="1" x14ac:dyDescent="0.3">
      <c r="A98" s="17"/>
      <c r="B98"/>
      <c r="C98"/>
      <c r="D98"/>
      <c r="E98"/>
      <c r="F98"/>
      <c r="G98"/>
      <c r="H98"/>
      <c r="I98"/>
      <c r="J98"/>
      <c r="K98"/>
      <c r="L98"/>
      <c r="M98" s="27"/>
      <c r="N98" s="27"/>
      <c r="O98" s="27"/>
    </row>
    <row r="99" spans="1:15" s="15" customFormat="1" x14ac:dyDescent="0.3">
      <c r="A99" s="17"/>
      <c r="B99"/>
      <c r="C99"/>
      <c r="D99"/>
      <c r="E99"/>
      <c r="F99"/>
      <c r="G99"/>
      <c r="H99"/>
      <c r="I99"/>
      <c r="J99"/>
      <c r="K99"/>
      <c r="L99"/>
      <c r="M99" s="27"/>
      <c r="N99" s="27"/>
      <c r="O99" s="27"/>
    </row>
    <row r="100" spans="1:15" s="15" customFormat="1" x14ac:dyDescent="0.3">
      <c r="A100" s="17"/>
      <c r="B100"/>
      <c r="C100"/>
      <c r="D100"/>
      <c r="E100"/>
      <c r="F100"/>
      <c r="G100"/>
      <c r="H100"/>
      <c r="I100"/>
      <c r="J100"/>
      <c r="K100"/>
      <c r="L100"/>
      <c r="M100" s="27"/>
      <c r="N100" s="27"/>
      <c r="O100" s="27"/>
    </row>
    <row r="101" spans="1:15" s="15" customFormat="1" x14ac:dyDescent="0.3">
      <c r="A101" s="17"/>
      <c r="B101"/>
      <c r="C101"/>
      <c r="D101"/>
      <c r="E101"/>
      <c r="F101"/>
      <c r="G101"/>
      <c r="H101"/>
      <c r="I101"/>
      <c r="J101"/>
      <c r="K101"/>
      <c r="L101"/>
      <c r="M101" s="27"/>
      <c r="N101" s="27"/>
      <c r="O101" s="27"/>
    </row>
    <row r="102" spans="1:15" s="15" customFormat="1" x14ac:dyDescent="0.3">
      <c r="A102" s="17"/>
      <c r="B102"/>
      <c r="C102"/>
      <c r="D102"/>
      <c r="E102"/>
      <c r="F102"/>
      <c r="G102"/>
      <c r="H102"/>
      <c r="I102"/>
      <c r="J102"/>
      <c r="K102"/>
      <c r="L102"/>
      <c r="M102" s="27"/>
      <c r="N102" s="27"/>
      <c r="O102" s="27"/>
    </row>
    <row r="103" spans="1:15" s="15" customFormat="1" x14ac:dyDescent="0.3">
      <c r="A103" s="17"/>
      <c r="B103"/>
      <c r="C103"/>
      <c r="D103"/>
      <c r="E103"/>
      <c r="F103"/>
      <c r="G103"/>
      <c r="H103"/>
      <c r="I103"/>
      <c r="J103"/>
      <c r="K103"/>
      <c r="L103"/>
      <c r="M103" s="27"/>
      <c r="N103" s="27"/>
      <c r="O103" s="27"/>
    </row>
    <row r="104" spans="1:15" s="15" customFormat="1" x14ac:dyDescent="0.3">
      <c r="A104" s="17"/>
      <c r="B104"/>
      <c r="C104"/>
      <c r="D104"/>
      <c r="E104"/>
      <c r="F104"/>
      <c r="G104"/>
      <c r="H104"/>
      <c r="I104"/>
      <c r="J104"/>
      <c r="K104"/>
      <c r="L104"/>
      <c r="M104" s="27"/>
      <c r="N104" s="27"/>
      <c r="O104" s="27"/>
    </row>
    <row r="105" spans="1:15" s="15" customFormat="1" x14ac:dyDescent="0.3">
      <c r="A105" s="17"/>
      <c r="B105"/>
      <c r="C105"/>
      <c r="D105"/>
      <c r="E105"/>
      <c r="F105"/>
      <c r="G105"/>
      <c r="H105"/>
      <c r="I105"/>
      <c r="J105"/>
      <c r="K105"/>
      <c r="L105"/>
      <c r="M105" s="27"/>
      <c r="N105" s="27"/>
      <c r="O105" s="27"/>
    </row>
    <row r="106" spans="1:15" s="15" customFormat="1" x14ac:dyDescent="0.3">
      <c r="A106" s="17"/>
      <c r="B106"/>
      <c r="C106"/>
      <c r="D106"/>
      <c r="E106"/>
      <c r="F106"/>
      <c r="G106"/>
      <c r="H106"/>
      <c r="I106"/>
      <c r="J106"/>
      <c r="K106"/>
      <c r="L106"/>
      <c r="M106" s="27"/>
      <c r="N106" s="27"/>
      <c r="O106" s="27"/>
    </row>
    <row r="107" spans="1:15" s="15" customFormat="1" x14ac:dyDescent="0.3">
      <c r="A107" s="17"/>
      <c r="B107"/>
      <c r="C107"/>
      <c r="D107"/>
      <c r="E107"/>
      <c r="F107"/>
      <c r="G107"/>
      <c r="H107"/>
      <c r="I107"/>
      <c r="J107"/>
      <c r="K107"/>
      <c r="L107"/>
      <c r="M107" s="27"/>
      <c r="N107" s="27"/>
      <c r="O107" s="27"/>
    </row>
    <row r="108" spans="1:15" s="15" customFormat="1" x14ac:dyDescent="0.3">
      <c r="A108" s="17"/>
      <c r="B108"/>
      <c r="C108"/>
      <c r="D108"/>
      <c r="E108"/>
      <c r="F108"/>
      <c r="G108"/>
      <c r="H108"/>
      <c r="I108"/>
      <c r="J108"/>
      <c r="K108"/>
      <c r="L108"/>
      <c r="M108" s="27"/>
      <c r="N108" s="27"/>
      <c r="O108" s="27"/>
    </row>
    <row r="109" spans="1:15" s="15" customFormat="1" x14ac:dyDescent="0.3">
      <c r="A109" s="17"/>
      <c r="B109"/>
      <c r="C109"/>
      <c r="D109"/>
      <c r="E109"/>
      <c r="F109"/>
      <c r="G109"/>
      <c r="H109"/>
      <c r="I109"/>
      <c r="J109"/>
      <c r="K109"/>
      <c r="L109"/>
      <c r="M109" s="27"/>
      <c r="N109" s="27"/>
      <c r="O109" s="27"/>
    </row>
    <row r="110" spans="1:15" s="15" customFormat="1" x14ac:dyDescent="0.3">
      <c r="A110" s="17"/>
      <c r="B110"/>
      <c r="C110"/>
      <c r="D110"/>
      <c r="E110"/>
      <c r="F110"/>
      <c r="G110"/>
      <c r="H110"/>
      <c r="I110"/>
      <c r="J110"/>
      <c r="K110"/>
      <c r="L110"/>
      <c r="M110" s="27"/>
      <c r="N110" s="27"/>
      <c r="O110" s="27"/>
    </row>
    <row r="111" spans="1:15" s="15" customFormat="1" x14ac:dyDescent="0.3">
      <c r="A111" s="17"/>
      <c r="B111"/>
      <c r="C111"/>
      <c r="D111"/>
      <c r="E111"/>
      <c r="F111"/>
      <c r="G111"/>
      <c r="H111"/>
      <c r="I111"/>
      <c r="J111"/>
      <c r="K111"/>
      <c r="L111"/>
      <c r="M111" s="27"/>
      <c r="N111" s="27"/>
      <c r="O111" s="27"/>
    </row>
    <row r="112" spans="1:15" s="15" customFormat="1" x14ac:dyDescent="0.3">
      <c r="A112" s="17"/>
      <c r="B112"/>
      <c r="C112"/>
      <c r="D112"/>
      <c r="E112"/>
      <c r="F112"/>
      <c r="G112"/>
      <c r="H112"/>
      <c r="I112"/>
      <c r="J112"/>
      <c r="K112"/>
      <c r="L112"/>
      <c r="M112" s="27"/>
      <c r="N112" s="27"/>
      <c r="O112" s="27"/>
    </row>
  </sheetData>
  <pageMargins left="0.511811024" right="0.511811024" top="0.78740157499999996" bottom="0.78740157499999996" header="0.31496062000000002" footer="0.31496062000000002"/>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3BA59-CF44-426C-B632-C67E752CC748}">
  <sheetPr>
    <tabColor theme="9" tint="0.59999389629810485"/>
  </sheetPr>
  <dimension ref="A1:U110"/>
  <sheetViews>
    <sheetView showGridLines="0" workbookViewId="0">
      <selection activeCell="M11" sqref="M11"/>
    </sheetView>
  </sheetViews>
  <sheetFormatPr defaultColWidth="8.85546875" defaultRowHeight="18.75" x14ac:dyDescent="0.3"/>
  <cols>
    <col min="1" max="1" width="12.7109375" style="17" customWidth="1"/>
    <col min="2" max="3" width="26.28515625" customWidth="1"/>
    <col min="4" max="4" width="8.85546875" customWidth="1"/>
    <col min="13" max="13" width="12.42578125" style="15" bestFit="1" customWidth="1"/>
    <col min="14" max="21" width="8.85546875" style="15"/>
  </cols>
  <sheetData>
    <row r="1" spans="1:21" x14ac:dyDescent="0.3">
      <c r="A1" s="16" t="s">
        <v>409</v>
      </c>
      <c r="M1" s="14"/>
      <c r="N1" s="14"/>
      <c r="O1" s="14"/>
      <c r="P1" s="14"/>
      <c r="Q1" s="14"/>
      <c r="R1" s="14"/>
      <c r="S1" s="14"/>
      <c r="T1" s="14"/>
      <c r="U1" s="14"/>
    </row>
    <row r="2" spans="1:21" x14ac:dyDescent="0.3">
      <c r="A2" s="17" t="s">
        <v>410</v>
      </c>
      <c r="M2" s="14"/>
      <c r="N2" s="14"/>
      <c r="O2" s="14"/>
      <c r="P2" s="14"/>
      <c r="Q2" s="14"/>
      <c r="R2" s="14"/>
      <c r="S2" s="14"/>
      <c r="T2" s="14"/>
      <c r="U2" s="14"/>
    </row>
    <row r="3" spans="1:21" x14ac:dyDescent="0.3">
      <c r="O3" s="27"/>
    </row>
    <row r="4" spans="1:21" ht="15.75" x14ac:dyDescent="0.25">
      <c r="A4" s="2" t="s">
        <v>15</v>
      </c>
      <c r="B4" s="2" t="s">
        <v>16</v>
      </c>
      <c r="C4" s="2"/>
      <c r="O4" s="27"/>
    </row>
    <row r="5" spans="1:21" ht="31.5" x14ac:dyDescent="0.25">
      <c r="A5" s="23" t="s">
        <v>411</v>
      </c>
      <c r="B5" s="26" t="s">
        <v>414</v>
      </c>
      <c r="C5" s="26"/>
      <c r="O5" s="27"/>
    </row>
    <row r="6" spans="1:21" ht="31.5" x14ac:dyDescent="0.25">
      <c r="A6" s="23" t="s">
        <v>22</v>
      </c>
      <c r="B6" s="26" t="s">
        <v>327</v>
      </c>
      <c r="C6" s="26"/>
      <c r="O6" s="27"/>
    </row>
    <row r="7" spans="1:21" ht="15.75" x14ac:dyDescent="0.25">
      <c r="A7" s="23"/>
      <c r="B7" s="26"/>
      <c r="C7" s="26"/>
      <c r="O7" s="27"/>
    </row>
    <row r="8" spans="1:21" ht="15.75" x14ac:dyDescent="0.25">
      <c r="A8" s="2" t="s">
        <v>328</v>
      </c>
      <c r="O8" s="27"/>
    </row>
    <row r="9" spans="1:21" ht="15.75" x14ac:dyDescent="0.25">
      <c r="A9" s="23" t="s">
        <v>415</v>
      </c>
      <c r="O9" s="27"/>
    </row>
    <row r="10" spans="1:21" x14ac:dyDescent="0.3">
      <c r="O10" s="27"/>
    </row>
    <row r="11" spans="1:21" x14ac:dyDescent="0.3">
      <c r="D11" s="1" t="s">
        <v>17</v>
      </c>
      <c r="E11" s="13" t="s">
        <v>411</v>
      </c>
      <c r="F11" s="12">
        <v>6</v>
      </c>
      <c r="H11" s="13" t="s">
        <v>22</v>
      </c>
      <c r="I11" s="12">
        <v>1</v>
      </c>
      <c r="J11" s="12">
        <v>2</v>
      </c>
      <c r="K11" s="12">
        <v>2</v>
      </c>
      <c r="M11" s="28" t="b" cm="1">
        <f t="array" ref="M11">_xlfn.LAMBDA(_xlpm.value,_xlpm.matrix,
SUM(1*(_xlpm.matrix=_xlpm.value)) = 1
)($F$11,$I$11:$K$15)</f>
        <v>1</v>
      </c>
      <c r="O11" s="27"/>
    </row>
    <row r="12" spans="1:21" x14ac:dyDescent="0.3">
      <c r="I12" s="12">
        <v>3</v>
      </c>
      <c r="J12" s="12">
        <v>3</v>
      </c>
      <c r="K12" s="12">
        <v>3</v>
      </c>
      <c r="M12" s="28"/>
      <c r="O12" s="27"/>
    </row>
    <row r="13" spans="1:21" x14ac:dyDescent="0.3">
      <c r="I13" s="12">
        <v>5</v>
      </c>
      <c r="J13" s="12">
        <v>6</v>
      </c>
      <c r="K13" s="12">
        <v>7</v>
      </c>
      <c r="M13" s="28"/>
      <c r="O13" s="27"/>
    </row>
    <row r="14" spans="1:21" x14ac:dyDescent="0.3">
      <c r="I14" s="12">
        <v>7</v>
      </c>
      <c r="J14" s="12">
        <v>7</v>
      </c>
      <c r="K14" s="12">
        <v>7</v>
      </c>
      <c r="M14" s="27"/>
      <c r="O14" s="27"/>
    </row>
    <row r="15" spans="1:21" x14ac:dyDescent="0.3">
      <c r="I15" s="12">
        <v>9</v>
      </c>
      <c r="J15" s="12">
        <v>10</v>
      </c>
      <c r="K15" s="12">
        <v>12</v>
      </c>
      <c r="M15" s="27"/>
      <c r="O15" s="27"/>
    </row>
    <row r="16" spans="1:21" s="15" customFormat="1" x14ac:dyDescent="0.3">
      <c r="A16" s="17"/>
      <c r="B16"/>
      <c r="C16"/>
      <c r="D16"/>
      <c r="E16"/>
      <c r="F16"/>
      <c r="G16"/>
      <c r="H16"/>
      <c r="I16"/>
      <c r="J16"/>
      <c r="K16"/>
      <c r="L16"/>
      <c r="M16" s="27"/>
      <c r="O16" s="27"/>
    </row>
    <row r="17" spans="1:15" s="15" customFormat="1" x14ac:dyDescent="0.3">
      <c r="A17" s="17"/>
      <c r="B17"/>
      <c r="C17"/>
      <c r="D17"/>
      <c r="E17"/>
      <c r="F17"/>
      <c r="G17"/>
      <c r="H17"/>
      <c r="I17"/>
      <c r="J17"/>
      <c r="K17"/>
      <c r="L17"/>
      <c r="M17" s="27"/>
      <c r="O17" s="27"/>
    </row>
    <row r="18" spans="1:15" s="15" customFormat="1" x14ac:dyDescent="0.3">
      <c r="A18" s="17"/>
      <c r="B18"/>
      <c r="C18"/>
      <c r="D18" s="1" t="s">
        <v>17</v>
      </c>
      <c r="E18" s="13" t="s">
        <v>411</v>
      </c>
      <c r="F18" s="12" t="s">
        <v>412</v>
      </c>
      <c r="G18"/>
      <c r="H18" s="13" t="s">
        <v>22</v>
      </c>
      <c r="I18" s="12">
        <v>1</v>
      </c>
      <c r="J18" s="12" t="s">
        <v>413</v>
      </c>
      <c r="K18" s="12" t="s">
        <v>412</v>
      </c>
      <c r="L18"/>
      <c r="M18" s="28" t="b" cm="1">
        <f t="array" ref="M18">ISUNIQUE($F$18,$I$18:$K$19)</f>
        <v>0</v>
      </c>
      <c r="O18" s="27"/>
    </row>
    <row r="19" spans="1:15" s="15" customFormat="1" x14ac:dyDescent="0.3">
      <c r="A19" s="17"/>
      <c r="B19"/>
      <c r="C19"/>
      <c r="D19"/>
      <c r="E19"/>
      <c r="F19"/>
      <c r="G19"/>
      <c r="H19"/>
      <c r="I19" s="12">
        <v>4</v>
      </c>
      <c r="J19" s="12" t="s">
        <v>412</v>
      </c>
      <c r="K19" s="12">
        <v>6</v>
      </c>
      <c r="L19"/>
      <c r="M19" s="27"/>
      <c r="O19" s="27"/>
    </row>
    <row r="20" spans="1:15" s="15" customFormat="1" x14ac:dyDescent="0.3">
      <c r="A20" s="17"/>
      <c r="B20"/>
      <c r="C20"/>
      <c r="D20"/>
      <c r="E20"/>
      <c r="F20"/>
      <c r="G20"/>
      <c r="H20"/>
      <c r="I20"/>
      <c r="J20"/>
      <c r="K20"/>
      <c r="L20"/>
      <c r="M20" s="27"/>
      <c r="O20" s="27"/>
    </row>
    <row r="21" spans="1:15" s="15" customFormat="1" x14ac:dyDescent="0.3">
      <c r="A21" s="17"/>
      <c r="B21"/>
      <c r="C21"/>
      <c r="D21"/>
      <c r="E21"/>
      <c r="F21"/>
      <c r="G21"/>
      <c r="H21"/>
      <c r="I21"/>
      <c r="J21"/>
      <c r="K21"/>
      <c r="L21"/>
      <c r="M21" s="27"/>
      <c r="O21" s="27"/>
    </row>
    <row r="22" spans="1:15" s="15" customFormat="1" x14ac:dyDescent="0.3">
      <c r="A22" s="17"/>
      <c r="B22"/>
      <c r="C22"/>
      <c r="D22"/>
      <c r="E22"/>
      <c r="F22"/>
      <c r="G22"/>
      <c r="H22"/>
      <c r="I22"/>
      <c r="J22"/>
      <c r="K22"/>
      <c r="L22"/>
      <c r="M22" s="27"/>
      <c r="O22" s="27"/>
    </row>
    <row r="23" spans="1:15" s="15" customFormat="1" x14ac:dyDescent="0.3">
      <c r="A23" s="17"/>
      <c r="B23"/>
      <c r="C23"/>
      <c r="D23"/>
      <c r="E23"/>
      <c r="F23"/>
      <c r="G23"/>
      <c r="H23"/>
      <c r="I23"/>
      <c r="J23"/>
      <c r="K23"/>
      <c r="L23"/>
      <c r="M23" s="27"/>
      <c r="O23" s="27"/>
    </row>
    <row r="24" spans="1:15" s="15" customFormat="1" x14ac:dyDescent="0.3">
      <c r="A24" s="17"/>
      <c r="B24"/>
      <c r="C24"/>
      <c r="D24"/>
      <c r="E24"/>
      <c r="F24"/>
      <c r="G24"/>
      <c r="H24"/>
      <c r="I24"/>
      <c r="J24"/>
      <c r="K24"/>
      <c r="L24"/>
      <c r="M24" s="27"/>
      <c r="O24" s="27"/>
    </row>
    <row r="25" spans="1:15" s="15" customFormat="1" x14ac:dyDescent="0.3">
      <c r="A25" s="17"/>
      <c r="B25"/>
      <c r="C25"/>
      <c r="D25"/>
      <c r="E25"/>
      <c r="F25"/>
      <c r="G25"/>
      <c r="H25"/>
      <c r="I25"/>
      <c r="J25"/>
      <c r="K25"/>
      <c r="L25"/>
      <c r="M25" s="27"/>
      <c r="O25" s="27"/>
    </row>
    <row r="26" spans="1:15" s="15" customFormat="1" x14ac:dyDescent="0.3">
      <c r="A26" s="17"/>
      <c r="B26"/>
      <c r="C26"/>
      <c r="D26"/>
      <c r="E26"/>
      <c r="F26"/>
      <c r="G26"/>
      <c r="H26"/>
      <c r="I26"/>
      <c r="J26"/>
      <c r="K26"/>
      <c r="L26"/>
      <c r="M26" s="27"/>
      <c r="O26" s="27"/>
    </row>
    <row r="27" spans="1:15" s="15" customFormat="1" x14ac:dyDescent="0.3">
      <c r="A27" s="17"/>
      <c r="B27"/>
      <c r="C27"/>
      <c r="D27"/>
      <c r="E27"/>
      <c r="F27"/>
      <c r="G27"/>
      <c r="H27"/>
      <c r="I27"/>
      <c r="J27"/>
      <c r="K27"/>
      <c r="L27"/>
      <c r="M27" s="27"/>
      <c r="O27" s="27"/>
    </row>
    <row r="28" spans="1:15" s="15" customFormat="1" x14ac:dyDescent="0.3">
      <c r="A28" s="17"/>
      <c r="B28"/>
      <c r="C28"/>
      <c r="D28"/>
      <c r="E28"/>
      <c r="F28"/>
      <c r="G28"/>
      <c r="H28"/>
      <c r="I28"/>
      <c r="J28"/>
      <c r="K28"/>
      <c r="L28"/>
      <c r="M28" s="27"/>
      <c r="O28" s="27"/>
    </row>
    <row r="29" spans="1:15" s="15" customFormat="1" x14ac:dyDescent="0.3">
      <c r="A29" s="17"/>
      <c r="B29"/>
      <c r="C29"/>
      <c r="D29"/>
      <c r="E29"/>
      <c r="F29"/>
      <c r="G29"/>
      <c r="H29"/>
      <c r="I29"/>
      <c r="J29"/>
      <c r="K29"/>
      <c r="L29"/>
      <c r="M29" s="27"/>
      <c r="O29" s="27"/>
    </row>
    <row r="30" spans="1:15" s="15" customFormat="1" x14ac:dyDescent="0.3">
      <c r="A30" s="17"/>
      <c r="B30"/>
      <c r="C30"/>
      <c r="D30"/>
      <c r="E30"/>
      <c r="F30"/>
      <c r="G30"/>
      <c r="H30"/>
      <c r="I30"/>
      <c r="J30"/>
      <c r="K30"/>
      <c r="L30"/>
      <c r="M30" s="27"/>
      <c r="O30" s="27"/>
    </row>
    <row r="31" spans="1:15" s="15" customFormat="1" x14ac:dyDescent="0.3">
      <c r="A31" s="17"/>
      <c r="B31"/>
      <c r="C31"/>
      <c r="D31"/>
      <c r="E31"/>
      <c r="F31"/>
      <c r="G31"/>
      <c r="H31"/>
      <c r="I31"/>
      <c r="J31"/>
      <c r="K31"/>
      <c r="L31"/>
      <c r="M31" s="27"/>
      <c r="O31" s="27"/>
    </row>
    <row r="32" spans="1:15" s="15" customFormat="1" x14ac:dyDescent="0.3">
      <c r="A32" s="17"/>
      <c r="B32"/>
      <c r="C32"/>
      <c r="D32"/>
      <c r="E32"/>
      <c r="F32"/>
      <c r="G32"/>
      <c r="H32"/>
      <c r="I32"/>
      <c r="J32"/>
      <c r="K32"/>
      <c r="L32"/>
      <c r="M32" s="27"/>
      <c r="O32" s="27"/>
    </row>
    <row r="33" spans="1:15" s="15" customFormat="1" x14ac:dyDescent="0.3">
      <c r="A33" s="17"/>
      <c r="B33"/>
      <c r="C33"/>
      <c r="D33"/>
      <c r="E33"/>
      <c r="F33"/>
      <c r="G33"/>
      <c r="H33"/>
      <c r="I33"/>
      <c r="J33"/>
      <c r="K33"/>
      <c r="L33"/>
      <c r="M33" s="27"/>
      <c r="O33" s="27"/>
    </row>
    <row r="34" spans="1:15" s="15" customFormat="1" x14ac:dyDescent="0.3">
      <c r="A34" s="17"/>
      <c r="B34"/>
      <c r="C34"/>
      <c r="D34"/>
      <c r="E34"/>
      <c r="F34"/>
      <c r="G34"/>
      <c r="H34"/>
      <c r="I34"/>
      <c r="J34"/>
      <c r="K34"/>
      <c r="L34"/>
      <c r="M34" s="27"/>
      <c r="O34" s="27"/>
    </row>
    <row r="35" spans="1:15" s="15" customFormat="1" x14ac:dyDescent="0.3">
      <c r="A35" s="17"/>
      <c r="B35"/>
      <c r="C35"/>
      <c r="D35"/>
      <c r="E35"/>
      <c r="F35"/>
      <c r="G35"/>
      <c r="H35"/>
      <c r="I35"/>
      <c r="J35"/>
      <c r="K35"/>
      <c r="L35"/>
      <c r="M35" s="27"/>
      <c r="O35" s="27"/>
    </row>
    <row r="36" spans="1:15" s="15" customFormat="1" x14ac:dyDescent="0.3">
      <c r="A36" s="17"/>
      <c r="B36"/>
      <c r="C36"/>
      <c r="D36"/>
      <c r="E36"/>
      <c r="F36"/>
      <c r="G36"/>
      <c r="H36"/>
      <c r="I36"/>
      <c r="J36"/>
      <c r="K36"/>
      <c r="L36"/>
      <c r="M36" s="27"/>
      <c r="O36" s="27"/>
    </row>
    <row r="37" spans="1:15" s="15" customFormat="1" x14ac:dyDescent="0.3">
      <c r="A37" s="17"/>
      <c r="B37"/>
      <c r="C37"/>
      <c r="D37"/>
      <c r="E37"/>
      <c r="F37"/>
      <c r="G37"/>
      <c r="H37"/>
      <c r="I37"/>
      <c r="J37"/>
      <c r="K37"/>
      <c r="L37"/>
      <c r="M37" s="27"/>
      <c r="O37" s="27"/>
    </row>
    <row r="38" spans="1:15" s="15" customFormat="1" x14ac:dyDescent="0.3">
      <c r="A38" s="17"/>
      <c r="B38"/>
      <c r="C38"/>
      <c r="D38"/>
      <c r="E38"/>
      <c r="F38"/>
      <c r="G38"/>
      <c r="H38"/>
      <c r="I38"/>
      <c r="J38"/>
      <c r="K38"/>
      <c r="L38"/>
      <c r="M38" s="27"/>
      <c r="O38" s="27"/>
    </row>
    <row r="39" spans="1:15" s="15" customFormat="1" x14ac:dyDescent="0.3">
      <c r="A39" s="17"/>
      <c r="B39"/>
      <c r="C39"/>
      <c r="D39"/>
      <c r="E39"/>
      <c r="F39"/>
      <c r="G39"/>
      <c r="H39"/>
      <c r="I39"/>
      <c r="J39"/>
      <c r="K39"/>
      <c r="L39"/>
      <c r="M39" s="27"/>
      <c r="O39" s="27"/>
    </row>
    <row r="40" spans="1:15" s="15" customFormat="1" x14ac:dyDescent="0.3">
      <c r="A40" s="17"/>
      <c r="B40"/>
      <c r="C40"/>
      <c r="D40"/>
      <c r="E40"/>
      <c r="F40"/>
      <c r="G40"/>
      <c r="H40"/>
      <c r="I40"/>
      <c r="J40"/>
      <c r="K40"/>
      <c r="L40"/>
      <c r="M40" s="27"/>
      <c r="O40" s="27"/>
    </row>
    <row r="41" spans="1:15" s="15" customFormat="1" x14ac:dyDescent="0.3">
      <c r="A41" s="17"/>
      <c r="B41"/>
      <c r="C41"/>
      <c r="D41"/>
      <c r="E41"/>
      <c r="F41"/>
      <c r="G41"/>
      <c r="H41"/>
      <c r="I41"/>
      <c r="J41"/>
      <c r="K41"/>
      <c r="L41"/>
      <c r="M41" s="27"/>
      <c r="O41" s="27"/>
    </row>
    <row r="42" spans="1:15" s="15" customFormat="1" x14ac:dyDescent="0.3">
      <c r="A42" s="17"/>
      <c r="B42"/>
      <c r="C42"/>
      <c r="D42"/>
      <c r="E42"/>
      <c r="F42"/>
      <c r="G42"/>
      <c r="H42"/>
      <c r="I42"/>
      <c r="J42"/>
      <c r="K42"/>
      <c r="L42"/>
      <c r="M42" s="27"/>
      <c r="O42" s="27"/>
    </row>
    <row r="43" spans="1:15" s="15" customFormat="1" x14ac:dyDescent="0.3">
      <c r="A43" s="17"/>
      <c r="B43"/>
      <c r="C43"/>
      <c r="D43"/>
      <c r="E43"/>
      <c r="F43"/>
      <c r="G43"/>
      <c r="H43"/>
      <c r="I43"/>
      <c r="J43"/>
      <c r="K43"/>
      <c r="L43"/>
      <c r="M43" s="27"/>
      <c r="O43" s="27"/>
    </row>
    <row r="44" spans="1:15" s="15" customFormat="1" x14ac:dyDescent="0.3">
      <c r="A44" s="17"/>
      <c r="B44"/>
      <c r="C44"/>
      <c r="D44"/>
      <c r="E44"/>
      <c r="F44"/>
      <c r="G44"/>
      <c r="H44"/>
      <c r="I44"/>
      <c r="J44"/>
      <c r="K44"/>
      <c r="L44"/>
      <c r="M44" s="27"/>
      <c r="O44" s="27"/>
    </row>
    <row r="45" spans="1:15" s="15" customFormat="1" x14ac:dyDescent="0.3">
      <c r="A45" s="17"/>
      <c r="B45"/>
      <c r="C45"/>
      <c r="D45"/>
      <c r="E45"/>
      <c r="F45"/>
      <c r="G45"/>
      <c r="H45"/>
      <c r="I45"/>
      <c r="J45"/>
      <c r="K45"/>
      <c r="L45"/>
      <c r="M45" s="27"/>
      <c r="O45" s="27"/>
    </row>
    <row r="46" spans="1:15" s="15" customFormat="1" x14ac:dyDescent="0.3">
      <c r="A46" s="17"/>
      <c r="B46"/>
      <c r="C46"/>
      <c r="D46"/>
      <c r="E46"/>
      <c r="F46"/>
      <c r="G46"/>
      <c r="H46"/>
      <c r="I46"/>
      <c r="J46"/>
      <c r="K46"/>
      <c r="L46"/>
      <c r="M46" s="27"/>
      <c r="O46" s="27"/>
    </row>
    <row r="47" spans="1:15" s="15" customFormat="1" x14ac:dyDescent="0.3">
      <c r="A47" s="17"/>
      <c r="B47"/>
      <c r="C47"/>
      <c r="D47"/>
      <c r="E47"/>
      <c r="F47"/>
      <c r="G47"/>
      <c r="H47"/>
      <c r="I47"/>
      <c r="J47"/>
      <c r="K47"/>
      <c r="L47"/>
      <c r="M47" s="27"/>
      <c r="O47" s="27"/>
    </row>
    <row r="48" spans="1:15" s="15" customFormat="1" x14ac:dyDescent="0.3">
      <c r="A48" s="17"/>
      <c r="B48"/>
      <c r="C48"/>
      <c r="D48"/>
      <c r="E48"/>
      <c r="F48"/>
      <c r="G48"/>
      <c r="H48"/>
      <c r="I48"/>
      <c r="J48"/>
      <c r="K48"/>
      <c r="L48"/>
      <c r="M48" s="27"/>
      <c r="O48" s="27"/>
    </row>
    <row r="49" spans="1:15" s="15" customFormat="1" x14ac:dyDescent="0.3">
      <c r="A49" s="17"/>
      <c r="B49"/>
      <c r="C49"/>
      <c r="D49"/>
      <c r="E49"/>
      <c r="F49"/>
      <c r="G49"/>
      <c r="H49"/>
      <c r="I49"/>
      <c r="J49"/>
      <c r="K49"/>
      <c r="L49"/>
      <c r="M49" s="27"/>
      <c r="O49" s="27"/>
    </row>
    <row r="50" spans="1:15" s="15" customFormat="1" x14ac:dyDescent="0.3">
      <c r="A50" s="17"/>
      <c r="B50"/>
      <c r="C50"/>
      <c r="D50"/>
      <c r="E50"/>
      <c r="F50"/>
      <c r="G50"/>
      <c r="H50"/>
      <c r="I50"/>
      <c r="J50"/>
      <c r="K50"/>
      <c r="L50"/>
      <c r="M50" s="27"/>
      <c r="O50" s="27"/>
    </row>
    <row r="51" spans="1:15" s="15" customFormat="1" x14ac:dyDescent="0.3">
      <c r="A51" s="17"/>
      <c r="B51"/>
      <c r="C51"/>
      <c r="D51"/>
      <c r="E51"/>
      <c r="F51"/>
      <c r="G51"/>
      <c r="H51"/>
      <c r="I51"/>
      <c r="J51"/>
      <c r="K51"/>
      <c r="L51"/>
      <c r="M51" s="27"/>
      <c r="O51" s="27"/>
    </row>
    <row r="52" spans="1:15" s="15" customFormat="1" x14ac:dyDescent="0.3">
      <c r="A52" s="17"/>
      <c r="B52"/>
      <c r="C52"/>
      <c r="D52"/>
      <c r="E52"/>
      <c r="F52"/>
      <c r="G52"/>
      <c r="H52"/>
      <c r="I52"/>
      <c r="J52"/>
      <c r="K52"/>
      <c r="L52"/>
      <c r="M52" s="27"/>
      <c r="O52" s="27"/>
    </row>
    <row r="53" spans="1:15" s="15" customFormat="1" x14ac:dyDescent="0.3">
      <c r="A53" s="17"/>
      <c r="B53"/>
      <c r="C53"/>
      <c r="D53"/>
      <c r="E53"/>
      <c r="F53"/>
      <c r="G53"/>
      <c r="H53"/>
      <c r="I53"/>
      <c r="J53"/>
      <c r="K53"/>
      <c r="L53"/>
      <c r="M53" s="27"/>
      <c r="O53" s="27"/>
    </row>
    <row r="54" spans="1:15" s="15" customFormat="1" x14ac:dyDescent="0.3">
      <c r="A54" s="17"/>
      <c r="B54"/>
      <c r="C54"/>
      <c r="D54"/>
      <c r="E54"/>
      <c r="F54"/>
      <c r="G54"/>
      <c r="H54"/>
      <c r="I54"/>
      <c r="J54"/>
      <c r="K54"/>
      <c r="L54"/>
      <c r="M54" s="27"/>
      <c r="O54" s="27"/>
    </row>
    <row r="55" spans="1:15" s="15" customFormat="1" x14ac:dyDescent="0.3">
      <c r="A55" s="17"/>
      <c r="B55"/>
      <c r="C55"/>
      <c r="D55"/>
      <c r="E55"/>
      <c r="F55"/>
      <c r="G55"/>
      <c r="H55"/>
      <c r="I55"/>
      <c r="J55"/>
      <c r="K55"/>
      <c r="L55"/>
      <c r="M55" s="27"/>
      <c r="O55" s="27"/>
    </row>
    <row r="56" spans="1:15" s="15" customFormat="1" x14ac:dyDescent="0.3">
      <c r="A56" s="17"/>
      <c r="B56"/>
      <c r="C56"/>
      <c r="D56"/>
      <c r="E56"/>
      <c r="F56"/>
      <c r="G56"/>
      <c r="H56"/>
      <c r="I56"/>
      <c r="J56"/>
      <c r="K56"/>
      <c r="L56"/>
      <c r="M56" s="27"/>
      <c r="O56" s="27"/>
    </row>
    <row r="57" spans="1:15" s="15" customFormat="1" x14ac:dyDescent="0.3">
      <c r="A57" s="17"/>
      <c r="B57"/>
      <c r="C57"/>
      <c r="D57"/>
      <c r="E57"/>
      <c r="F57"/>
      <c r="G57"/>
      <c r="H57"/>
      <c r="I57"/>
      <c r="J57"/>
      <c r="K57"/>
      <c r="L57"/>
      <c r="M57" s="27"/>
      <c r="O57" s="27"/>
    </row>
    <row r="58" spans="1:15" s="15" customFormat="1" x14ac:dyDescent="0.3">
      <c r="A58" s="17"/>
      <c r="B58"/>
      <c r="C58"/>
      <c r="D58"/>
      <c r="E58"/>
      <c r="F58"/>
      <c r="G58"/>
      <c r="H58"/>
      <c r="I58"/>
      <c r="J58"/>
      <c r="K58"/>
      <c r="L58"/>
      <c r="M58" s="27"/>
      <c r="O58" s="27"/>
    </row>
    <row r="59" spans="1:15" s="15" customFormat="1" x14ac:dyDescent="0.3">
      <c r="A59" s="17"/>
      <c r="B59"/>
      <c r="C59"/>
      <c r="D59"/>
      <c r="E59"/>
      <c r="F59"/>
      <c r="G59"/>
      <c r="H59"/>
      <c r="I59"/>
      <c r="J59"/>
      <c r="K59"/>
      <c r="L59"/>
      <c r="M59" s="27"/>
      <c r="O59" s="27"/>
    </row>
    <row r="60" spans="1:15" s="15" customFormat="1" x14ac:dyDescent="0.3">
      <c r="A60" s="17"/>
      <c r="B60"/>
      <c r="C60"/>
      <c r="D60"/>
      <c r="E60"/>
      <c r="F60"/>
      <c r="G60"/>
      <c r="H60"/>
      <c r="I60"/>
      <c r="J60"/>
      <c r="K60"/>
      <c r="L60"/>
      <c r="M60" s="27"/>
      <c r="O60" s="27"/>
    </row>
    <row r="61" spans="1:15" s="15" customFormat="1" x14ac:dyDescent="0.3">
      <c r="A61" s="17"/>
      <c r="B61"/>
      <c r="C61"/>
      <c r="D61"/>
      <c r="E61"/>
      <c r="F61"/>
      <c r="G61"/>
      <c r="H61"/>
      <c r="I61"/>
      <c r="J61"/>
      <c r="K61"/>
      <c r="L61"/>
      <c r="M61" s="27"/>
      <c r="O61" s="27"/>
    </row>
    <row r="62" spans="1:15" s="15" customFormat="1" x14ac:dyDescent="0.3">
      <c r="A62" s="17"/>
      <c r="B62"/>
      <c r="C62"/>
      <c r="D62"/>
      <c r="E62"/>
      <c r="F62"/>
      <c r="G62"/>
      <c r="H62"/>
      <c r="I62"/>
      <c r="J62"/>
      <c r="K62"/>
      <c r="L62"/>
      <c r="M62" s="27"/>
      <c r="O62" s="27"/>
    </row>
    <row r="63" spans="1:15" s="15" customFormat="1" x14ac:dyDescent="0.3">
      <c r="A63" s="17"/>
      <c r="B63"/>
      <c r="C63"/>
      <c r="D63"/>
      <c r="E63"/>
      <c r="F63"/>
      <c r="G63"/>
      <c r="H63"/>
      <c r="I63"/>
      <c r="J63"/>
      <c r="K63"/>
      <c r="L63"/>
      <c r="M63" s="27"/>
      <c r="O63" s="27"/>
    </row>
    <row r="64" spans="1:15" s="15" customFormat="1" x14ac:dyDescent="0.3">
      <c r="A64" s="17"/>
      <c r="B64"/>
      <c r="C64"/>
      <c r="D64"/>
      <c r="E64"/>
      <c r="F64"/>
      <c r="G64"/>
      <c r="H64"/>
      <c r="I64"/>
      <c r="J64"/>
      <c r="K64"/>
      <c r="L64"/>
      <c r="M64" s="27"/>
      <c r="O64" s="27"/>
    </row>
    <row r="65" spans="1:15" s="15" customFormat="1" x14ac:dyDescent="0.3">
      <c r="A65" s="17"/>
      <c r="B65"/>
      <c r="C65"/>
      <c r="D65"/>
      <c r="E65"/>
      <c r="F65"/>
      <c r="G65"/>
      <c r="H65"/>
      <c r="I65"/>
      <c r="J65"/>
      <c r="K65"/>
      <c r="L65"/>
      <c r="M65" s="27"/>
      <c r="O65" s="27"/>
    </row>
    <row r="66" spans="1:15" s="15" customFormat="1" x14ac:dyDescent="0.3">
      <c r="A66" s="17"/>
      <c r="B66"/>
      <c r="C66"/>
      <c r="D66"/>
      <c r="E66"/>
      <c r="F66"/>
      <c r="G66"/>
      <c r="H66"/>
      <c r="I66"/>
      <c r="J66"/>
      <c r="K66"/>
      <c r="L66"/>
      <c r="M66" s="27"/>
      <c r="O66" s="27"/>
    </row>
    <row r="67" spans="1:15" s="15" customFormat="1" x14ac:dyDescent="0.3">
      <c r="A67" s="17"/>
      <c r="B67"/>
      <c r="C67"/>
      <c r="D67"/>
      <c r="E67"/>
      <c r="F67"/>
      <c r="G67"/>
      <c r="H67"/>
      <c r="I67"/>
      <c r="J67"/>
      <c r="K67"/>
      <c r="L67"/>
      <c r="M67" s="27"/>
      <c r="O67" s="27"/>
    </row>
    <row r="68" spans="1:15" s="15" customFormat="1" x14ac:dyDescent="0.3">
      <c r="A68" s="17"/>
      <c r="B68"/>
      <c r="C68"/>
      <c r="D68"/>
      <c r="E68"/>
      <c r="F68"/>
      <c r="G68"/>
      <c r="H68"/>
      <c r="I68"/>
      <c r="J68"/>
      <c r="K68"/>
      <c r="L68"/>
      <c r="M68" s="27"/>
      <c r="O68" s="27"/>
    </row>
    <row r="69" spans="1:15" s="15" customFormat="1" x14ac:dyDescent="0.3">
      <c r="A69" s="17"/>
      <c r="B69"/>
      <c r="C69"/>
      <c r="D69"/>
      <c r="E69"/>
      <c r="F69"/>
      <c r="G69"/>
      <c r="H69"/>
      <c r="I69"/>
      <c r="J69"/>
      <c r="K69"/>
      <c r="L69"/>
      <c r="M69" s="27"/>
      <c r="O69" s="27"/>
    </row>
    <row r="70" spans="1:15" s="15" customFormat="1" x14ac:dyDescent="0.3">
      <c r="A70" s="17"/>
      <c r="B70"/>
      <c r="C70"/>
      <c r="D70"/>
      <c r="E70"/>
      <c r="F70"/>
      <c r="G70"/>
      <c r="H70"/>
      <c r="I70"/>
      <c r="J70"/>
      <c r="K70"/>
      <c r="L70"/>
      <c r="M70" s="27"/>
      <c r="O70" s="27"/>
    </row>
    <row r="71" spans="1:15" s="15" customFormat="1" x14ac:dyDescent="0.3">
      <c r="A71" s="17"/>
      <c r="B71"/>
      <c r="C71"/>
      <c r="D71"/>
      <c r="E71"/>
      <c r="F71"/>
      <c r="G71"/>
      <c r="H71"/>
      <c r="I71"/>
      <c r="J71"/>
      <c r="K71"/>
      <c r="L71"/>
      <c r="M71" s="27"/>
      <c r="O71" s="27"/>
    </row>
    <row r="72" spans="1:15" s="15" customFormat="1" x14ac:dyDescent="0.3">
      <c r="A72" s="17"/>
      <c r="B72"/>
      <c r="C72"/>
      <c r="D72"/>
      <c r="E72"/>
      <c r="F72"/>
      <c r="G72"/>
      <c r="H72"/>
      <c r="I72"/>
      <c r="J72"/>
      <c r="K72"/>
      <c r="L72"/>
      <c r="M72" s="27"/>
      <c r="O72" s="27"/>
    </row>
    <row r="73" spans="1:15" s="15" customFormat="1" x14ac:dyDescent="0.3">
      <c r="A73" s="17"/>
      <c r="B73"/>
      <c r="C73"/>
      <c r="D73"/>
      <c r="E73"/>
      <c r="F73"/>
      <c r="G73"/>
      <c r="H73"/>
      <c r="I73"/>
      <c r="J73"/>
      <c r="K73"/>
      <c r="L73"/>
      <c r="M73" s="27"/>
      <c r="O73" s="27"/>
    </row>
    <row r="74" spans="1:15" s="15" customFormat="1" x14ac:dyDescent="0.3">
      <c r="A74" s="17"/>
      <c r="B74"/>
      <c r="C74"/>
      <c r="D74"/>
      <c r="E74"/>
      <c r="F74"/>
      <c r="G74"/>
      <c r="H74"/>
      <c r="I74"/>
      <c r="J74"/>
      <c r="K74"/>
      <c r="L74"/>
      <c r="M74" s="27"/>
      <c r="O74" s="27"/>
    </row>
    <row r="75" spans="1:15" s="15" customFormat="1" x14ac:dyDescent="0.3">
      <c r="A75" s="17"/>
      <c r="B75"/>
      <c r="C75"/>
      <c r="D75"/>
      <c r="E75"/>
      <c r="F75"/>
      <c r="G75"/>
      <c r="H75"/>
      <c r="I75"/>
      <c r="J75"/>
      <c r="K75"/>
      <c r="L75"/>
      <c r="M75" s="27"/>
      <c r="O75" s="27"/>
    </row>
    <row r="76" spans="1:15" s="15" customFormat="1" x14ac:dyDescent="0.3">
      <c r="A76" s="17"/>
      <c r="B76"/>
      <c r="C76"/>
      <c r="D76"/>
      <c r="E76"/>
      <c r="F76"/>
      <c r="G76"/>
      <c r="H76"/>
      <c r="I76"/>
      <c r="J76"/>
      <c r="K76"/>
      <c r="L76"/>
      <c r="M76" s="27"/>
      <c r="O76" s="27"/>
    </row>
    <row r="77" spans="1:15" s="15" customFormat="1" x14ac:dyDescent="0.3">
      <c r="A77" s="17"/>
      <c r="B77"/>
      <c r="C77"/>
      <c r="D77"/>
      <c r="E77"/>
      <c r="F77"/>
      <c r="G77"/>
      <c r="H77"/>
      <c r="I77"/>
      <c r="J77"/>
      <c r="K77"/>
      <c r="L77"/>
      <c r="M77" s="27"/>
      <c r="O77" s="27"/>
    </row>
    <row r="78" spans="1:15" s="15" customFormat="1" x14ac:dyDescent="0.3">
      <c r="A78" s="17"/>
      <c r="B78"/>
      <c r="C78"/>
      <c r="D78"/>
      <c r="E78"/>
      <c r="F78"/>
      <c r="G78"/>
      <c r="H78"/>
      <c r="I78"/>
      <c r="J78"/>
      <c r="K78"/>
      <c r="L78"/>
      <c r="M78" s="27"/>
      <c r="O78" s="27"/>
    </row>
    <row r="79" spans="1:15" s="15" customFormat="1" x14ac:dyDescent="0.3">
      <c r="A79" s="17"/>
      <c r="B79"/>
      <c r="C79"/>
      <c r="D79"/>
      <c r="E79"/>
      <c r="F79"/>
      <c r="G79"/>
      <c r="H79"/>
      <c r="I79"/>
      <c r="J79"/>
      <c r="K79"/>
      <c r="L79"/>
      <c r="M79" s="27"/>
      <c r="O79" s="27"/>
    </row>
    <row r="80" spans="1:15" s="15" customFormat="1" x14ac:dyDescent="0.3">
      <c r="A80" s="17"/>
      <c r="B80"/>
      <c r="C80"/>
      <c r="D80"/>
      <c r="E80"/>
      <c r="F80"/>
      <c r="G80"/>
      <c r="H80"/>
      <c r="I80"/>
      <c r="J80"/>
      <c r="K80"/>
      <c r="L80"/>
      <c r="M80" s="27"/>
      <c r="O80" s="27"/>
    </row>
    <row r="81" spans="1:15" s="15" customFormat="1" x14ac:dyDescent="0.3">
      <c r="A81" s="17"/>
      <c r="B81"/>
      <c r="C81"/>
      <c r="D81"/>
      <c r="E81"/>
      <c r="F81"/>
      <c r="G81"/>
      <c r="H81"/>
      <c r="I81"/>
      <c r="J81"/>
      <c r="K81"/>
      <c r="L81"/>
      <c r="M81" s="27"/>
      <c r="O81" s="27"/>
    </row>
    <row r="82" spans="1:15" s="15" customFormat="1" x14ac:dyDescent="0.3">
      <c r="A82" s="17"/>
      <c r="B82"/>
      <c r="C82"/>
      <c r="D82"/>
      <c r="E82"/>
      <c r="F82"/>
      <c r="G82"/>
      <c r="H82"/>
      <c r="I82"/>
      <c r="J82"/>
      <c r="K82"/>
      <c r="L82"/>
      <c r="M82" s="27"/>
      <c r="O82" s="27"/>
    </row>
    <row r="83" spans="1:15" s="15" customFormat="1" x14ac:dyDescent="0.3">
      <c r="A83" s="17"/>
      <c r="B83"/>
      <c r="C83"/>
      <c r="D83"/>
      <c r="E83"/>
      <c r="F83"/>
      <c r="G83"/>
      <c r="H83"/>
      <c r="I83"/>
      <c r="J83"/>
      <c r="K83"/>
      <c r="L83"/>
      <c r="M83" s="27"/>
      <c r="O83" s="27"/>
    </row>
    <row r="84" spans="1:15" s="15" customFormat="1" x14ac:dyDescent="0.3">
      <c r="A84" s="17"/>
      <c r="B84"/>
      <c r="C84"/>
      <c r="D84"/>
      <c r="E84"/>
      <c r="F84"/>
      <c r="G84"/>
      <c r="H84"/>
      <c r="I84"/>
      <c r="J84"/>
      <c r="K84"/>
      <c r="L84"/>
      <c r="M84" s="27"/>
      <c r="O84" s="27"/>
    </row>
    <row r="85" spans="1:15" s="15" customFormat="1" x14ac:dyDescent="0.3">
      <c r="A85" s="17"/>
      <c r="B85"/>
      <c r="C85"/>
      <c r="D85"/>
      <c r="E85"/>
      <c r="F85"/>
      <c r="G85"/>
      <c r="H85"/>
      <c r="I85"/>
      <c r="J85"/>
      <c r="K85"/>
      <c r="L85"/>
      <c r="M85" s="27"/>
      <c r="O85" s="27"/>
    </row>
    <row r="86" spans="1:15" s="15" customFormat="1" x14ac:dyDescent="0.3">
      <c r="A86" s="17"/>
      <c r="B86"/>
      <c r="C86"/>
      <c r="D86"/>
      <c r="E86"/>
      <c r="F86"/>
      <c r="G86"/>
      <c r="H86"/>
      <c r="I86"/>
      <c r="J86"/>
      <c r="K86"/>
      <c r="L86"/>
      <c r="M86" s="27"/>
      <c r="O86" s="27"/>
    </row>
    <row r="87" spans="1:15" s="15" customFormat="1" x14ac:dyDescent="0.3">
      <c r="A87" s="17"/>
      <c r="B87"/>
      <c r="C87"/>
      <c r="D87"/>
      <c r="E87"/>
      <c r="F87"/>
      <c r="G87"/>
      <c r="H87"/>
      <c r="I87"/>
      <c r="J87"/>
      <c r="K87"/>
      <c r="L87"/>
      <c r="M87" s="27"/>
      <c r="O87" s="27"/>
    </row>
    <row r="88" spans="1:15" s="15" customFormat="1" x14ac:dyDescent="0.3">
      <c r="A88" s="17"/>
      <c r="B88"/>
      <c r="C88"/>
      <c r="D88"/>
      <c r="E88"/>
      <c r="F88"/>
      <c r="G88"/>
      <c r="H88"/>
      <c r="I88"/>
      <c r="J88"/>
      <c r="K88"/>
      <c r="L88"/>
      <c r="M88" s="27"/>
      <c r="O88" s="27"/>
    </row>
    <row r="89" spans="1:15" s="15" customFormat="1" x14ac:dyDescent="0.3">
      <c r="A89" s="17"/>
      <c r="B89"/>
      <c r="C89"/>
      <c r="D89"/>
      <c r="E89"/>
      <c r="F89"/>
      <c r="G89"/>
      <c r="H89"/>
      <c r="I89"/>
      <c r="J89"/>
      <c r="K89"/>
      <c r="L89"/>
      <c r="M89" s="27"/>
      <c r="O89" s="27"/>
    </row>
    <row r="90" spans="1:15" s="15" customFormat="1" x14ac:dyDescent="0.3">
      <c r="A90" s="17"/>
      <c r="B90"/>
      <c r="C90"/>
      <c r="D90"/>
      <c r="E90"/>
      <c r="F90"/>
      <c r="G90"/>
      <c r="H90"/>
      <c r="I90"/>
      <c r="J90"/>
      <c r="K90"/>
      <c r="L90"/>
      <c r="M90" s="27"/>
      <c r="O90" s="27"/>
    </row>
    <row r="91" spans="1:15" s="15" customFormat="1" x14ac:dyDescent="0.3">
      <c r="A91" s="17"/>
      <c r="B91"/>
      <c r="C91"/>
      <c r="D91"/>
      <c r="E91"/>
      <c r="F91"/>
      <c r="G91"/>
      <c r="H91"/>
      <c r="I91"/>
      <c r="J91"/>
      <c r="K91"/>
      <c r="L91"/>
      <c r="M91" s="27"/>
      <c r="O91" s="27"/>
    </row>
    <row r="92" spans="1:15" s="15" customFormat="1" x14ac:dyDescent="0.3">
      <c r="A92" s="17"/>
      <c r="B92"/>
      <c r="C92"/>
      <c r="D92"/>
      <c r="E92"/>
      <c r="F92"/>
      <c r="G92"/>
      <c r="H92"/>
      <c r="I92"/>
      <c r="J92"/>
      <c r="K92"/>
      <c r="L92"/>
      <c r="M92" s="27"/>
      <c r="O92" s="27"/>
    </row>
    <row r="93" spans="1:15" s="15" customFormat="1" x14ac:dyDescent="0.3">
      <c r="A93" s="17"/>
      <c r="B93"/>
      <c r="C93"/>
      <c r="D93"/>
      <c r="E93"/>
      <c r="F93"/>
      <c r="G93"/>
      <c r="H93"/>
      <c r="I93"/>
      <c r="J93"/>
      <c r="K93"/>
      <c r="L93"/>
      <c r="M93" s="27"/>
      <c r="O93" s="27"/>
    </row>
    <row r="94" spans="1:15" s="15" customFormat="1" x14ac:dyDescent="0.3">
      <c r="A94" s="17"/>
      <c r="B94"/>
      <c r="C94"/>
      <c r="D94"/>
      <c r="E94"/>
      <c r="F94"/>
      <c r="G94"/>
      <c r="H94"/>
      <c r="I94"/>
      <c r="J94"/>
      <c r="K94"/>
      <c r="L94"/>
      <c r="M94" s="27"/>
      <c r="O94" s="27"/>
    </row>
    <row r="95" spans="1:15" s="15" customFormat="1" x14ac:dyDescent="0.3">
      <c r="A95" s="17"/>
      <c r="B95"/>
      <c r="C95"/>
      <c r="D95"/>
      <c r="E95"/>
      <c r="F95"/>
      <c r="G95"/>
      <c r="H95"/>
      <c r="I95"/>
      <c r="J95"/>
      <c r="K95"/>
      <c r="L95"/>
      <c r="M95" s="27"/>
      <c r="O95" s="27"/>
    </row>
    <row r="96" spans="1:15" s="15" customFormat="1" x14ac:dyDescent="0.3">
      <c r="A96" s="17"/>
      <c r="B96"/>
      <c r="C96"/>
      <c r="D96"/>
      <c r="E96"/>
      <c r="F96"/>
      <c r="G96"/>
      <c r="H96"/>
      <c r="I96"/>
      <c r="J96"/>
      <c r="K96"/>
      <c r="L96"/>
      <c r="M96" s="27"/>
      <c r="O96" s="27"/>
    </row>
    <row r="97" spans="1:15" s="15" customFormat="1" x14ac:dyDescent="0.3">
      <c r="A97" s="17"/>
      <c r="B97"/>
      <c r="C97"/>
      <c r="D97"/>
      <c r="E97"/>
      <c r="F97"/>
      <c r="G97"/>
      <c r="H97"/>
      <c r="I97"/>
      <c r="J97"/>
      <c r="K97"/>
      <c r="L97"/>
      <c r="M97" s="27"/>
      <c r="O97" s="27"/>
    </row>
    <row r="98" spans="1:15" s="15" customFormat="1" x14ac:dyDescent="0.3">
      <c r="A98" s="17"/>
      <c r="B98"/>
      <c r="C98"/>
      <c r="D98"/>
      <c r="E98"/>
      <c r="F98"/>
      <c r="G98"/>
      <c r="H98"/>
      <c r="I98"/>
      <c r="J98"/>
      <c r="K98"/>
      <c r="L98"/>
      <c r="M98" s="27"/>
      <c r="O98" s="27"/>
    </row>
    <row r="99" spans="1:15" s="15" customFormat="1" x14ac:dyDescent="0.3">
      <c r="A99" s="17"/>
      <c r="B99"/>
      <c r="C99"/>
      <c r="D99"/>
      <c r="E99"/>
      <c r="F99"/>
      <c r="G99"/>
      <c r="H99"/>
      <c r="I99"/>
      <c r="J99"/>
      <c r="K99"/>
      <c r="L99"/>
      <c r="M99" s="27"/>
      <c r="O99" s="27"/>
    </row>
    <row r="100" spans="1:15" s="15" customFormat="1" x14ac:dyDescent="0.3">
      <c r="A100" s="17"/>
      <c r="B100"/>
      <c r="C100"/>
      <c r="D100"/>
      <c r="E100"/>
      <c r="F100"/>
      <c r="G100"/>
      <c r="H100"/>
      <c r="I100"/>
      <c r="J100"/>
      <c r="K100"/>
      <c r="L100"/>
      <c r="M100" s="27"/>
      <c r="O100" s="27"/>
    </row>
    <row r="101" spans="1:15" s="15" customFormat="1" x14ac:dyDescent="0.3">
      <c r="A101" s="17"/>
      <c r="B101"/>
      <c r="C101"/>
      <c r="D101"/>
      <c r="E101"/>
      <c r="F101"/>
      <c r="G101"/>
      <c r="H101"/>
      <c r="I101"/>
      <c r="J101"/>
      <c r="K101"/>
      <c r="L101"/>
      <c r="M101" s="27"/>
      <c r="O101" s="27"/>
    </row>
    <row r="102" spans="1:15" s="15" customFormat="1" x14ac:dyDescent="0.3">
      <c r="A102" s="17"/>
      <c r="B102"/>
      <c r="C102"/>
      <c r="D102"/>
      <c r="E102"/>
      <c r="F102"/>
      <c r="G102"/>
      <c r="H102"/>
      <c r="I102"/>
      <c r="J102"/>
      <c r="K102"/>
      <c r="L102"/>
      <c r="M102" s="27"/>
      <c r="O102" s="27"/>
    </row>
    <row r="103" spans="1:15" s="15" customFormat="1" x14ac:dyDescent="0.3">
      <c r="A103" s="17"/>
      <c r="B103"/>
      <c r="C103"/>
      <c r="D103"/>
      <c r="E103"/>
      <c r="F103"/>
      <c r="G103"/>
      <c r="H103"/>
      <c r="I103"/>
      <c r="J103"/>
      <c r="K103"/>
      <c r="L103"/>
      <c r="M103" s="27"/>
      <c r="O103" s="27"/>
    </row>
    <row r="104" spans="1:15" s="15" customFormat="1" x14ac:dyDescent="0.3">
      <c r="A104" s="17"/>
      <c r="B104"/>
      <c r="C104"/>
      <c r="D104"/>
      <c r="E104"/>
      <c r="F104"/>
      <c r="G104"/>
      <c r="H104"/>
      <c r="I104"/>
      <c r="J104"/>
      <c r="K104"/>
      <c r="L104"/>
      <c r="M104" s="27"/>
      <c r="O104" s="27"/>
    </row>
    <row r="105" spans="1:15" s="15" customFormat="1" x14ac:dyDescent="0.3">
      <c r="A105" s="17"/>
      <c r="B105"/>
      <c r="C105"/>
      <c r="D105"/>
      <c r="E105"/>
      <c r="F105"/>
      <c r="G105"/>
      <c r="H105"/>
      <c r="I105"/>
      <c r="J105"/>
      <c r="K105"/>
      <c r="L105"/>
      <c r="M105" s="27"/>
      <c r="O105" s="27"/>
    </row>
    <row r="106" spans="1:15" s="15" customFormat="1" x14ac:dyDescent="0.3">
      <c r="A106" s="17"/>
      <c r="B106"/>
      <c r="C106"/>
      <c r="D106"/>
      <c r="E106"/>
      <c r="F106"/>
      <c r="G106"/>
      <c r="H106"/>
      <c r="I106"/>
      <c r="J106"/>
      <c r="K106"/>
      <c r="L106"/>
      <c r="M106" s="27"/>
      <c r="O106" s="27"/>
    </row>
    <row r="107" spans="1:15" s="15" customFormat="1" x14ac:dyDescent="0.3">
      <c r="A107" s="17"/>
      <c r="B107"/>
      <c r="C107"/>
      <c r="D107"/>
      <c r="E107"/>
      <c r="F107"/>
      <c r="G107"/>
      <c r="H107"/>
      <c r="I107"/>
      <c r="J107"/>
      <c r="K107"/>
      <c r="L107"/>
      <c r="M107" s="27"/>
      <c r="O107" s="27"/>
    </row>
    <row r="108" spans="1:15" s="15" customFormat="1" x14ac:dyDescent="0.3">
      <c r="A108" s="17"/>
      <c r="B108"/>
      <c r="C108"/>
      <c r="D108"/>
      <c r="E108"/>
      <c r="F108"/>
      <c r="G108"/>
      <c r="H108"/>
      <c r="I108"/>
      <c r="J108"/>
      <c r="K108"/>
      <c r="L108"/>
      <c r="M108" s="27"/>
      <c r="O108" s="27"/>
    </row>
    <row r="109" spans="1:15" s="15" customFormat="1" x14ac:dyDescent="0.3">
      <c r="A109" s="17"/>
      <c r="B109"/>
      <c r="C109"/>
      <c r="D109"/>
      <c r="E109"/>
      <c r="F109"/>
      <c r="G109"/>
      <c r="H109"/>
      <c r="I109"/>
      <c r="J109"/>
      <c r="K109"/>
      <c r="L109"/>
      <c r="M109" s="27"/>
      <c r="O109" s="27"/>
    </row>
    <row r="110" spans="1:15" s="15" customFormat="1" x14ac:dyDescent="0.3">
      <c r="A110" s="17"/>
      <c r="B110"/>
      <c r="C110"/>
      <c r="D110"/>
      <c r="E110"/>
      <c r="F110"/>
      <c r="G110"/>
      <c r="H110"/>
      <c r="I110"/>
      <c r="J110"/>
      <c r="K110"/>
      <c r="L110"/>
      <c r="M110" s="27"/>
      <c r="O110" s="27"/>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48</vt:i4>
      </vt:variant>
    </vt:vector>
  </HeadingPairs>
  <TitlesOfParts>
    <vt:vector size="48" baseType="lpstr">
      <vt:lpstr>Function List</vt:lpstr>
      <vt:lpstr>Main Functions</vt:lpstr>
      <vt:lpstr>OLS Functions</vt:lpstr>
      <vt:lpstr>STATIONARIZE</vt:lpstr>
      <vt:lpstr>ISSTATIONARY</vt:lpstr>
      <vt:lpstr>IORDER</vt:lpstr>
      <vt:lpstr>ISCOINTEGRATED</vt:lpstr>
      <vt:lpstr>DFTABLE</vt:lpstr>
      <vt:lpstr>GRANGER</vt:lpstr>
      <vt:lpstr>ANOVA</vt:lpstr>
      <vt:lpstr>LAG</vt:lpstr>
      <vt:lpstr>LEAD</vt:lpstr>
      <vt:lpstr>HPFILTER</vt:lpstr>
      <vt:lpstr>DIFF</vt:lpstr>
      <vt:lpstr>DETREND</vt:lpstr>
      <vt:lpstr>SEASADJ</vt:lpstr>
      <vt:lpstr>DUMMYVAR</vt:lpstr>
      <vt:lpstr>ADDCONST</vt:lpstr>
      <vt:lpstr>ADDTREND</vt:lpstr>
      <vt:lpstr>TSOPER</vt:lpstr>
      <vt:lpstr>EYE</vt:lpstr>
      <vt:lpstr>ZEROS</vt:lpstr>
      <vt:lpstr>ONES</vt:lpstr>
      <vt:lpstr>DIAG</vt:lpstr>
      <vt:lpstr>TRIL</vt:lpstr>
      <vt:lpstr>TRIU</vt:lpstr>
      <vt:lpstr>VEC</vt:lpstr>
      <vt:lpstr>RESHAPE</vt:lpstr>
      <vt:lpstr>FLIPLR</vt:lpstr>
      <vt:lpstr>FLIPUD</vt:lpstr>
      <vt:lpstr>REPMAT</vt:lpstr>
      <vt:lpstr>NOZERO (FIND)</vt:lpstr>
      <vt:lpstr>BLKDIAG</vt:lpstr>
      <vt:lpstr>ALL</vt:lpstr>
      <vt:lpstr>ANY</vt:lpstr>
      <vt:lpstr>NNZ</vt:lpstr>
      <vt:lpstr>LINSPACE</vt:lpstr>
      <vt:lpstr>LENGTH</vt:lpstr>
      <vt:lpstr>DIM</vt:lpstr>
      <vt:lpstr>NUMEL</vt:lpstr>
      <vt:lpstr>RMMISSING</vt:lpstr>
      <vt:lpstr>ISOUTLIER</vt:lpstr>
      <vt:lpstr>RMOUTLIERS</vt:lpstr>
      <vt:lpstr>MULTIFILTER</vt:lpstr>
      <vt:lpstr>TEXTTOARRAY</vt:lpstr>
      <vt:lpstr>COMPLEMENT</vt:lpstr>
      <vt:lpstr>SORTRANGE</vt:lpstr>
      <vt:lpstr>ISUNIQUE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Eduardo</dc:creator>
  <cp:lastModifiedBy>Eduardo</cp:lastModifiedBy>
  <dcterms:created xsi:type="dcterms:W3CDTF">2022-02-28T15:33:27Z</dcterms:created>
  <dcterms:modified xsi:type="dcterms:W3CDTF">2022-10-08T20:16:18Z</dcterms:modified>
</cp:coreProperties>
</file>