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EstaPastaDeTrabalho" defaultThemeVersion="166925"/>
  <mc:AlternateContent xmlns:mc="http://schemas.openxmlformats.org/markup-compatibility/2006">
    <mc:Choice Requires="x15">
      <x15ac:absPath xmlns:x15ac="http://schemas.microsoft.com/office/spreadsheetml/2010/11/ac" url="C:\Users\Eduardo\Google Drive\Meus Projetos\xlMATRIX\"/>
    </mc:Choice>
  </mc:AlternateContent>
  <xr:revisionPtr revIDLastSave="0" documentId="13_ncr:1_{D45FF434-9BC7-4D3D-980B-AE3AD909146A}" xr6:coauthVersionLast="47" xr6:coauthVersionMax="47" xr10:uidLastSave="{00000000-0000-0000-0000-000000000000}"/>
  <bookViews>
    <workbookView xWindow="26400" yWindow="-315" windowWidth="29040" windowHeight="15840" xr2:uid="{3E111190-26EA-484A-ABB9-DC63F2384BD9}"/>
  </bookViews>
  <sheets>
    <sheet name="Function List" sheetId="12" r:id="rId1"/>
    <sheet name="General" sheetId="1" r:id="rId2"/>
    <sheet name="OLS Functions" sheetId="2" r:id="rId3"/>
    <sheet name="HPFILTER" sheetId="31" r:id="rId4"/>
    <sheet name="DETREND" sheetId="29" r:id="rId5"/>
    <sheet name="SEASADJ" sheetId="25" r:id="rId6"/>
    <sheet name="DUMMYVAR" sheetId="26" r:id="rId7"/>
    <sheet name="ADDCONST" sheetId="27" r:id="rId8"/>
    <sheet name="ADDTREND" sheetId="28" r:id="rId9"/>
    <sheet name="EYE" sheetId="3" r:id="rId10"/>
    <sheet name="ZEROS" sheetId="5" r:id="rId11"/>
    <sheet name="ONES" sheetId="8" r:id="rId12"/>
    <sheet name="DIAG" sheetId="4" r:id="rId13"/>
    <sheet name="TRIL" sheetId="6" r:id="rId14"/>
    <sheet name="TRIU" sheetId="7" r:id="rId15"/>
    <sheet name="VEC" sheetId="9" r:id="rId16"/>
    <sheet name="RESHAPE" sheetId="23" r:id="rId17"/>
    <sheet name="FLIPLR" sheetId="10" r:id="rId18"/>
    <sheet name="FLIPUD" sheetId="11" r:id="rId19"/>
    <sheet name="REPMAT" sheetId="13" r:id="rId20"/>
    <sheet name="NOZERO (FIND)" sheetId="14" r:id="rId21"/>
    <sheet name="BLKDIAG" sheetId="15" r:id="rId22"/>
    <sheet name="ALL" sheetId="17" r:id="rId23"/>
    <sheet name="ANY" sheetId="18" r:id="rId24"/>
    <sheet name="NNZ" sheetId="22" r:id="rId25"/>
    <sheet name="LINSPACE" sheetId="19" r:id="rId26"/>
    <sheet name="LENGTH" sheetId="20" r:id="rId27"/>
    <sheet name="SIZE" sheetId="30" r:id="rId28"/>
    <sheet name="NUMEL" sheetId="21" r:id="rId29"/>
    <sheet name="RMMISSING" sheetId="24" r:id="rId30"/>
  </sheets>
  <definedNames>
    <definedName name="ADDCONST">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definedName>
    <definedName name="ADDTREND">_xlfn.LAMBDA(_xlpm.matrix,_xlop.position,_xlop.nPower, _xlfn.LET( _xlpm.position, IF( _xlfn.ISOMITTED(_xlpm.position), 1, _xlpm.position), _xlpm.power, IF( _xlfn.ISOMITTED(_xlpm.nPower),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definedName>
    <definedName name="ALL">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definedName>
    <definedName name="ANY">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definedName>
    <definedName name="BLKDIAG">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definedName>
    <definedName name="DETREND">_xlfn.LAMBDA(_xlpm.values,_xlop.nPower, _xlfn.LET(_xlpm.nPower, IF(_xlfn.ISOMITTED(_xlpm.nPower), 1, _xlpm.nPower),  _xlpm.values - OLS_FITTED(_xlpm.values, ADDCONST(_xlfn.SEQUENCE(ROWS(_xlpm.values))^_xlpm.nPower)) ) )</definedName>
    <definedName name="DIAG">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definedName>
    <definedName name="DUMMYVAR">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definedName>
    <definedName name="EYE">_xlfn.LAMBDA(_xlpm.n,_xlop.m, _xlfn.LET(_xlpm.m, IF(_xlfn.ISOMITTED(_xlpm.m),_xlpm.n,_xlpm.m), IF(_xlpm.n=_xlpm.m,_xlfn.MUNIT(_xlpm.n),HORZCAT(_xlfn.MUNIT(_xlpm.n),ZEROS(_xlpm.n,_xlpm.m-_xlpm.n)))))</definedName>
    <definedName name="FLIPLR">_xlfn.LAMBDA(_xlpm.matrix,_xlfn.LET(_xlpm.matrix2,TRANSPOSE(_xlpm.matrix),TRANSPOSE(_xlfn.SORTBY(_xlpm.matrix2,_xlfn.SEQUENCE(ROWS(_xlpm.matrix2),1),-1))))</definedName>
    <definedName name="FLIPUD">_xlfn.LAMBDA(_xlpm.matrix, _xlfn.SORTBY(_xlpm.matrix, _xlfn.SEQUENCE(ROWS(_xlpm.matrix),1),-1) )</definedName>
    <definedName name="HORZCAT" comment="Concatenate arrays horizontally">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definedName>
    <definedName name="HPFILTER">_xlfn.LAMBDA(_xlpm.values,_xlpm.lambda,_xlop.trendCycle, _xlfn.LET( _xlpm.trendCycle, IF( _xlfn.ISOMITTED(_xlpm.trendCycle), "t", LOWER(_xlpm.trendCycle) ),  _xlpm.ident, EYE(LENGTH(_xlpm.values)),  _xlpm.pentad0, VERTCAT( VERTCAT( {1;5;6}, 6 * ONES(LENGTH(_xlpm.values) - 6,1)), {6;5;1} ),  _xlpm.pentad1, VERTCAT( VERTCAT( {-2;-4}, -4 * ONES(LENGTH(_xlpm.values) - 5,1)), {-4;-2} ),  _xlpm.pentad2, ONES(LENGTH(_xlpm.values) - 2,1),  _xlpm.pentad, _xlfn.LAMBDA(_xlpm.matrix0,_xlpm.matrix1,_xlpm.matrix2, _xlfn.MAKEARRAY( LENGTH(_xlpm.matrix0), LENGTH(_xlpm.matrix0), _xlfn.LAMBDA(_xlpm.row,_xlpm.col, IF( _xlpm.row = _xlpm.col, INDEX(_xlpm.matrix0,_xlpm.row,1), IF( OR(_xlpm.row=_xlpm.col+1, _xlpm.col=_xlpm.row+1), INDEX(_xlpm.matrix1, MIN(_xlpm.row,_xlpm.col),1), IF( OR(_xlpm.row=_xlpm.col+2, _xlpm.col=_xlpm.row+2), INDEX(_xlpm.matrix2, MIN(_xlpm.row,_xlpm.col),1), 0 ) ) ) )  ) )(_xlpm.pentad0,_xlpm.pentad1,_xlpm.pentad2),  _xlpm.trend, MMULT( MINVERSE( _xlpm.lambda * _xlpm.pentad + _xlpm.ident), _xlpm.values),  IF(_xlpm.trendCycle = "t", _xlpm.trend, IF(_xlpm.trendCycle = "c", _xlpm.values - _xlpm.trend, "#trendCycle must be either ""t"" or ""c""") ) ) )</definedName>
    <definedName name="LENGTH">_xlfn.LAMBDA(_xlpm.matrix, MAX(ROWS(_xlpm.matrix),COLUMNS(_xlpm.matrix)) )</definedName>
    <definedName name="LINSPACE">_xlfn.LAMBDA(_xlpm.lb,_xlpm.ub,_xlop.n, _xlfn.LET(_xlpm.n, IF(_xlfn.ISOMITTED(_xlpm.n),100,_xlpm.n), _xlfn.MAKEARRAY(_xlpm.n, 1,_xlfn.LAMBDA(_xlpm.lin,_xlpm.col, _xlpm.lb + (_xlpm.lin-1)*(_xlpm.ub - _xlpm.lb)/(_xlpm.n-1) ))) )</definedName>
    <definedName name="M">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definedName>
    <definedName name="NNZ">_xlfn.LAMBDA(_xlpm.matrix, COUNTA(_xlpm.matrix) - SUM(IF(_xlpm.matrix=FALSE,1,0)) - SUM(IF(_xlpm.matrix=0,1,0)) )</definedName>
    <definedName name="NOZERO">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definedName>
    <definedName name="NUMEL">_xlfn.LAMBDA(_xlpm.matrix, ROWS(_xlpm.matrix)*COLUMNS(_xlpm.matrix) )</definedName>
    <definedName name="OLS_COEFF">_xlfn.LAMBDA(_xlpm.y,_xlpm.X,_xlfn.LET( _xlpm.XX, MINVERSE(MMULT(TRANSPOSE(_xlpm.X),_xlpm.X)), _xlpm.XY, MMULT(TRANSPOSE(_xlpm.X),_xlpm.y), MMULT(_xlpm.XX,_xlpm.XY)))</definedName>
    <definedName name="OLS_COEFF_STDEV">_xlfn.LAMBDA(_xlpm.y,_xlpm.X,_xlop.coeff,_xlfn.LET(_xlpm.bbeta, IF(_xlfn.ISOMITTED(_xlpm.coeff), OLS_COEFF(_xlpm.y,_xlpm.X), _xlpm.coeff), DIAG(SQRT(OLS_VARCOV(_xlpm.y,_xlpm.X,_xlpm.coeff))) ))</definedName>
    <definedName name="OLS_FITTED">_xlfn.LAMBDA(_xlpm.y,_xlpm.X,_xlop.coeff,_xlfn.LET(_xlpm.bbeta, IF(_xlfn.ISOMITTED(_xlpm.coeff), OLS_COEFF(_xlpm.y,_xlpm.X), _xlpm.coeff), MMULT(_xlpm.X,_xlpm.bbeta)))</definedName>
    <definedName name="OLS_RESIDUALS">_xlfn.LAMBDA(_xlpm.y,_xlpm.X,_xlop.coeff,_xlfn.LET(_xlpm.bbeta, IF(_xlfn.ISOMITTED(_xlpm.coeff), OLS_COEFF(_xlpm.y,_xlpm.X), _xlpm.coeff), _xlpm.y - MMULT(_xlpm.X,_xlpm.bbeta)))</definedName>
    <definedName name="OLS_VARCOV">_xlfn.LAMBDA(_xlpm.y,_xlpm.X,_xlop.coeff,_xlfn.LET(_xlpm.bbeta, IF(_xlfn.ISOMITTED(_xlpm.coeff), OLS_COEFF(_xlpm.y,_xlpm.X), _xlpm.coeff),_xlpm.XX,MINVERSE(MMULT(TRANSPOSE(_xlpm.X),_xlpm.X)), ( SUM(OLS_RESIDUALS(_xlpm.y,_xlpm.X,_xlpm.bbeta)^2) / (ROWS(_xlpm.X) - COLUMNS(_xlpm.X) ) ) *_xlpm.XX))</definedName>
    <definedName name="ONES">_xlfn.LAMBDA(_xlpm.n,_xlop.m, _xlfn.LET(_xlpm.m, IF(_xlfn.ISOMITTED(_xlpm.m),_xlpm.n,IF(_xlpm.m=0,_xlpm.n,_xlpm.m)), _xlfn.MAKEARRAY(_xlpm.n, _xlpm.m,_xlfn.LAMBDA(_xlpm.lin,_xlpm.col,1))) )</definedName>
    <definedName name="REPMAT" comment="Repeat copies of array">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definedName>
    <definedName name="RESHAPE">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definedName>
    <definedName name="REVERSECOLS" comment="Reverse the columns of a matrix">_xlfn.LAMBDA(_xlpm.matrix,_xlfn.LET(_xlpm.matrix2,TRANSPOSE(_xlpm.matrix),TRANSPOSE(_xlfn.SORTBY(_xlpm.matrix2,_xlfn.SEQUENCE(ROWS(_xlpm.matrix2),1),-1))))</definedName>
    <definedName name="REVERSEROWS" comment="Reverse the lines of a matrix">_xlfn.LAMBDA(_xlpm.matrix, _xlfn.SORTBY(_xlpm.matrix, _xlfn.SEQUENCE(ROWS(_xlpm.matrix),1),-1) )</definedName>
    <definedName name="RMMISSING">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definedName>
    <definedName name="SAMPLE" comment="Extract a sample of lines from a matrix">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definedName>
    <definedName name="SEASADJ">_xlfn.LAMBDA(_xlpm.dates,_xlpm.values, _xlfn.LET(_xlpm.dummies, DUMMYVAR( MONTH(_xlpm.dates), FALSE),  AVERAGE(_xlpm.values) + OLS_RESIDUALS(_xlpm.values, _xlpm.dummies  ) ) )</definedName>
    <definedName name="SIZE">_xlfn.LAMBDA(_xlpm.matrix,_xlop.dim, _xlfn.LET(_xlpm.dim, IF(_xlfn.ISOMITTED(_xlpm.dim), 3, _xlpm.dim), CHOOSE(_xlpm.dim, ROWS(_xlpm.matrix), COLUMNS(_xlpm.matrix), VERTCAT(ROWS(_xlpm.matrix),COLUMNS(_xlpm.matrix)))) )</definedName>
    <definedName name="SLICE" comment="Slice a matrix">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definedName>
    <definedName name="SPLIT">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definedName>
    <definedName name="TEXTTOCHAR">_xlfn.LAMBDA(_xlpm.txt,MID(_xlpm.txt,_xlfn.SEQUENCE(LEN(_xlpm.txt)),1))</definedName>
    <definedName name="TRIL">_xlfn.LAMBDA(_xlpm.matrix,_xlop.k,_xlfn.MAKEARRAY(ROWS(_xlpm.matrix),COLUMNS(_xlpm.matrix),_xlfn.LAMBDA(_xlpm.lin,_xlpm.col,_xlpm.col&lt;=(_xlpm.lin+_xlpm.k)))*_xlpm.matrix)</definedName>
    <definedName name="TRIU">_xlfn.LAMBDA(_xlpm.matrix,_xlop.K,_xlfn.MAKEARRAY(ROWS(_xlpm.matrix),COLUMNS(_xlpm.matrix),_xlfn.LAMBDA(_xlpm.lin,_xlpm.col,_xlpm.col&gt;=(_xlpm.lin+_xlpm.K)))*_xlpm.matrix)</definedName>
    <definedName name="VEC">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definedName>
    <definedName name="VERTCAT" comment="Concatenate arrays vertically">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definedName>
    <definedName name="ZEROS">_xlfn.LAMBDA(_xlpm.n,_xlop.m, _xlfn.LET(_xlpm.m, IF(_xlfn.ISOMITTED(_xlpm.m),_xlpm.n,IF(_xlpm.m=0,_xlpm.n,_xlpm.m)), _xlfn.MAKEARRAY(_xlpm.n, _xlpm.m,_xlfn.LAMBDA(_xlpm.lin,_xlpm.col,0)))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5" i="12" l="1" a="1"/>
  <c r="I45" i="12" s="1"/>
  <c r="P8" i="31" a="1"/>
  <c r="P8" i="31" s="1"/>
  <c r="O8" i="31" a="1"/>
  <c r="O8" i="31" s="1"/>
  <c r="M8" i="31" a="1"/>
  <c r="M8" i="31" s="1"/>
  <c r="I37" i="12" l="1" a="1"/>
  <c r="I37" i="12" s="1"/>
  <c r="I18" i="30" a="1"/>
  <c r="I18" i="30" s="1"/>
  <c r="I11" i="30" a="1"/>
  <c r="I11" i="30" s="1"/>
  <c r="I44" i="12" a="1"/>
  <c r="I44" i="12" s="1"/>
  <c r="J8" i="29" a="1"/>
  <c r="J8" i="29" s="1"/>
  <c r="L8" i="29" a="1"/>
  <c r="L8" i="29" s="1"/>
  <c r="J21" i="28" a="1"/>
  <c r="J21" i="28" s="1"/>
  <c r="J9" i="28" a="1"/>
  <c r="J9" i="28" s="1"/>
  <c r="I41" i="12" a="1"/>
  <c r="I41" i="12" s="1"/>
  <c r="I35" i="26" a="1"/>
  <c r="I35" i="26" s="1"/>
  <c r="F58" i="26"/>
  <c r="F57" i="26"/>
  <c r="F56" i="26"/>
  <c r="F55" i="26"/>
  <c r="F54" i="26"/>
  <c r="F53" i="26"/>
  <c r="F52" i="26"/>
  <c r="F51" i="26"/>
  <c r="F50" i="26"/>
  <c r="F49" i="26"/>
  <c r="F48" i="26"/>
  <c r="F47" i="26"/>
  <c r="F46" i="26"/>
  <c r="F45" i="26"/>
  <c r="F44" i="26"/>
  <c r="F43" i="26"/>
  <c r="F42" i="26"/>
  <c r="F41" i="26"/>
  <c r="F40" i="26"/>
  <c r="F39" i="26"/>
  <c r="F38" i="26"/>
  <c r="F37" i="26"/>
  <c r="F36" i="26"/>
  <c r="F35" i="26"/>
  <c r="M9" i="25" a="1"/>
  <c r="M9" i="25" s="1"/>
  <c r="K9" i="25" a="1"/>
  <c r="K9" i="25" s="1"/>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18" i="25"/>
  <c r="G219" i="25"/>
  <c r="G220" i="25"/>
  <c r="G221" i="25"/>
  <c r="G222" i="25"/>
  <c r="G223" i="25"/>
  <c r="G224" i="25"/>
  <c r="G225" i="25"/>
  <c r="G226" i="25"/>
  <c r="G227" i="25"/>
  <c r="G228" i="25"/>
  <c r="G229" i="25"/>
  <c r="G230" i="25"/>
  <c r="G231" i="25"/>
  <c r="G232" i="25"/>
  <c r="G233" i="25"/>
  <c r="G234" i="25"/>
  <c r="G235" i="25"/>
  <c r="G236" i="25"/>
  <c r="G237" i="25"/>
  <c r="G238" i="25"/>
  <c r="G239" i="25"/>
  <c r="G240" i="25"/>
  <c r="G241" i="25"/>
  <c r="G242" i="25"/>
  <c r="G243" i="25"/>
  <c r="G244" i="25"/>
  <c r="G245" i="25"/>
  <c r="G246" i="25"/>
  <c r="G247" i="25"/>
  <c r="G9" i="25"/>
  <c r="F45" i="12" a="1"/>
  <c r="F44" i="12" a="1"/>
  <c r="F41" i="12" a="1"/>
  <c r="F37" i="12" a="1"/>
  <c r="F45" i="12" l="1"/>
  <c r="F37" i="12"/>
  <c r="F44" i="12"/>
  <c r="F41" i="12"/>
  <c r="I20" i="27" a="1"/>
  <c r="I20" i="27" s="1"/>
  <c r="I8" i="27" a="1"/>
  <c r="I8" i="27" s="1"/>
  <c r="I40" i="12" a="1"/>
  <c r="I40" i="12" s="1"/>
  <c r="I43" i="12" a="1"/>
  <c r="I43" i="12" s="1"/>
  <c r="K28" i="23" a="1"/>
  <c r="K28" i="23" s="1"/>
  <c r="K19" i="23" a="1"/>
  <c r="K19" i="23" s="1"/>
  <c r="K10" i="23" a="1"/>
  <c r="K10" i="23" s="1"/>
  <c r="I30" i="12" a="1"/>
  <c r="I30" i="12" s="1"/>
  <c r="K17" i="24" a="1"/>
  <c r="K17" i="24" s="1"/>
  <c r="I39" i="12" a="1"/>
  <c r="I39" i="12" s="1"/>
  <c r="I42" i="12" a="1"/>
  <c r="I42" i="12" s="1"/>
  <c r="F40" i="12" a="1"/>
  <c r="F43" i="12" a="1"/>
  <c r="F42" i="12" a="1"/>
  <c r="F40" i="12" l="1"/>
  <c r="F43" i="12"/>
  <c r="F42" i="12"/>
  <c r="F9" i="26"/>
  <c r="F10" i="26"/>
  <c r="F11" i="26"/>
  <c r="F12" i="26"/>
  <c r="F13" i="26"/>
  <c r="F14" i="26"/>
  <c r="F15" i="26"/>
  <c r="F16" i="26"/>
  <c r="F17" i="26"/>
  <c r="F18" i="26"/>
  <c r="F19" i="26"/>
  <c r="F20" i="26"/>
  <c r="F21" i="26"/>
  <c r="F22" i="26"/>
  <c r="F23" i="26"/>
  <c r="F24" i="26"/>
  <c r="F25" i="26"/>
  <c r="F26" i="26"/>
  <c r="F27" i="26"/>
  <c r="F28" i="26"/>
  <c r="F29" i="26"/>
  <c r="F30" i="26"/>
  <c r="F31" i="26"/>
  <c r="F8" i="26"/>
  <c r="I55" i="12" a="1"/>
  <c r="I55" i="12" s="1"/>
  <c r="I56" i="12" a="1"/>
  <c r="I56" i="12" s="1"/>
  <c r="E15" i="2"/>
  <c r="E14" i="2"/>
  <c r="E13" i="2"/>
  <c r="E12" i="2"/>
  <c r="E11" i="2"/>
  <c r="E10" i="2"/>
  <c r="E9" i="2"/>
  <c r="E8" i="2"/>
  <c r="E7" i="2"/>
  <c r="E6" i="2"/>
  <c r="E5" i="2"/>
  <c r="E4" i="2"/>
  <c r="I8" i="26" l="1" a="1"/>
  <c r="I8" i="26" s="1"/>
  <c r="G13" i="2" a="1"/>
  <c r="G13" i="2" s="1"/>
  <c r="P19" i="2" a="1"/>
  <c r="P19" i="2" s="1"/>
  <c r="Q19" i="2" a="1"/>
  <c r="Q19" i="2" s="1"/>
  <c r="G19" i="2" a="1"/>
  <c r="G19" i="2" s="1"/>
  <c r="G5" i="2" a="1"/>
  <c r="G5" i="2" s="1"/>
  <c r="D19" i="2" a="1"/>
  <c r="D19" i="2" s="1"/>
  <c r="K19" i="2" a="1"/>
  <c r="K19" i="2" s="1"/>
  <c r="K7" i="24" l="1" a="1"/>
  <c r="K7" i="24" s="1"/>
  <c r="G18" i="24"/>
  <c r="G8" i="24"/>
  <c r="F39" i="12" a="1"/>
  <c r="F39" i="12" l="1"/>
  <c r="I58" i="12" l="1" a="1"/>
  <c r="I58" i="12" s="1"/>
  <c r="I57" i="12" a="1"/>
  <c r="I57" i="12" s="1"/>
  <c r="I54" i="12" a="1"/>
  <c r="I54" i="12" s="1"/>
  <c r="I50" i="12" a="1"/>
  <c r="I50" i="12" s="1"/>
  <c r="I49" i="12" a="1"/>
  <c r="I49" i="12" s="1"/>
  <c r="I38" i="12" a="1"/>
  <c r="I38" i="12" s="1"/>
  <c r="I36" i="12" a="1"/>
  <c r="I36" i="12" s="1"/>
  <c r="I35" i="12" a="1"/>
  <c r="I35" i="12" s="1"/>
  <c r="I34" i="12" a="1"/>
  <c r="I34" i="12" s="1"/>
  <c r="I33" i="12" a="1"/>
  <c r="I33" i="12" s="1"/>
  <c r="I32" i="12" a="1"/>
  <c r="I32" i="12" s="1"/>
  <c r="I31" i="12" a="1"/>
  <c r="I31" i="12" s="1"/>
  <c r="I29" i="12" a="1"/>
  <c r="I29" i="12" s="1"/>
  <c r="I28" i="12" a="1"/>
  <c r="I28" i="12" s="1"/>
  <c r="I27" i="12" a="1"/>
  <c r="I27" i="12" s="1"/>
  <c r="I26" i="12" a="1"/>
  <c r="I26" i="12" s="1"/>
  <c r="I25" i="12" a="1"/>
  <c r="I25" i="12" s="1"/>
  <c r="I24" i="12" a="1"/>
  <c r="I24" i="12" s="1"/>
  <c r="I23" i="12" a="1"/>
  <c r="I23" i="12" s="1"/>
  <c r="I22" i="12" a="1"/>
  <c r="I22" i="12" s="1"/>
  <c r="I21" i="12" a="1"/>
  <c r="I21" i="12" s="1"/>
  <c r="I17" i="12" a="1"/>
  <c r="I17" i="12" s="1"/>
  <c r="I16" i="12" a="1"/>
  <c r="I16" i="12" s="1"/>
  <c r="I15" i="12" a="1"/>
  <c r="I15" i="12" s="1"/>
  <c r="I14" i="12" a="1"/>
  <c r="I14" i="12" s="1"/>
  <c r="I13" i="12" a="1"/>
  <c r="I13" i="12" s="1"/>
  <c r="I12" i="12" a="1"/>
  <c r="I12" i="12" s="1"/>
  <c r="I11" i="12" a="1"/>
  <c r="I11" i="12" s="1"/>
  <c r="K20" i="9" a="1"/>
  <c r="K20" i="9" s="1"/>
  <c r="K9" i="9" a="1"/>
  <c r="K9" i="9" s="1"/>
  <c r="J9" i="22" a="1"/>
  <c r="J9" i="22" s="1"/>
  <c r="J16" i="22" a="1"/>
  <c r="J16" i="22" s="1"/>
  <c r="AJ21" i="1" a="1"/>
  <c r="AJ21" i="1" s="1"/>
  <c r="AJ6" i="1" a="1"/>
  <c r="AJ6" i="1" s="1"/>
  <c r="AF21" i="1" a="1"/>
  <c r="AF21" i="1" s="1"/>
  <c r="AF6" i="1" a="1"/>
  <c r="AF6" i="1" s="1"/>
  <c r="I18" i="21" a="1"/>
  <c r="I18" i="21" s="1"/>
  <c r="I11" i="21" a="1"/>
  <c r="I11" i="21" s="1"/>
  <c r="I18" i="20" a="1"/>
  <c r="I18" i="20" s="1"/>
  <c r="I11" i="20" a="1"/>
  <c r="I11" i="20" s="1"/>
  <c r="AB21" i="1" a="1"/>
  <c r="AB21" i="1" s="1"/>
  <c r="AB6" i="1" a="1"/>
  <c r="AB6" i="1" s="1"/>
  <c r="X6" i="1" a="1"/>
  <c r="X6" i="1" s="1"/>
  <c r="O11" i="19" a="1"/>
  <c r="O11" i="19" s="1"/>
  <c r="H11" i="19" a="1"/>
  <c r="H11" i="19" s="1"/>
  <c r="N21" i="1" a="1"/>
  <c r="N21" i="1" s="1"/>
  <c r="N6" i="1" a="1"/>
  <c r="N6" i="1" s="1"/>
  <c r="K21" i="1" a="1"/>
  <c r="K21" i="1" s="1"/>
  <c r="K6" i="1" a="1"/>
  <c r="K6" i="1" s="1"/>
  <c r="J9" i="18" a="1"/>
  <c r="J9" i="18" s="1"/>
  <c r="J28" i="18" a="1"/>
  <c r="J28" i="18" s="1"/>
  <c r="J21" i="18" a="1"/>
  <c r="J21" i="18" s="1"/>
  <c r="J15" i="18" a="1"/>
  <c r="J15" i="18" s="1"/>
  <c r="J28" i="17" a="1"/>
  <c r="J28" i="17" s="1"/>
  <c r="J9" i="17" a="1"/>
  <c r="J9" i="17" s="1"/>
  <c r="J21" i="17" a="1"/>
  <c r="J21" i="17" s="1"/>
  <c r="J15" i="17" a="1"/>
  <c r="J15" i="17" s="1"/>
  <c r="F33" i="12" a="1"/>
  <c r="F29" i="12" a="1"/>
  <c r="F23" i="12" a="1"/>
  <c r="F32" i="12" a="1"/>
  <c r="F36" i="12" a="1"/>
  <c r="F38" i="12" a="1"/>
  <c r="F25" i="12" a="1"/>
  <c r="F21" i="12" a="1"/>
  <c r="F24" i="12" a="1"/>
  <c r="F35" i="12" a="1"/>
  <c r="F34" i="12" a="1"/>
  <c r="F30" i="12" a="1"/>
  <c r="F31" i="12" a="1"/>
  <c r="F26" i="12" a="1"/>
  <c r="F28" i="12" a="1"/>
  <c r="F22" i="12" a="1"/>
  <c r="F27" i="12" a="1"/>
  <c r="F38" i="12" l="1"/>
  <c r="F29" i="12"/>
  <c r="F28" i="12"/>
  <c r="F25" i="12"/>
  <c r="F35" i="12"/>
  <c r="F32" i="12"/>
  <c r="F24" i="12"/>
  <c r="F34" i="12"/>
  <c r="F26" i="12"/>
  <c r="F33" i="12"/>
  <c r="F31" i="12"/>
  <c r="F23" i="12"/>
  <c r="F36" i="12"/>
  <c r="F27" i="12"/>
  <c r="F30" i="12"/>
  <c r="F22" i="12"/>
  <c r="F21" i="12"/>
  <c r="Q21" i="1" a="1"/>
  <c r="Q21" i="1" s="1"/>
  <c r="J19" i="15" a="1"/>
  <c r="J19" i="15" s="1"/>
  <c r="J9" i="15" a="1"/>
  <c r="J9" i="15" s="1"/>
  <c r="B19" i="2" a="1"/>
  <c r="B19" i="2" s="1"/>
  <c r="A19" i="2" a="1"/>
  <c r="A19" i="2" s="1"/>
  <c r="X21" i="1" a="1"/>
  <c r="X21" i="1" s="1"/>
  <c r="L13" i="2" a="1"/>
  <c r="L13" i="2" s="1"/>
  <c r="J28" i="14" a="1"/>
  <c r="J28" i="14" s="1"/>
  <c r="L28" i="14" s="1" a="1"/>
  <c r="L28" i="14" s="1"/>
  <c r="J21" i="14" a="1"/>
  <c r="J21" i="14" s="1"/>
  <c r="J15" i="14" a="1"/>
  <c r="J15" i="14" s="1"/>
  <c r="J9" i="14" a="1"/>
  <c r="J9" i="14" s="1"/>
  <c r="J19" i="13" a="1"/>
  <c r="J19" i="13" s="1"/>
  <c r="J9" i="13" a="1"/>
  <c r="J9" i="13" s="1"/>
  <c r="K7" i="11" a="1"/>
  <c r="K7" i="11" s="1"/>
  <c r="K14" i="11" a="1"/>
  <c r="K14" i="11" s="1"/>
  <c r="K10" i="10" a="1"/>
  <c r="K10" i="10" s="1"/>
  <c r="K7" i="10" a="1"/>
  <c r="K7" i="10" s="1"/>
  <c r="J13" i="7" a="1"/>
  <c r="J13" i="7" s="1"/>
  <c r="J7" i="7" a="1"/>
  <c r="J7" i="7" s="1"/>
  <c r="J13" i="6" a="1"/>
  <c r="J13" i="6" s="1"/>
  <c r="J7" i="6" a="1"/>
  <c r="J7" i="6" s="1"/>
  <c r="K7" i="4" a="1"/>
  <c r="K7" i="4" s="1"/>
  <c r="K38" i="4" a="1"/>
  <c r="K38" i="4" s="1"/>
  <c r="K31" i="4" a="1"/>
  <c r="K31" i="4" s="1"/>
  <c r="K25" i="4" a="1"/>
  <c r="K25" i="4" s="1"/>
  <c r="K19" i="4" a="1"/>
  <c r="K19" i="4" s="1"/>
  <c r="K13" i="4" a="1"/>
  <c r="K13" i="4" s="1"/>
  <c r="H17" i="8" l="1" a="1"/>
  <c r="H17" i="8" s="1"/>
  <c r="H9" i="8" a="1"/>
  <c r="H9" i="8" s="1"/>
  <c r="H9" i="3" a="1"/>
  <c r="H9" i="3" s="1"/>
  <c r="H16" i="3" a="1"/>
  <c r="H16" i="3" s="1"/>
  <c r="H17" i="5" a="1"/>
  <c r="H17" i="5" s="1"/>
  <c r="H9" i="5" a="1"/>
  <c r="H9" i="5" s="1"/>
  <c r="E19" i="2" l="1" a="1"/>
  <c r="E19" i="2" s="1"/>
  <c r="T21" i="1" a="1"/>
  <c r="T21" i="1" s="1"/>
  <c r="T6" i="1" a="1"/>
  <c r="T6" i="1" s="1"/>
  <c r="Q6" i="1" a="1"/>
  <c r="Q6" i="1" s="1"/>
  <c r="H21" i="1" a="1"/>
  <c r="H21" i="1" s="1"/>
  <c r="H6" i="1" a="1"/>
  <c r="H6" i="1" s="1"/>
  <c r="E21" i="1" a="1"/>
  <c r="E21" i="1" s="1"/>
  <c r="E6" i="1" a="1"/>
  <c r="E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<sst xmlns="http://schemas.openxmlformats.org/spreadsheetml/2006/main" count="571" uniqueCount="228">
  <si>
    <t>Lambda functions for matrix calculation</t>
  </si>
  <si>
    <t>x</t>
  </si>
  <si>
    <t>y</t>
  </si>
  <si>
    <t>z</t>
  </si>
  <si>
    <t>Data</t>
  </si>
  <si>
    <t>SLICE (example 1)</t>
  </si>
  <si>
    <t>SLICE (example 2: unbounded)</t>
  </si>
  <si>
    <t>LAMBDA functions</t>
  </si>
  <si>
    <t>LAMBDA functions incorporated as new Excel functions</t>
  </si>
  <si>
    <t>x,y [1:3] ; x,y [10:12]</t>
  </si>
  <si>
    <t>x, y [1:6] , z [7:12]</t>
  </si>
  <si>
    <t>Developed by Eduardo G. C. Amaral</t>
  </si>
  <si>
    <t>Source: https://github.com/edugca/xlMATRIX</t>
  </si>
  <si>
    <t>w</t>
  </si>
  <si>
    <t>EYE</t>
  </si>
  <si>
    <t>Parameters</t>
  </si>
  <si>
    <t>Description</t>
  </si>
  <si>
    <t>Example</t>
  </si>
  <si>
    <t>Dimension of the identity matrix</t>
  </si>
  <si>
    <t>Returns an identity matrix</t>
  </si>
  <si>
    <t>DIAG</t>
  </si>
  <si>
    <t>Returns the diagonal of a matrix</t>
  </si>
  <si>
    <t>matrix</t>
  </si>
  <si>
    <t>ZEROS</t>
  </si>
  <si>
    <t>Returns a matrix of zeros</t>
  </si>
  <si>
    <t>The matrix whose diagonal one wants to extract. If a vector, function returns a matrix with that vector as diagonal.</t>
  </si>
  <si>
    <t>k</t>
  </si>
  <si>
    <t>k=0 (default) is the main diagonal; k&gt;0 is above the main diagonal; k&lt;0 is below the main diagonal</t>
  </si>
  <si>
    <t>The matrix whose lower triangular part one wants to extract.</t>
  </si>
  <si>
    <t>k=0 (default); k&gt; or k&lt;0 returns the elements on and below the kth diagonal of the matrix.</t>
  </si>
  <si>
    <t>TRIL</t>
  </si>
  <si>
    <t>TRIU</t>
  </si>
  <si>
    <t>ONES</t>
  </si>
  <si>
    <t>Returns a matrix of ones</t>
  </si>
  <si>
    <t>Dimension of the matrix of zeros to be returned</t>
  </si>
  <si>
    <t>Dimension of the matrix of ones to be returned</t>
  </si>
  <si>
    <t>n</t>
  </si>
  <si>
    <t>m</t>
  </si>
  <si>
    <t>[m]</t>
  </si>
  <si>
    <t>Trims or expands (with zeros) the matrix so as it has m columns</t>
  </si>
  <si>
    <t>If provided, it sets the number of columns of the matrix</t>
  </si>
  <si>
    <t>VEC</t>
  </si>
  <si>
    <t>The matrix that will be turned into a vector.</t>
  </si>
  <si>
    <t>The matrix whose upper triangular part one wants to extract.</t>
  </si>
  <si>
    <t>K</t>
  </si>
  <si>
    <t>FLIPLR</t>
  </si>
  <si>
    <t>The array/matrix that will be flipped.</t>
  </si>
  <si>
    <t>FLIPUD</t>
  </si>
  <si>
    <t>Flip array up to down</t>
  </si>
  <si>
    <t>SLICE</t>
  </si>
  <si>
    <t>REPMAT</t>
  </si>
  <si>
    <t>Repeat copies of array</t>
  </si>
  <si>
    <t>Flip array left to right</t>
  </si>
  <si>
    <t>Returns the upper triangular part of a matrix</t>
  </si>
  <si>
    <t>Returns the lower triangular part of a matrix</t>
  </si>
  <si>
    <t>Matrix to be copied</t>
  </si>
  <si>
    <t>[n]</t>
  </si>
  <si>
    <t>Copies the matrix so as it has n rows of copies</t>
  </si>
  <si>
    <t>Copies the matrix so as it has m columns of copies</t>
  </si>
  <si>
    <t>History</t>
  </si>
  <si>
    <t>v. 0.1</t>
  </si>
  <si>
    <t>v. 0.2</t>
  </si>
  <si>
    <t>Functions REVERSEROWS and REVERSECOLS were renamed to FLIPUD and FLIPLR for consistency with MatLab names.</t>
  </si>
  <si>
    <t>First release.</t>
  </si>
  <si>
    <t>[direction]</t>
  </si>
  <si>
    <t>"first" or "last", default is "first"</t>
  </si>
  <si>
    <t>Return n indices, default is all</t>
  </si>
  <si>
    <t>direction</t>
  </si>
  <si>
    <t>last</t>
  </si>
  <si>
    <t>Find indices of nonzero elements</t>
  </si>
  <si>
    <t>Returning the values</t>
  </si>
  <si>
    <t>General functions</t>
  </si>
  <si>
    <t>SAMPLE</t>
  </si>
  <si>
    <t>BLKDIAG</t>
  </si>
  <si>
    <t>Create a block diagonal matrix from existing matrices</t>
  </si>
  <si>
    <t>matrixA</t>
  </si>
  <si>
    <t>matrixB</t>
  </si>
  <si>
    <t>Matrix on the upper-left of the diagonal</t>
  </si>
  <si>
    <t>Matrix on the lower-right of the diagonal</t>
  </si>
  <si>
    <t>VERTCAT</t>
  </si>
  <si>
    <t>HORZCAT</t>
  </si>
  <si>
    <t>MatLab equivalent</t>
  </si>
  <si>
    <t>FIND</t>
  </si>
  <si>
    <t>Known differences</t>
  </si>
  <si>
    <t>xlFunction allows matrices with different number of columns</t>
  </si>
  <si>
    <t>xlFunction allows matrices with different number of rows</t>
  </si>
  <si>
    <t>VEC (add-on)</t>
  </si>
  <si>
    <t>NOZERO</t>
  </si>
  <si>
    <t>NOZERO (MatLab's FIND)</t>
  </si>
  <si>
    <t>ALL</t>
  </si>
  <si>
    <t>[dim]</t>
  </si>
  <si>
    <t>matrix to be tested</t>
  </si>
  <si>
    <t>Determine if all array elements are nonzero or true</t>
  </si>
  <si>
    <t>tests whether all elements along dimension dim are nonzero or logical 1 (true); default is "all" (all dimensions)</t>
  </si>
  <si>
    <t/>
  </si>
  <si>
    <t>ANY</t>
  </si>
  <si>
    <t>Determine if any array elements are nonzero</t>
  </si>
  <si>
    <t>tests whether any element along dimension dim is nonzero or logical 1 (true); default is "all" (all dimensions)</t>
  </si>
  <si>
    <t>M (example 1)</t>
  </si>
  <si>
    <t>M (example 2: unbounded)</t>
  </si>
  <si>
    <t>M</t>
  </si>
  <si>
    <t>SPLIT</t>
  </si>
  <si>
    <t>Main functions</t>
  </si>
  <si>
    <t>Other matrix functions</t>
  </si>
  <si>
    <t>Econometric functions</t>
  </si>
  <si>
    <t>OLS_COEFF</t>
  </si>
  <si>
    <t>OLS_FITTED</t>
  </si>
  <si>
    <t>OLS_RESIDUALS</t>
  </si>
  <si>
    <t>TEXTTOCHAR</t>
  </si>
  <si>
    <t>LINSPACE</t>
  </si>
  <si>
    <t>Generate linearly spaced vector</t>
  </si>
  <si>
    <t>Lower bound of the vector</t>
  </si>
  <si>
    <t>Upper bound of the vector</t>
  </si>
  <si>
    <t>Number of points</t>
  </si>
  <si>
    <t>lb</t>
  </si>
  <si>
    <t>ub</t>
  </si>
  <si>
    <t>SAMPLE (rows wout replacement)</t>
  </si>
  <si>
    <t>SAMPLE (cols wout replacement)</t>
  </si>
  <si>
    <t>Extract subarray using [rLB:rUB,cLB:cUB] parameters</t>
  </si>
  <si>
    <t>Extract subarray using "[rLB:rUB,cLB:cUB]" notation</t>
  </si>
  <si>
    <t>Draw a sample of rows or columns, with or wout replacement</t>
  </si>
  <si>
    <t>LENGTH</t>
  </si>
  <si>
    <t>Length of largest array dimension</t>
  </si>
  <si>
    <t>matrix used for calculation</t>
  </si>
  <si>
    <t>Number of array elements</t>
  </si>
  <si>
    <t>NUMEL</t>
  </si>
  <si>
    <t>NNZ</t>
  </si>
  <si>
    <t>matrix whose nonzero elements will be counted</t>
  </si>
  <si>
    <t>sd</t>
  </si>
  <si>
    <t>fs</t>
  </si>
  <si>
    <t>Number of nonzero (nor FALSE) matrix elements</t>
  </si>
  <si>
    <t>RESHAPE</t>
  </si>
  <si>
    <t>Reshape array</t>
  </si>
  <si>
    <t>Number of rows</t>
  </si>
  <si>
    <t>Number of columns</t>
  </si>
  <si>
    <t>The matrix that will be reshaped.</t>
  </si>
  <si>
    <t>[rowsToCols]</t>
  </si>
  <si>
    <t>Boolean that tells whether individual rows should be transposed before reshape. Default is FALSE.</t>
  </si>
  <si>
    <t>rowsToCols</t>
  </si>
  <si>
    <t>Turns an array into a vector by piling up column or row values</t>
  </si>
  <si>
    <t>xlFunction has an additional parameter for transposing individual rows before reshaping</t>
  </si>
  <si>
    <t>Split strings at delimiters</t>
  </si>
  <si>
    <t>Turn a string into a vector of single characters</t>
  </si>
  <si>
    <t>Regress a vector on a matrix and return ordinary least squares coefficients</t>
  </si>
  <si>
    <t>Regress a vector on a matrix and return ordinary least squares fitted values</t>
  </si>
  <si>
    <t>Regress a vector on a matrix and return ordinary least squares residuals</t>
  </si>
  <si>
    <t>RMMISSING</t>
  </si>
  <si>
    <t>dim</t>
  </si>
  <si>
    <t>Specifies the dimension of the matrix to operate along; default is 1.</t>
  </si>
  <si>
    <t>Remove rows or columns with missing entries</t>
  </si>
  <si>
    <t>The matrix whose rows or columns with missing entries will be removed. Missing entries are empty cells or Excel errors, including #N/A.</t>
  </si>
  <si>
    <t>OLS_COEFF_STDEV</t>
  </si>
  <si>
    <t>Regress a vector on a matrix and return the std of ordinary least squares coefficients</t>
  </si>
  <si>
    <t>OLS_VARCOV</t>
  </si>
  <si>
    <t>Regress a vector on a matrix and return the variance-covariance matrix of ordinary least squares coefficients</t>
  </si>
  <si>
    <t>Other websites with inspiring material:
https://exceluser.com/
https://www.real-statistics.com/</t>
  </si>
  <si>
    <t>String functions</t>
  </si>
  <si>
    <t>const</t>
  </si>
  <si>
    <t>Excel's OLS</t>
  </si>
  <si>
    <t>OLS Functions</t>
  </si>
  <si>
    <t>Concatenate arrays vertically</t>
  </si>
  <si>
    <t>Concatenate arrays horizontally</t>
  </si>
  <si>
    <t>Functions STACK and SHELVE were renamed to VERTCAT and HORZCAT for consistency with MatLab names.</t>
  </si>
  <si>
    <t>Added functions OLS_COEFF, OLS_COEFF_STDEV, OLS_VARCOV, OLS_FITTED, and OLS_RESIDUALS.</t>
  </si>
  <si>
    <t>Added functions M, SLICE, VEC, SAMPLE, NOZERO, EYE, ZEROS, ONES, DIAG, TRIL, TRIU, FLIPLR, FLIPUD, REPMAT, RESHAPE, BLKDIAG, ALL, ANY, NNZ, LINSPACE, LENGTH, NUMEL, and RMMISSING.</t>
  </si>
  <si>
    <t>Added functions SPLIT and TEXTTOCHAR.</t>
  </si>
  <si>
    <t>To use any of these functions in your own spreadsheet, follow instructions on cell I10.
Note that auxiliary functions will be automatically copied as well.
Alternatively, go in the ribbon to Formula / Name Manager and copy all lambda formulas available there.</t>
  </si>
  <si>
    <r>
      <t xml:space="preserve">Copy the formulas you need to your spreadsheet and then delete them at your spreadsheet </t>
    </r>
    <r>
      <rPr>
        <b/>
        <sz val="11"/>
        <color rgb="FFFF0000"/>
        <rFont val="Calibri"/>
        <family val="2"/>
        <scheme val="minor"/>
      </rPr>
      <t>(#VALUE! Is OK!)</t>
    </r>
  </si>
  <si>
    <t>SEASADJ</t>
  </si>
  <si>
    <t>IBGE SA</t>
  </si>
  <si>
    <t>IBGE seasonal adjustment is more sophisticated</t>
  </si>
  <si>
    <t>dates</t>
  </si>
  <si>
    <t>DUMMYVAR</t>
  </si>
  <si>
    <t>categories</t>
  </si>
  <si>
    <t>[exclude]</t>
  </si>
  <si>
    <t>vector with categorical values, i.e. months of a date vector.</t>
  </si>
  <si>
    <t>exclude</t>
  </si>
  <si>
    <t>Create alphabetically ordered dummy variables from categorical ones</t>
  </si>
  <si>
    <t>index of the excluded categorical value. If TRUE, excludes the first alphabetically ordered category.</t>
  </si>
  <si>
    <t>xlFunction has an additional parameter for excluding a specific column</t>
  </si>
  <si>
    <t>values</t>
  </si>
  <si>
    <t>Vector of dates</t>
  </si>
  <si>
    <t>Vector of values</t>
  </si>
  <si>
    <t>Seasonally adjust a (stationarized) time series with seasonal dummies</t>
  </si>
  <si>
    <t>ADDCONST</t>
  </si>
  <si>
    <t>Add a column of ones to a matrix</t>
  </si>
  <si>
    <t>matrix to be horizontally concatenated with a column vector of ones</t>
  </si>
  <si>
    <t>position</t>
  </si>
  <si>
    <t>[position]</t>
  </si>
  <si>
    <t>position where the column vector of ones should be inserted; if omitted equals 1</t>
  </si>
  <si>
    <t>ADDTREND</t>
  </si>
  <si>
    <t>Add a column with a deterministic trend to a matrix</t>
  </si>
  <si>
    <t>position where the column vector with the deterministic trend should be inserted; if omitted equals 1</t>
  </si>
  <si>
    <t>matrix to be horizontally concatenated with a column vector with a deterministic trend</t>
  </si>
  <si>
    <t>IBGE NSA</t>
  </si>
  <si>
    <t>Brazil IP MoM%</t>
  </si>
  <si>
    <t>Source: IBGE (Table 3653)</t>
  </si>
  <si>
    <t>Added functions ADDCONST, ADDTREND, DUMMYVAR, and SEASADJ.</t>
  </si>
  <si>
    <t>v. 0.3</t>
  </si>
  <si>
    <t>power of the deterministic trend; if omitted equals 1</t>
  </si>
  <si>
    <t>power</t>
  </si>
  <si>
    <t>[nPower]</t>
  </si>
  <si>
    <t>v. 0.3.1</t>
  </si>
  <si>
    <t>Added parameter nPower to function ADDTREND.</t>
  </si>
  <si>
    <t>DETREND</t>
  </si>
  <si>
    <t>Detrend a time series</t>
  </si>
  <si>
    <t>nPower</t>
  </si>
  <si>
    <t>Power of the trend; if omitted equals 1</t>
  </si>
  <si>
    <t>SIZE</t>
  </si>
  <si>
    <t>Array size</t>
  </si>
  <si>
    <t>dimension whose length is to be returned; if omitted, returns a row-vector with the length of each dimension in order</t>
  </si>
  <si>
    <t>v. 0.4</t>
  </si>
  <si>
    <t>xlMATRIX v. 0.4</t>
  </si>
  <si>
    <t>Date: May 2nd, 2022</t>
  </si>
  <si>
    <t>HPFILTER</t>
  </si>
  <si>
    <t>Hodrick-Prescott filter for trend and cyclical components</t>
  </si>
  <si>
    <t>lambda</t>
  </si>
  <si>
    <t>smoothing</t>
  </si>
  <si>
    <t>Trend component smoothing parameter</t>
  </si>
  <si>
    <t>IBC-Br Seasonally Adjusted</t>
  </si>
  <si>
    <t>Source: BCB (SGS code = )</t>
  </si>
  <si>
    <t>trendCycle</t>
  </si>
  <si>
    <t>If "t" or omitted returns the trend. If "c" returns the cycle</t>
  </si>
  <si>
    <t>c</t>
  </si>
  <si>
    <t>t</t>
  </si>
  <si>
    <t>trend</t>
  </si>
  <si>
    <t>cycle</t>
  </si>
  <si>
    <t>Added functions DETREND, SIZE, and HPFILTER.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</si>
</sst>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
    <numFmt numFmtId="166" formatCode="[$-416]mmm\-yy;@"/>
  </numFmts>
  <fonts count="1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4"/>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
      <b/>
      <sz val="11"/>
      <color rgb="FFFA7D00"/>
      <name val="Calibri"/>
      <family val="2"/>
      <scheme val="minor"/>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s>
  <cellStyleXfs count="6">
    <xf numFmtId="0" fontId="0" fillId="0" borderId="0"/>
    <xf numFmtId="0" fontId="7" fillId="4" borderId="2" applyNumberFormat="0" applyAlignment="0" applyProtection="0"/>
    <xf numFmtId="0" fontId="8" fillId="5" borderId="3" applyNumberFormat="0" applyAlignment="0" applyProtection="0"/>
    <xf numFmtId="0" fontId="1" fillId="0" borderId="0"/>
    <xf numFmtId="0" fontId="13" fillId="5" borderId="2" applyNumberFormat="0" applyAlignment="0" applyProtection="0"/>
    <xf numFmtId="0" fontId="14" fillId="0" borderId="0" applyNumberFormat="0" applyFill="0" applyBorder="0" applyAlignment="0" applyProtection="0"/>
  </cellStyleXfs>
  <cellXfs count="6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xf>
    <xf numFmtId="0" fontId="0" fillId="2" borderId="0" xfId="0" applyFill="1"/>
    <xf numFmtId="0" fontId="2" fillId="2" borderId="0" xfId="0" applyFont="1" applyFill="1"/>
    <xf numFmtId="0" fontId="2" fillId="0" borderId="1" xfId="0" applyFont="1" applyBorder="1" applyAlignment="1">
      <alignment horizontal="left"/>
    </xf>
    <xf numFmtId="0" fontId="6" fillId="0" borderId="0" xfId="0" applyFont="1"/>
    <xf numFmtId="0" fontId="0" fillId="3" borderId="0" xfId="0" applyNumberFormat="1" applyFill="1"/>
    <xf numFmtId="0" fontId="0" fillId="3" borderId="0" xfId="0" applyFill="1"/>
    <xf numFmtId="164" fontId="0" fillId="3" borderId="0" xfId="0" applyNumberFormat="1" applyFill="1"/>
    <xf numFmtId="0" fontId="7" fillId="4" borderId="2" xfId="1"/>
    <xf numFmtId="0" fontId="8" fillId="5" borderId="3" xfId="2"/>
    <xf numFmtId="0" fontId="0" fillId="6" borderId="0" xfId="0" applyFill="1" applyAlignment="1">
      <alignment horizontal="center"/>
    </xf>
    <xf numFmtId="0" fontId="0" fillId="3" borderId="0" xfId="0" applyFill="1" applyAlignment="1">
      <alignment horizontal="center"/>
    </xf>
    <xf numFmtId="0" fontId="9" fillId="0" borderId="0" xfId="0" applyFont="1"/>
    <xf numFmtId="0" fontId="10" fillId="0" borderId="0" xfId="0" applyFont="1"/>
    <xf numFmtId="0" fontId="6" fillId="0" borderId="0" xfId="0" applyFont="1" applyAlignment="1">
      <alignment wrapText="1"/>
    </xf>
    <xf numFmtId="0" fontId="6" fillId="0" borderId="0" xfId="0" applyFont="1" applyAlignment="1">
      <alignment vertical="top"/>
    </xf>
    <xf numFmtId="0" fontId="6" fillId="0" borderId="0" xfId="0" applyFont="1" applyAlignment="1">
      <alignment vertical="top" wrapText="1"/>
    </xf>
    <xf numFmtId="0" fontId="0" fillId="0" borderId="0" xfId="0" applyFill="1" applyAlignment="1">
      <alignment horizontal="center"/>
    </xf>
    <xf numFmtId="0" fontId="7" fillId="4" borderId="2" xfId="1" applyAlignment="1">
      <alignment horizontal="right"/>
    </xf>
    <xf numFmtId="0" fontId="1" fillId="0" borderId="0" xfId="0" applyFont="1" applyAlignment="1">
      <alignment vertical="top"/>
    </xf>
    <xf numFmtId="0" fontId="1" fillId="0" borderId="0" xfId="0" applyFont="1" applyAlignment="1">
      <alignment wrapText="1"/>
    </xf>
    <xf numFmtId="0" fontId="0" fillId="0" borderId="0" xfId="0" quotePrefix="1"/>
    <xf numFmtId="0" fontId="1" fillId="0" borderId="0" xfId="0" applyFont="1" applyAlignment="1">
      <alignment vertical="top" wrapText="1"/>
    </xf>
    <xf numFmtId="2" fontId="0" fillId="3" borderId="0" xfId="0" applyNumberFormat="1" applyFill="1" applyAlignment="1">
      <alignment horizontal="center"/>
    </xf>
    <xf numFmtId="1" fontId="0" fillId="3" borderId="0" xfId="0" applyNumberFormat="1" applyFill="1" applyAlignment="1">
      <alignment horizontal="center"/>
    </xf>
    <xf numFmtId="0" fontId="9" fillId="0" borderId="0" xfId="0" applyFont="1" applyFill="1"/>
    <xf numFmtId="0" fontId="0" fillId="0" borderId="0" xfId="0" applyFill="1"/>
    <xf numFmtId="0" fontId="0" fillId="8" borderId="0" xfId="0" applyFill="1" applyAlignment="1">
      <alignment vertical="top" wrapText="1"/>
    </xf>
    <xf numFmtId="0" fontId="0" fillId="7" borderId="0" xfId="0" applyFill="1" applyAlignment="1">
      <alignment vertical="top" wrapText="1"/>
    </xf>
    <xf numFmtId="0" fontId="0" fillId="0" borderId="0" xfId="0" applyAlignment="1">
      <alignment vertical="top"/>
    </xf>
    <xf numFmtId="0" fontId="0" fillId="3" borderId="0" xfId="0" applyFill="1" applyAlignment="1">
      <alignment vertical="top"/>
    </xf>
    <xf numFmtId="0" fontId="11" fillId="2" borderId="0" xfId="0" applyFont="1" applyFill="1" applyAlignment="1">
      <alignment wrapText="1"/>
    </xf>
    <xf numFmtId="0" fontId="11" fillId="0" borderId="0" xfId="0" applyFont="1" applyFill="1" applyAlignment="1">
      <alignment wrapText="1"/>
    </xf>
    <xf numFmtId="0" fontId="0" fillId="7" borderId="0" xfId="0" applyFill="1"/>
    <xf numFmtId="165" fontId="0" fillId="7" borderId="0" xfId="0" applyNumberFormat="1" applyFill="1"/>
    <xf numFmtId="164" fontId="0" fillId="7" borderId="0" xfId="0" applyNumberFormat="1" applyFill="1"/>
    <xf numFmtId="164" fontId="0" fillId="0" borderId="0" xfId="0" applyNumberFormat="1" applyFill="1"/>
    <xf numFmtId="164" fontId="0" fillId="9" borderId="0" xfId="0" applyNumberFormat="1" applyFill="1"/>
    <xf numFmtId="11" fontId="0" fillId="9" borderId="0" xfId="0" applyNumberFormat="1" applyFill="1"/>
    <xf numFmtId="0" fontId="2" fillId="0" borderId="0" xfId="0" applyFont="1" applyFill="1" applyBorder="1" applyAlignment="1">
      <alignment horizontal="left"/>
    </xf>
    <xf numFmtId="165" fontId="0" fillId="9" borderId="0" xfId="0" applyNumberFormat="1" applyFill="1"/>
    <xf numFmtId="165" fontId="0" fillId="0" borderId="0" xfId="0" applyNumberFormat="1"/>
    <xf numFmtId="0" fontId="1" fillId="0" borderId="0" xfId="0" applyFont="1"/>
    <xf numFmtId="166" fontId="7" fillId="4" borderId="2" xfId="1" applyNumberFormat="1"/>
    <xf numFmtId="0" fontId="13" fillId="5" borderId="2" xfId="4"/>
    <xf numFmtId="0" fontId="0" fillId="0" borderId="0" xfId="0" applyAlignment="1">
      <alignment horizontal="center"/>
    </xf>
    <xf numFmtId="0" fontId="0" fillId="0" borderId="0" xfId="0" applyAlignment="1">
      <alignment vertical="top" wrapText="1"/>
    </xf>
    <xf numFmtId="0" fontId="7" fillId="4" borderId="2" xfId="1" applyNumberFormat="1"/>
    <xf numFmtId="0" fontId="8" fillId="5" borderId="3" xfId="2" applyAlignment="1">
      <alignment horizontal="center"/>
    </xf>
    <xf numFmtId="166" fontId="13" fillId="5" borderId="2" xfId="4" applyNumberFormat="1"/>
    <xf numFmtId="0" fontId="0" fillId="3" borderId="0" xfId="0" applyFill="1" applyAlignment="1">
      <alignment horizontal="left"/>
    </xf>
    <xf numFmtId="0" fontId="0" fillId="6" borderId="0" xfId="0" applyFill="1" applyAlignment="1">
      <alignment horizontal="left"/>
    </xf>
    <xf numFmtId="164" fontId="7" fillId="4" borderId="2" xfId="1" applyNumberFormat="1"/>
    <xf numFmtId="164" fontId="0" fillId="3" borderId="0" xfId="0" applyNumberFormat="1" applyFill="1" applyAlignment="1">
      <alignment horizontal="center"/>
    </xf>
    <xf numFmtId="1" fontId="7" fillId="4" borderId="2" xfId="1" applyNumberFormat="1"/>
    <xf numFmtId="0" fontId="1" fillId="0" borderId="0" xfId="0" applyFont="1" applyAlignment="1">
      <alignment horizontal="left" vertical="top" wrapText="1"/>
    </xf>
    <xf numFmtId="0" fontId="3" fillId="0" borderId="0" xfId="0" applyFont="1" applyAlignment="1">
      <alignment horizontal="left" vertical="top" wrapText="1"/>
    </xf>
    <xf numFmtId="0" fontId="14" fillId="0" borderId="0" xfId="5" applyAlignment="1">
      <alignment horizontal="left" vertical="top" wrapText="1"/>
    </xf>
    <xf numFmtId="0" fontId="8" fillId="5" borderId="4" xfId="2" applyBorder="1" applyAlignment="1">
      <alignment horizontal="center"/>
    </xf>
    <xf numFmtId="0" fontId="8" fillId="5" borderId="5" xfId="2" applyBorder="1" applyAlignment="1">
      <alignment horizontal="center"/>
    </xf>
  </cellXfs>
  <cellStyles count="6">
    <cellStyle name="Cálculo" xfId="4" builtinId="22"/>
    <cellStyle name="Entrada" xfId="1" builtinId="20"/>
    <cellStyle name="Hiperlink" xfId="5" builtinId="8"/>
    <cellStyle name="Normal" xfId="0" builtinId="0"/>
    <cellStyle name="Normal 2" xfId="3" xr:uid="{2D409E80-94B7-4113-BD19-F4D0B37EE06E}"/>
    <cellStyle name="Saída" xfId="2" builtinId="21"/>
  </cellStyles>
  <dxfs count="0"/>
  <tableStyles count="1" defaultTableStyle="TableStyleMedium2" defaultPivotStyle="PivotStyleLight16">
    <tableStyle name="Invisible" pivot="0" table="0" count="0" xr9:uid="{EAB1178B-3905-417C-9B4C-68A3774C07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IBC-Br SA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Original</c:v>
          </c:tx>
          <c:spPr>
            <a:ln w="12700" cap="rnd">
              <a:solidFill>
                <a:schemeClr val="accent1"/>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HPFILTER!$G$9:$G$247</c:f>
              <c:numCache>
                <c:formatCode>0.0</c:formatCode>
                <c:ptCount val="239"/>
                <c:pt idx="0">
                  <c:v>101.95</c:v>
                </c:pt>
                <c:pt idx="1">
                  <c:v>102.03</c:v>
                </c:pt>
                <c:pt idx="2">
                  <c:v>100.92</c:v>
                </c:pt>
                <c:pt idx="3">
                  <c:v>99.89</c:v>
                </c:pt>
                <c:pt idx="4">
                  <c:v>100.28</c:v>
                </c:pt>
                <c:pt idx="5">
                  <c:v>99.07</c:v>
                </c:pt>
                <c:pt idx="6">
                  <c:v>99.73</c:v>
                </c:pt>
                <c:pt idx="7">
                  <c:v>101.71</c:v>
                </c:pt>
                <c:pt idx="8">
                  <c:v>101.88</c:v>
                </c:pt>
                <c:pt idx="9">
                  <c:v>101.97</c:v>
                </c:pt>
                <c:pt idx="10">
                  <c:v>101.58</c:v>
                </c:pt>
                <c:pt idx="11">
                  <c:v>103.57</c:v>
                </c:pt>
                <c:pt idx="12">
                  <c:v>104.49</c:v>
                </c:pt>
                <c:pt idx="13">
                  <c:v>105.98</c:v>
                </c:pt>
                <c:pt idx="14">
                  <c:v>106.41</c:v>
                </c:pt>
                <c:pt idx="15">
                  <c:v>106.44</c:v>
                </c:pt>
                <c:pt idx="16">
                  <c:v>107.22</c:v>
                </c:pt>
                <c:pt idx="17">
                  <c:v>107.82</c:v>
                </c:pt>
                <c:pt idx="18">
                  <c:v>108.19</c:v>
                </c:pt>
                <c:pt idx="19">
                  <c:v>109.46</c:v>
                </c:pt>
                <c:pt idx="20">
                  <c:v>108.73</c:v>
                </c:pt>
                <c:pt idx="21">
                  <c:v>109.62</c:v>
                </c:pt>
                <c:pt idx="22">
                  <c:v>108.79</c:v>
                </c:pt>
                <c:pt idx="23">
                  <c:v>109.62</c:v>
                </c:pt>
                <c:pt idx="24">
                  <c:v>110.14</c:v>
                </c:pt>
                <c:pt idx="25">
                  <c:v>110.43</c:v>
                </c:pt>
                <c:pt idx="26">
                  <c:v>110.95</c:v>
                </c:pt>
                <c:pt idx="27">
                  <c:v>110.99</c:v>
                </c:pt>
                <c:pt idx="28">
                  <c:v>110.63</c:v>
                </c:pt>
                <c:pt idx="29">
                  <c:v>110.63</c:v>
                </c:pt>
                <c:pt idx="30">
                  <c:v>111.29</c:v>
                </c:pt>
                <c:pt idx="31">
                  <c:v>110.86</c:v>
                </c:pt>
                <c:pt idx="32">
                  <c:v>111.05</c:v>
                </c:pt>
                <c:pt idx="33">
                  <c:v>111.81</c:v>
                </c:pt>
                <c:pt idx="34">
                  <c:v>112.32</c:v>
                </c:pt>
                <c:pt idx="35">
                  <c:v>113.38</c:v>
                </c:pt>
                <c:pt idx="36">
                  <c:v>113.61</c:v>
                </c:pt>
                <c:pt idx="37">
                  <c:v>113.55</c:v>
                </c:pt>
                <c:pt idx="38">
                  <c:v>114.23</c:v>
                </c:pt>
                <c:pt idx="39">
                  <c:v>115.66</c:v>
                </c:pt>
                <c:pt idx="40">
                  <c:v>114.72</c:v>
                </c:pt>
                <c:pt idx="41">
                  <c:v>116.94</c:v>
                </c:pt>
                <c:pt idx="42">
                  <c:v>116.62</c:v>
                </c:pt>
                <c:pt idx="43">
                  <c:v>116.82</c:v>
                </c:pt>
                <c:pt idx="44">
                  <c:v>118.07</c:v>
                </c:pt>
                <c:pt idx="45">
                  <c:v>118.87</c:v>
                </c:pt>
                <c:pt idx="46">
                  <c:v>119.87</c:v>
                </c:pt>
                <c:pt idx="47">
                  <c:v>119.66</c:v>
                </c:pt>
                <c:pt idx="48">
                  <c:v>120.17</c:v>
                </c:pt>
                <c:pt idx="49">
                  <c:v>119.4</c:v>
                </c:pt>
                <c:pt idx="50">
                  <c:v>121.18</c:v>
                </c:pt>
                <c:pt idx="51">
                  <c:v>122.38</c:v>
                </c:pt>
                <c:pt idx="52">
                  <c:v>123.41</c:v>
                </c:pt>
                <c:pt idx="53">
                  <c:v>124.23</c:v>
                </c:pt>
                <c:pt idx="54">
                  <c:v>124.34</c:v>
                </c:pt>
                <c:pt idx="55">
                  <c:v>125.35</c:v>
                </c:pt>
                <c:pt idx="56">
                  <c:v>126.32</c:v>
                </c:pt>
                <c:pt idx="57">
                  <c:v>126.17</c:v>
                </c:pt>
                <c:pt idx="58">
                  <c:v>126.96</c:v>
                </c:pt>
                <c:pt idx="59">
                  <c:v>127.22</c:v>
                </c:pt>
                <c:pt idx="60">
                  <c:v>126.83</c:v>
                </c:pt>
                <c:pt idx="61">
                  <c:v>126.44</c:v>
                </c:pt>
                <c:pt idx="62">
                  <c:v>127.7</c:v>
                </c:pt>
                <c:pt idx="63">
                  <c:v>129.4</c:v>
                </c:pt>
                <c:pt idx="64">
                  <c:v>131.19</c:v>
                </c:pt>
                <c:pt idx="65">
                  <c:v>130.93</c:v>
                </c:pt>
                <c:pt idx="66">
                  <c:v>130.99</c:v>
                </c:pt>
                <c:pt idx="67">
                  <c:v>130.93</c:v>
                </c:pt>
                <c:pt idx="68">
                  <c:v>128.19</c:v>
                </c:pt>
                <c:pt idx="69">
                  <c:v>124.95</c:v>
                </c:pt>
                <c:pt idx="70">
                  <c:v>120.93</c:v>
                </c:pt>
                <c:pt idx="71">
                  <c:v>120.82</c:v>
                </c:pt>
                <c:pt idx="72">
                  <c:v>122.19</c:v>
                </c:pt>
                <c:pt idx="73">
                  <c:v>122.97</c:v>
                </c:pt>
                <c:pt idx="74">
                  <c:v>123.64</c:v>
                </c:pt>
                <c:pt idx="75">
                  <c:v>124.87</c:v>
                </c:pt>
                <c:pt idx="76">
                  <c:v>125.93</c:v>
                </c:pt>
                <c:pt idx="77">
                  <c:v>126.29</c:v>
                </c:pt>
                <c:pt idx="78">
                  <c:v>128.09</c:v>
                </c:pt>
                <c:pt idx="79">
                  <c:v>129.12</c:v>
                </c:pt>
                <c:pt idx="80">
                  <c:v>129.79</c:v>
                </c:pt>
                <c:pt idx="81">
                  <c:v>130.02000000000001</c:v>
                </c:pt>
                <c:pt idx="82">
                  <c:v>131.30000000000001</c:v>
                </c:pt>
                <c:pt idx="83">
                  <c:v>133.47</c:v>
                </c:pt>
                <c:pt idx="84">
                  <c:v>135.16999999999999</c:v>
                </c:pt>
                <c:pt idx="85">
                  <c:v>136.59</c:v>
                </c:pt>
                <c:pt idx="86">
                  <c:v>137.05000000000001</c:v>
                </c:pt>
                <c:pt idx="87">
                  <c:v>136.49</c:v>
                </c:pt>
                <c:pt idx="88">
                  <c:v>136.22999999999999</c:v>
                </c:pt>
                <c:pt idx="89">
                  <c:v>136.93</c:v>
                </c:pt>
                <c:pt idx="90">
                  <c:v>137.66999999999999</c:v>
                </c:pt>
                <c:pt idx="91">
                  <c:v>139.41</c:v>
                </c:pt>
                <c:pt idx="92">
                  <c:v>138.72</c:v>
                </c:pt>
                <c:pt idx="93">
                  <c:v>140.09</c:v>
                </c:pt>
                <c:pt idx="94">
                  <c:v>138.29</c:v>
                </c:pt>
                <c:pt idx="95">
                  <c:v>140.13999999999999</c:v>
                </c:pt>
                <c:pt idx="96">
                  <c:v>140.72</c:v>
                </c:pt>
                <c:pt idx="97">
                  <c:v>141.1</c:v>
                </c:pt>
                <c:pt idx="98">
                  <c:v>140.84</c:v>
                </c:pt>
                <c:pt idx="99">
                  <c:v>141.27000000000001</c:v>
                </c:pt>
                <c:pt idx="100">
                  <c:v>142.22</c:v>
                </c:pt>
                <c:pt idx="101">
                  <c:v>142.25</c:v>
                </c:pt>
                <c:pt idx="102">
                  <c:v>141.96</c:v>
                </c:pt>
                <c:pt idx="103">
                  <c:v>141.79</c:v>
                </c:pt>
                <c:pt idx="104">
                  <c:v>141.58000000000001</c:v>
                </c:pt>
                <c:pt idx="105">
                  <c:v>142.25</c:v>
                </c:pt>
                <c:pt idx="106">
                  <c:v>140.44999999999999</c:v>
                </c:pt>
                <c:pt idx="107">
                  <c:v>138.87</c:v>
                </c:pt>
                <c:pt idx="108">
                  <c:v>140.49</c:v>
                </c:pt>
                <c:pt idx="109">
                  <c:v>140.06</c:v>
                </c:pt>
                <c:pt idx="110">
                  <c:v>141.04</c:v>
                </c:pt>
                <c:pt idx="111">
                  <c:v>142.66999999999999</c:v>
                </c:pt>
                <c:pt idx="112">
                  <c:v>143.56</c:v>
                </c:pt>
                <c:pt idx="113">
                  <c:v>144.03</c:v>
                </c:pt>
                <c:pt idx="114">
                  <c:v>144.35</c:v>
                </c:pt>
                <c:pt idx="115">
                  <c:v>143.71</c:v>
                </c:pt>
                <c:pt idx="116">
                  <c:v>144.86000000000001</c:v>
                </c:pt>
                <c:pt idx="117">
                  <c:v>144.58000000000001</c:v>
                </c:pt>
                <c:pt idx="118">
                  <c:v>144.16</c:v>
                </c:pt>
                <c:pt idx="119">
                  <c:v>144.99</c:v>
                </c:pt>
                <c:pt idx="120">
                  <c:v>143.77000000000001</c:v>
                </c:pt>
                <c:pt idx="121">
                  <c:v>144.94999999999999</c:v>
                </c:pt>
                <c:pt idx="122">
                  <c:v>146.24</c:v>
                </c:pt>
                <c:pt idx="123">
                  <c:v>146.83000000000001</c:v>
                </c:pt>
                <c:pt idx="124">
                  <c:v>146.35</c:v>
                </c:pt>
                <c:pt idx="125">
                  <c:v>147.19</c:v>
                </c:pt>
                <c:pt idx="126">
                  <c:v>147.11000000000001</c:v>
                </c:pt>
                <c:pt idx="127">
                  <c:v>148.13999999999999</c:v>
                </c:pt>
                <c:pt idx="128">
                  <c:v>147.99</c:v>
                </c:pt>
                <c:pt idx="129">
                  <c:v>148.34</c:v>
                </c:pt>
                <c:pt idx="130">
                  <c:v>148.61000000000001</c:v>
                </c:pt>
                <c:pt idx="131">
                  <c:v>148.27000000000001</c:v>
                </c:pt>
                <c:pt idx="132">
                  <c:v>147.85</c:v>
                </c:pt>
                <c:pt idx="133">
                  <c:v>147.88999999999999</c:v>
                </c:pt>
                <c:pt idx="134">
                  <c:v>146.88</c:v>
                </c:pt>
                <c:pt idx="135">
                  <c:v>146.30000000000001</c:v>
                </c:pt>
                <c:pt idx="136">
                  <c:v>143.61000000000001</c:v>
                </c:pt>
                <c:pt idx="137">
                  <c:v>144.81</c:v>
                </c:pt>
                <c:pt idx="138">
                  <c:v>145.58000000000001</c:v>
                </c:pt>
                <c:pt idx="139">
                  <c:v>146.24</c:v>
                </c:pt>
                <c:pt idx="140">
                  <c:v>145.41999999999999</c:v>
                </c:pt>
                <c:pt idx="141">
                  <c:v>145.56</c:v>
                </c:pt>
                <c:pt idx="142">
                  <c:v>146.21</c:v>
                </c:pt>
                <c:pt idx="143">
                  <c:v>144.96</c:v>
                </c:pt>
                <c:pt idx="144">
                  <c:v>143.97999999999999</c:v>
                </c:pt>
                <c:pt idx="145">
                  <c:v>143.72999999999999</c:v>
                </c:pt>
                <c:pt idx="146">
                  <c:v>142.38</c:v>
                </c:pt>
                <c:pt idx="147">
                  <c:v>141.08000000000001</c:v>
                </c:pt>
                <c:pt idx="148">
                  <c:v>139.58000000000001</c:v>
                </c:pt>
                <c:pt idx="149">
                  <c:v>138.66999999999999</c:v>
                </c:pt>
                <c:pt idx="150">
                  <c:v>138.93</c:v>
                </c:pt>
                <c:pt idx="151">
                  <c:v>137.57</c:v>
                </c:pt>
                <c:pt idx="152">
                  <c:v>138.51</c:v>
                </c:pt>
                <c:pt idx="153">
                  <c:v>136.68</c:v>
                </c:pt>
                <c:pt idx="154">
                  <c:v>136.31</c:v>
                </c:pt>
                <c:pt idx="155">
                  <c:v>135.52000000000001</c:v>
                </c:pt>
                <c:pt idx="156">
                  <c:v>135.51</c:v>
                </c:pt>
                <c:pt idx="157">
                  <c:v>134.61000000000001</c:v>
                </c:pt>
                <c:pt idx="158">
                  <c:v>134.72999999999999</c:v>
                </c:pt>
                <c:pt idx="159">
                  <c:v>134.29</c:v>
                </c:pt>
                <c:pt idx="160">
                  <c:v>134.84</c:v>
                </c:pt>
                <c:pt idx="161">
                  <c:v>134.61000000000001</c:v>
                </c:pt>
                <c:pt idx="162">
                  <c:v>134</c:v>
                </c:pt>
                <c:pt idx="163">
                  <c:v>133.75</c:v>
                </c:pt>
                <c:pt idx="164">
                  <c:v>133.30000000000001</c:v>
                </c:pt>
                <c:pt idx="165">
                  <c:v>133.02000000000001</c:v>
                </c:pt>
                <c:pt idx="166">
                  <c:v>132.36000000000001</c:v>
                </c:pt>
                <c:pt idx="167">
                  <c:v>133.37</c:v>
                </c:pt>
                <c:pt idx="168">
                  <c:v>135.4</c:v>
                </c:pt>
                <c:pt idx="169">
                  <c:v>135.65</c:v>
                </c:pt>
                <c:pt idx="170">
                  <c:v>135.77000000000001</c:v>
                </c:pt>
                <c:pt idx="171">
                  <c:v>135.16999999999999</c:v>
                </c:pt>
                <c:pt idx="172">
                  <c:v>136.04</c:v>
                </c:pt>
                <c:pt idx="173">
                  <c:v>136.49</c:v>
                </c:pt>
                <c:pt idx="174">
                  <c:v>135.81</c:v>
                </c:pt>
                <c:pt idx="175">
                  <c:v>135.49</c:v>
                </c:pt>
                <c:pt idx="176">
                  <c:v>135.77000000000001</c:v>
                </c:pt>
                <c:pt idx="177">
                  <c:v>135.57</c:v>
                </c:pt>
                <c:pt idx="178">
                  <c:v>137.43</c:v>
                </c:pt>
                <c:pt idx="179">
                  <c:v>136.85</c:v>
                </c:pt>
                <c:pt idx="180">
                  <c:v>136.63999999999999</c:v>
                </c:pt>
                <c:pt idx="181">
                  <c:v>137.26</c:v>
                </c:pt>
                <c:pt idx="182">
                  <c:v>138.36000000000001</c:v>
                </c:pt>
                <c:pt idx="183">
                  <c:v>133.38999999999999</c:v>
                </c:pt>
                <c:pt idx="184">
                  <c:v>137.44</c:v>
                </c:pt>
                <c:pt idx="185">
                  <c:v>138.04</c:v>
                </c:pt>
                <c:pt idx="186">
                  <c:v>139.32</c:v>
                </c:pt>
                <c:pt idx="187">
                  <c:v>137.99</c:v>
                </c:pt>
                <c:pt idx="188">
                  <c:v>138.06</c:v>
                </c:pt>
                <c:pt idx="189">
                  <c:v>137.86000000000001</c:v>
                </c:pt>
                <c:pt idx="190">
                  <c:v>138.53</c:v>
                </c:pt>
                <c:pt idx="191">
                  <c:v>138.47999999999999</c:v>
                </c:pt>
                <c:pt idx="192">
                  <c:v>137.38</c:v>
                </c:pt>
                <c:pt idx="193">
                  <c:v>138.41999999999999</c:v>
                </c:pt>
                <c:pt idx="194">
                  <c:v>138.09</c:v>
                </c:pt>
                <c:pt idx="195">
                  <c:v>138.96</c:v>
                </c:pt>
                <c:pt idx="196">
                  <c:v>138.99</c:v>
                </c:pt>
                <c:pt idx="197">
                  <c:v>138.56</c:v>
                </c:pt>
                <c:pt idx="198">
                  <c:v>138.59</c:v>
                </c:pt>
                <c:pt idx="199">
                  <c:v>139.09</c:v>
                </c:pt>
                <c:pt idx="200">
                  <c:v>139.96</c:v>
                </c:pt>
                <c:pt idx="201">
                  <c:v>138.79</c:v>
                </c:pt>
                <c:pt idx="202">
                  <c:v>138.09</c:v>
                </c:pt>
                <c:pt idx="203">
                  <c:v>138.83000000000001</c:v>
                </c:pt>
                <c:pt idx="204">
                  <c:v>139.36000000000001</c:v>
                </c:pt>
                <c:pt idx="205">
                  <c:v>132.13</c:v>
                </c:pt>
                <c:pt idx="206">
                  <c:v>118.98</c:v>
                </c:pt>
                <c:pt idx="207">
                  <c:v>121.47</c:v>
                </c:pt>
                <c:pt idx="208">
                  <c:v>127.62</c:v>
                </c:pt>
                <c:pt idx="209">
                  <c:v>131.76</c:v>
                </c:pt>
                <c:pt idx="210">
                  <c:v>134.5</c:v>
                </c:pt>
                <c:pt idx="211">
                  <c:v>136.44</c:v>
                </c:pt>
                <c:pt idx="212">
                  <c:v>138.36000000000001</c:v>
                </c:pt>
                <c:pt idx="213">
                  <c:v>137.9</c:v>
                </c:pt>
                <c:pt idx="214">
                  <c:v>138.19</c:v>
                </c:pt>
                <c:pt idx="215">
                  <c:v>139.01</c:v>
                </c:pt>
                <c:pt idx="216">
                  <c:v>141.1</c:v>
                </c:pt>
                <c:pt idx="217">
                  <c:v>138.85</c:v>
                </c:pt>
                <c:pt idx="218">
                  <c:v>139.22999999999999</c:v>
                </c:pt>
                <c:pt idx="219">
                  <c:v>139.28</c:v>
                </c:pt>
                <c:pt idx="220">
                  <c:v>139.53</c:v>
                </c:pt>
                <c:pt idx="221">
                  <c:v>139.36000000000001</c:v>
                </c:pt>
                <c:pt idx="222">
                  <c:v>139.5</c:v>
                </c:pt>
                <c:pt idx="223">
                  <c:v>138.69999999999999</c:v>
                </c:pt>
                <c:pt idx="224">
                  <c:v>138.77000000000001</c:v>
                </c:pt>
                <c:pt idx="225">
                  <c:v>139.4</c:v>
                </c:pt>
                <c:pt idx="226">
                  <c:v>139.85</c:v>
                </c:pt>
                <c:pt idx="227">
                  <c:v>138.83000000000001</c:v>
                </c:pt>
                <c:pt idx="228">
                  <c:v>139.30000000000001</c:v>
                </c:pt>
              </c:numCache>
            </c:numRef>
          </c:val>
          <c:smooth val="0"/>
          <c:extLst>
            <c:ext xmlns:c16="http://schemas.microsoft.com/office/drawing/2014/chart" uri="{C3380CC4-5D6E-409C-BE32-E72D297353CC}">
              <c16:uniqueId val="{00000000-A199-40C0-AF8C-CEC058C83184}"/>
            </c:ext>
          </c:extLst>
        </c:ser>
        <c:ser>
          <c:idx val="1"/>
          <c:order val="1"/>
          <c:tx>
            <c:v>HP trend</c:v>
          </c:tx>
          <c:spPr>
            <a:ln w="19050" cap="rnd">
              <a:solidFill>
                <a:schemeClr val="accent2"/>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HPFILTER!$M$9:$M$297</c:f>
              <c:numCache>
                <c:formatCode>0.0</c:formatCode>
                <c:ptCount val="289"/>
                <c:pt idx="0">
                  <c:v>99.778505732491766</c:v>
                </c:pt>
                <c:pt idx="1">
                  <c:v>100.12079778485426</c:v>
                </c:pt>
                <c:pt idx="2">
                  <c:v>100.46571346250781</c:v>
                </c:pt>
                <c:pt idx="3">
                  <c:v>100.81643642144117</c:v>
                </c:pt>
                <c:pt idx="4">
                  <c:v>101.17643424672869</c:v>
                </c:pt>
                <c:pt idx="5">
                  <c:v>101.54859550068154</c:v>
                </c:pt>
                <c:pt idx="6">
                  <c:v>101.93524847420672</c:v>
                </c:pt>
                <c:pt idx="7">
                  <c:v>102.33717233602304</c:v>
                </c:pt>
                <c:pt idx="8">
                  <c:v>102.75376797455331</c:v>
                </c:pt>
                <c:pt idx="9">
                  <c:v>103.18404429550976</c:v>
                </c:pt>
                <c:pt idx="10">
                  <c:v>103.62646409962105</c:v>
                </c:pt>
                <c:pt idx="11">
                  <c:v>104.07873140993098</c:v>
                </c:pt>
                <c:pt idx="12">
                  <c:v>104.53727120942108</c:v>
                </c:pt>
                <c:pt idx="13">
                  <c:v>104.998190523942</c:v>
                </c:pt>
                <c:pt idx="14">
                  <c:v>105.45756683483786</c:v>
                </c:pt>
                <c:pt idx="15">
                  <c:v>105.91209125437609</c:v>
                </c:pt>
                <c:pt idx="16">
                  <c:v>106.35905016555165</c:v>
                </c:pt>
                <c:pt idx="17">
                  <c:v>106.79605989432595</c:v>
                </c:pt>
                <c:pt idx="18">
                  <c:v>107.22127486030696</c:v>
                </c:pt>
                <c:pt idx="19">
                  <c:v>107.63348944566813</c:v>
                </c:pt>
                <c:pt idx="20">
                  <c:v>108.03210348579594</c:v>
                </c:pt>
                <c:pt idx="21">
                  <c:v>108.41765838517246</c:v>
                </c:pt>
                <c:pt idx="22">
                  <c:v>108.79113173360183</c:v>
                </c:pt>
                <c:pt idx="23">
                  <c:v>109.15425258439663</c:v>
                </c:pt>
                <c:pt idx="24">
                  <c:v>109.50874928353706</c:v>
                </c:pt>
                <c:pt idx="25">
                  <c:v>109.85664126913728</c:v>
                </c:pt>
                <c:pt idx="26">
                  <c:v>110.20034251100934</c:v>
                </c:pt>
                <c:pt idx="27">
                  <c:v>110.54262532817241</c:v>
                </c:pt>
                <c:pt idx="28">
                  <c:v>110.88673057557597</c:v>
                </c:pt>
                <c:pt idx="29">
                  <c:v>111.23617871733977</c:v>
                </c:pt>
                <c:pt idx="30">
                  <c:v>111.59432976097314</c:v>
                </c:pt>
                <c:pt idx="31">
                  <c:v>111.96416485228801</c:v>
                </c:pt>
                <c:pt idx="32">
                  <c:v>112.34847493099501</c:v>
                </c:pt>
                <c:pt idx="33">
                  <c:v>112.74936083377223</c:v>
                </c:pt>
                <c:pt idx="34">
                  <c:v>113.16811185046606</c:v>
                </c:pt>
                <c:pt idx="35">
                  <c:v>113.60543017040166</c:v>
                </c:pt>
                <c:pt idx="36">
                  <c:v>114.06148791299742</c:v>
                </c:pt>
                <c:pt idx="37">
                  <c:v>114.53631630381561</c:v>
                </c:pt>
                <c:pt idx="38">
                  <c:v>115.02966438847253</c:v>
                </c:pt>
                <c:pt idx="39">
                  <c:v>115.54066476489501</c:v>
                </c:pt>
                <c:pt idx="40">
                  <c:v>116.06795024076641</c:v>
                </c:pt>
                <c:pt idx="41">
                  <c:v>116.61022820829227</c:v>
                </c:pt>
                <c:pt idx="42">
                  <c:v>117.16536359077821</c:v>
                </c:pt>
                <c:pt idx="43">
                  <c:v>117.73142741889913</c:v>
                </c:pt>
                <c:pt idx="44">
                  <c:v>118.30614987108561</c:v>
                </c:pt>
                <c:pt idx="45">
                  <c:v>118.88669148363186</c:v>
                </c:pt>
                <c:pt idx="46">
                  <c:v>119.47006519916222</c:v>
                </c:pt>
                <c:pt idx="47">
                  <c:v>120.05327352812397</c:v>
                </c:pt>
                <c:pt idx="48">
                  <c:v>120.63356894021486</c:v>
                </c:pt>
                <c:pt idx="49">
                  <c:v>121.20795810917768</c:v>
                </c:pt>
                <c:pt idx="50">
                  <c:v>121.77315797816721</c:v>
                </c:pt>
                <c:pt idx="51">
                  <c:v>122.32475551652027</c:v>
                </c:pt>
                <c:pt idx="52">
                  <c:v>122.85796696983728</c:v>
                </c:pt>
                <c:pt idx="53">
                  <c:v>123.36804311152036</c:v>
                </c:pt>
                <c:pt idx="54">
                  <c:v>123.85057973561665</c:v>
                </c:pt>
                <c:pt idx="55">
                  <c:v>124.30171135922731</c:v>
                </c:pt>
                <c:pt idx="56">
                  <c:v>124.7178783871197</c:v>
                </c:pt>
                <c:pt idx="57">
                  <c:v>125.09617640446112</c:v>
                </c:pt>
                <c:pt idx="58">
                  <c:v>125.43470232242747</c:v>
                </c:pt>
                <c:pt idx="59">
                  <c:v>125.73222419194119</c:v>
                </c:pt>
                <c:pt idx="60">
                  <c:v>125.98846337497385</c:v>
                </c:pt>
                <c:pt idx="61">
                  <c:v>126.20407109337651</c:v>
                </c:pt>
                <c:pt idx="62">
                  <c:v>126.38022452939107</c:v>
                </c:pt>
                <c:pt idx="63">
                  <c:v>126.51824832082593</c:v>
                </c:pt>
                <c:pt idx="64">
                  <c:v>126.62029196515856</c:v>
                </c:pt>
                <c:pt idx="65">
                  <c:v>126.69030605466614</c:v>
                </c:pt>
                <c:pt idx="66">
                  <c:v>126.7350972491473</c:v>
                </c:pt>
                <c:pt idx="67">
                  <c:v>126.76412201711685</c:v>
                </c:pt>
                <c:pt idx="68">
                  <c:v>126.78949614130859</c:v>
                </c:pt>
                <c:pt idx="69">
                  <c:v>126.82593907819594</c:v>
                </c:pt>
                <c:pt idx="70">
                  <c:v>126.88904559916357</c:v>
                </c:pt>
                <c:pt idx="71">
                  <c:v>126.99323801367291</c:v>
                </c:pt>
                <c:pt idx="72">
                  <c:v>127.14921422768508</c:v>
                </c:pt>
                <c:pt idx="73">
                  <c:v>127.36381387340319</c:v>
                </c:pt>
                <c:pt idx="74">
                  <c:v>127.64077707413762</c:v>
                </c:pt>
                <c:pt idx="75">
                  <c:v>127.98109781952773</c:v>
                </c:pt>
                <c:pt idx="76">
                  <c:v>128.38326961354201</c:v>
                </c:pt>
                <c:pt idx="77">
                  <c:v>128.84384152401157</c:v>
                </c:pt>
                <c:pt idx="78">
                  <c:v>129.35782932525862</c:v>
                </c:pt>
                <c:pt idx="79">
                  <c:v>129.91865264065356</c:v>
                </c:pt>
                <c:pt idx="80">
                  <c:v>130.51893870023824</c:v>
                </c:pt>
                <c:pt idx="81">
                  <c:v>131.15081557615329</c:v>
                </c:pt>
                <c:pt idx="82">
                  <c:v>131.80595575385303</c:v>
                </c:pt>
                <c:pt idx="83">
                  <c:v>132.475324959056</c:v>
                </c:pt>
                <c:pt idx="84">
                  <c:v>133.14957269513411</c:v>
                </c:pt>
                <c:pt idx="85">
                  <c:v>133.81997013736111</c:v>
                </c:pt>
                <c:pt idx="86">
                  <c:v>134.47905122807515</c:v>
                </c:pt>
                <c:pt idx="87">
                  <c:v>135.12108117827924</c:v>
                </c:pt>
                <c:pt idx="88">
                  <c:v>135.74193204195879</c:v>
                </c:pt>
                <c:pt idx="89">
                  <c:v>136.33833144736329</c:v>
                </c:pt>
                <c:pt idx="90">
                  <c:v>136.90731206521437</c:v>
                </c:pt>
                <c:pt idx="91">
                  <c:v>137.44627635908066</c:v>
                </c:pt>
                <c:pt idx="92">
                  <c:v>137.95310347248957</c:v>
                </c:pt>
                <c:pt idx="93">
                  <c:v>138.42689987624411</c:v>
                </c:pt>
                <c:pt idx="94">
                  <c:v>138.86725135147694</c:v>
                </c:pt>
                <c:pt idx="95">
                  <c:v>139.27478311689774</c:v>
                </c:pt>
                <c:pt idx="96">
                  <c:v>139.64975960912238</c:v>
                </c:pt>
                <c:pt idx="97">
                  <c:v>139.99298602531749</c:v>
                </c:pt>
                <c:pt idx="98">
                  <c:v>140.30593646289492</c:v>
                </c:pt>
                <c:pt idx="99">
                  <c:v>140.59077690300066</c:v>
                </c:pt>
                <c:pt idx="100">
                  <c:v>140.85000711649124</c:v>
                </c:pt>
                <c:pt idx="101">
                  <c:v>141.08655138865819</c:v>
                </c:pt>
                <c:pt idx="102">
                  <c:v>141.30419025034615</c:v>
                </c:pt>
                <c:pt idx="103">
                  <c:v>141.50743138778193</c:v>
                </c:pt>
                <c:pt idx="104">
                  <c:v>141.70119236828478</c:v>
                </c:pt>
                <c:pt idx="105">
                  <c:v>141.89056736455754</c:v>
                </c:pt>
                <c:pt idx="106">
                  <c:v>142.08057480407277</c:v>
                </c:pt>
                <c:pt idx="107">
                  <c:v>142.27645775970004</c:v>
                </c:pt>
                <c:pt idx="108">
                  <c:v>142.482440195056</c:v>
                </c:pt>
                <c:pt idx="109">
                  <c:v>142.70061703765853</c:v>
                </c:pt>
                <c:pt idx="110">
                  <c:v>142.93183793990289</c:v>
                </c:pt>
                <c:pt idx="111">
                  <c:v>143.17530216853615</c:v>
                </c:pt>
                <c:pt idx="112">
                  <c:v>143.4290265915925</c:v>
                </c:pt>
                <c:pt idx="113">
                  <c:v>143.6907122632511</c:v>
                </c:pt>
                <c:pt idx="114">
                  <c:v>143.95814209607136</c:v>
                </c:pt>
                <c:pt idx="115">
                  <c:v>144.22931105744766</c:v>
                </c:pt>
                <c:pt idx="116">
                  <c:v>144.50245902596535</c:v>
                </c:pt>
                <c:pt idx="117">
                  <c:v>144.77550131079826</c:v>
                </c:pt>
                <c:pt idx="118">
                  <c:v>145.04657668422865</c:v>
                </c:pt>
                <c:pt idx="119">
                  <c:v>145.31370173021986</c:v>
                </c:pt>
                <c:pt idx="120">
                  <c:v>145.57433892230776</c:v>
                </c:pt>
                <c:pt idx="121">
                  <c:v>145.82574842044656</c:v>
                </c:pt>
                <c:pt idx="122">
                  <c:v>146.06406267276415</c:v>
                </c:pt>
                <c:pt idx="123">
                  <c:v>146.28486678462571</c:v>
                </c:pt>
                <c:pt idx="124">
                  <c:v>146.48385582222588</c:v>
                </c:pt>
                <c:pt idx="125">
                  <c:v>146.65706556001851</c:v>
                </c:pt>
                <c:pt idx="126">
                  <c:v>146.8004481125696</c:v>
                </c:pt>
                <c:pt idx="127">
                  <c:v>146.91028867846939</c:v>
                </c:pt>
                <c:pt idx="128">
                  <c:v>146.98306592623734</c:v>
                </c:pt>
                <c:pt idx="129">
                  <c:v>147.01602709396968</c:v>
                </c:pt>
                <c:pt idx="130">
                  <c:v>147.00704875355828</c:v>
                </c:pt>
                <c:pt idx="131">
                  <c:v>146.95483495996115</c:v>
                </c:pt>
                <c:pt idx="132">
                  <c:v>146.85909161266596</c:v>
                </c:pt>
                <c:pt idx="133">
                  <c:v>146.72034658930906</c:v>
                </c:pt>
                <c:pt idx="134">
                  <c:v>146.53974708527008</c:v>
                </c:pt>
                <c:pt idx="135">
                  <c:v>146.31917132931011</c:v>
                </c:pt>
                <c:pt idx="136">
                  <c:v>146.06071020826127</c:v>
                </c:pt>
                <c:pt idx="137">
                  <c:v>145.76644262687537</c:v>
                </c:pt>
                <c:pt idx="138">
                  <c:v>145.43691579602358</c:v>
                </c:pt>
                <c:pt idx="139">
                  <c:v>145.07207914993617</c:v>
                </c:pt>
                <c:pt idx="140">
                  <c:v>144.67197155046949</c:v>
                </c:pt>
                <c:pt idx="141">
                  <c:v>144.23736181001226</c:v>
                </c:pt>
                <c:pt idx="142">
                  <c:v>143.76948625873348</c:v>
                </c:pt>
                <c:pt idx="143">
                  <c:v>143.27040787567151</c:v>
                </c:pt>
                <c:pt idx="144">
                  <c:v>142.7437149609523</c:v>
                </c:pt>
                <c:pt idx="145">
                  <c:v>142.19405180977992</c:v>
                </c:pt>
                <c:pt idx="146">
                  <c:v>141.62683539550764</c:v>
                </c:pt>
                <c:pt idx="147">
                  <c:v>141.04844265910805</c:v>
                </c:pt>
                <c:pt idx="148">
                  <c:v>140.46572126943113</c:v>
                </c:pt>
                <c:pt idx="149">
                  <c:v>139.88553861866538</c:v>
                </c:pt>
                <c:pt idx="150">
                  <c:v>139.31420852320562</c:v>
                </c:pt>
                <c:pt idx="151">
                  <c:v>138.75728508781037</c:v>
                </c:pt>
                <c:pt idx="152">
                  <c:v>138.22008228691064</c:v>
                </c:pt>
                <c:pt idx="153">
                  <c:v>137.70717204175784</c:v>
                </c:pt>
                <c:pt idx="154">
                  <c:v>137.22330747217381</c:v>
                </c:pt>
                <c:pt idx="155">
                  <c:v>136.77259971545482</c:v>
                </c:pt>
                <c:pt idx="156">
                  <c:v>136.35858909172651</c:v>
                </c:pt>
                <c:pt idx="157">
                  <c:v>135.98403304629281</c:v>
                </c:pt>
                <c:pt idx="158">
                  <c:v>135.65115865627442</c:v>
                </c:pt>
                <c:pt idx="159">
                  <c:v>135.36133422813913</c:v>
                </c:pt>
                <c:pt idx="160">
                  <c:v>135.11535234419418</c:v>
                </c:pt>
                <c:pt idx="161">
                  <c:v>134.91333600285404</c:v>
                </c:pt>
                <c:pt idx="162">
                  <c:v>134.75523610731841</c:v>
                </c:pt>
                <c:pt idx="163">
                  <c:v>134.64081397578468</c:v>
                </c:pt>
                <c:pt idx="164">
                  <c:v>134.56935890388357</c:v>
                </c:pt>
                <c:pt idx="165">
                  <c:v>134.5396034285109</c:v>
                </c:pt>
                <c:pt idx="166">
                  <c:v>134.54948673724715</c:v>
                </c:pt>
                <c:pt idx="167">
                  <c:v>134.5959982655306</c:v>
                </c:pt>
                <c:pt idx="168">
                  <c:v>134.67475901958849</c:v>
                </c:pt>
                <c:pt idx="169">
                  <c:v>134.78062375673238</c:v>
                </c:pt>
                <c:pt idx="170">
                  <c:v>134.90890050988614</c:v>
                </c:pt>
                <c:pt idx="171">
                  <c:v>135.05544067212591</c:v>
                </c:pt>
                <c:pt idx="172">
                  <c:v>135.21663382370937</c:v>
                </c:pt>
                <c:pt idx="173">
                  <c:v>135.38894114447399</c:v>
                </c:pt>
                <c:pt idx="174">
                  <c:v>135.5693384181171</c:v>
                </c:pt>
                <c:pt idx="175">
                  <c:v>135.75548959012107</c:v>
                </c:pt>
                <c:pt idx="176">
                  <c:v>135.94520901945683</c:v>
                </c:pt>
                <c:pt idx="177">
                  <c:v>136.13614513410121</c:v>
                </c:pt>
                <c:pt idx="178">
                  <c:v>136.32583685639446</c:v>
                </c:pt>
                <c:pt idx="179">
                  <c:v>136.5114692679675</c:v>
                </c:pt>
                <c:pt idx="180">
                  <c:v>136.69091755241629</c:v>
                </c:pt>
                <c:pt idx="181">
                  <c:v>136.862268475044</c:v>
                </c:pt>
                <c:pt idx="182">
                  <c:v>137.02357697768394</c:v>
                </c:pt>
                <c:pt idx="183">
                  <c:v>137.17314658437212</c:v>
                </c:pt>
                <c:pt idx="184">
                  <c:v>137.31011608353387</c:v>
                </c:pt>
                <c:pt idx="185">
                  <c:v>137.43125979697902</c:v>
                </c:pt>
                <c:pt idx="186">
                  <c:v>137.53343322396535</c:v>
                </c:pt>
                <c:pt idx="187">
                  <c:v>137.61387232637784</c:v>
                </c:pt>
                <c:pt idx="188">
                  <c:v>137.67092967033608</c:v>
                </c:pt>
                <c:pt idx="189">
                  <c:v>137.70319290175598</c:v>
                </c:pt>
                <c:pt idx="190">
                  <c:v>137.70949283550925</c:v>
                </c:pt>
                <c:pt idx="191">
                  <c:v>137.68875829090416</c:v>
                </c:pt>
                <c:pt idx="192">
                  <c:v>137.64043090422678</c:v>
                </c:pt>
                <c:pt idx="193">
                  <c:v>137.56444683783155</c:v>
                </c:pt>
                <c:pt idx="194">
                  <c:v>137.46057948475763</c:v>
                </c:pt>
                <c:pt idx="195">
                  <c:v>137.32913695877053</c:v>
                </c:pt>
                <c:pt idx="196">
                  <c:v>137.17082076145817</c:v>
                </c:pt>
                <c:pt idx="197">
                  <c:v>136.98735168380844</c:v>
                </c:pt>
                <c:pt idx="198">
                  <c:v>136.78158750383395</c:v>
                </c:pt>
                <c:pt idx="199">
                  <c:v>136.55736890474466</c:v>
                </c:pt>
                <c:pt idx="200">
                  <c:v>136.31966682756067</c:v>
                </c:pt>
                <c:pt idx="201">
                  <c:v>136.07503510773651</c:v>
                </c:pt>
                <c:pt idx="202">
                  <c:v>135.83230278895965</c:v>
                </c:pt>
                <c:pt idx="203">
                  <c:v>135.6019957679749</c:v>
                </c:pt>
                <c:pt idx="204">
                  <c:v>135.39605100228448</c:v>
                </c:pt>
                <c:pt idx="205">
                  <c:v>135.22842295203517</c:v>
                </c:pt>
                <c:pt idx="206">
                  <c:v>135.11554354549739</c:v>
                </c:pt>
                <c:pt idx="207">
                  <c:v>135.07190819659655</c:v>
                </c:pt>
                <c:pt idx="208">
                  <c:v>135.10192760454217</c:v>
                </c:pt>
                <c:pt idx="209">
                  <c:v>135.20151127592072</c:v>
                </c:pt>
                <c:pt idx="210">
                  <c:v>135.36189251256616</c:v>
                </c:pt>
                <c:pt idx="211">
                  <c:v>135.57215367176465</c:v>
                </c:pt>
                <c:pt idx="212">
                  <c:v>135.82083842798218</c:v>
                </c:pt>
                <c:pt idx="213">
                  <c:v>136.09703285963965</c:v>
                </c:pt>
                <c:pt idx="214">
                  <c:v>136.39141002114076</c:v>
                </c:pt>
                <c:pt idx="215">
                  <c:v>136.69576982135166</c:v>
                </c:pt>
                <c:pt idx="216">
                  <c:v>137.00303628787537</c:v>
                </c:pt>
                <c:pt idx="217">
                  <c:v>137.30757984217672</c:v>
                </c:pt>
                <c:pt idx="218">
                  <c:v>137.60633150804051</c:v>
                </c:pt>
                <c:pt idx="219">
                  <c:v>137.8971863218504</c:v>
                </c:pt>
                <c:pt idx="220">
                  <c:v>138.17905411279739</c:v>
                </c:pt>
                <c:pt idx="221">
                  <c:v>138.45170896862135</c:v>
                </c:pt>
                <c:pt idx="222">
                  <c:v>138.71576931824166</c:v>
                </c:pt>
                <c:pt idx="223">
                  <c:v>138.97242127247236</c:v>
                </c:pt>
                <c:pt idx="224">
                  <c:v>139.22334108630366</c:v>
                </c:pt>
                <c:pt idx="225">
                  <c:v>139.47003475143046</c:v>
                </c:pt>
                <c:pt idx="226">
                  <c:v>139.71372492136877</c:v>
                </c:pt>
                <c:pt idx="227">
                  <c:v>139.95559047791477</c:v>
                </c:pt>
                <c:pt idx="228">
                  <c:v>140.19689547478907</c:v>
                </c:pt>
              </c:numCache>
            </c:numRef>
          </c:val>
          <c:smooth val="0"/>
          <c:extLst>
            <c:ext xmlns:c16="http://schemas.microsoft.com/office/drawing/2014/chart" uri="{C3380CC4-5D6E-409C-BE32-E72D297353CC}">
              <c16:uniqueId val="{00000001-A199-40C0-AF8C-CEC058C83184}"/>
            </c:ext>
          </c:extLst>
        </c:ser>
        <c:dLbls>
          <c:showLegendKey val="0"/>
          <c:showVal val="0"/>
          <c:showCatName val="0"/>
          <c:showSerName val="0"/>
          <c:showPercent val="0"/>
          <c:showBubbleSize val="0"/>
        </c:dLbls>
        <c:marker val="1"/>
        <c:smooth val="0"/>
        <c:axId val="2040515792"/>
        <c:axId val="2040519952"/>
      </c:lineChart>
      <c:lineChart>
        <c:grouping val="standard"/>
        <c:varyColors val="0"/>
        <c:ser>
          <c:idx val="2"/>
          <c:order val="2"/>
          <c:tx>
            <c:v>HP Cycle (rhs)</c:v>
          </c:tx>
          <c:spPr>
            <a:ln w="28575" cap="rnd">
              <a:solidFill>
                <a:schemeClr val="accent3"/>
              </a:solidFill>
              <a:round/>
            </a:ln>
            <a:effectLst/>
          </c:spPr>
          <c:marker>
            <c:symbol val="none"/>
          </c:marker>
          <c:cat>
            <c:numRef>
              <c:f>HPFILTER!$F$9:$F$247</c:f>
              <c:numCache>
                <c:formatCode>[$-416]mmm\-yy;@</c:formatCode>
                <c:ptCount val="239"/>
                <c:pt idx="0">
                  <c:v>37653</c:v>
                </c:pt>
                <c:pt idx="1">
                  <c:v>37681</c:v>
                </c:pt>
                <c:pt idx="2">
                  <c:v>37712</c:v>
                </c:pt>
                <c:pt idx="3">
                  <c:v>37742</c:v>
                </c:pt>
                <c:pt idx="4">
                  <c:v>37773</c:v>
                </c:pt>
                <c:pt idx="5">
                  <c:v>37803</c:v>
                </c:pt>
                <c:pt idx="6">
                  <c:v>37834</c:v>
                </c:pt>
                <c:pt idx="7">
                  <c:v>37865</c:v>
                </c:pt>
                <c:pt idx="8">
                  <c:v>37895</c:v>
                </c:pt>
                <c:pt idx="9">
                  <c:v>37926</c:v>
                </c:pt>
                <c:pt idx="10">
                  <c:v>37956</c:v>
                </c:pt>
                <c:pt idx="11">
                  <c:v>37987</c:v>
                </c:pt>
                <c:pt idx="12">
                  <c:v>38018</c:v>
                </c:pt>
                <c:pt idx="13">
                  <c:v>38047</c:v>
                </c:pt>
                <c:pt idx="14">
                  <c:v>38078</c:v>
                </c:pt>
                <c:pt idx="15">
                  <c:v>38108</c:v>
                </c:pt>
                <c:pt idx="16">
                  <c:v>38139</c:v>
                </c:pt>
                <c:pt idx="17">
                  <c:v>38169</c:v>
                </c:pt>
                <c:pt idx="18">
                  <c:v>38200</c:v>
                </c:pt>
                <c:pt idx="19">
                  <c:v>38231</c:v>
                </c:pt>
                <c:pt idx="20">
                  <c:v>38261</c:v>
                </c:pt>
                <c:pt idx="21">
                  <c:v>38292</c:v>
                </c:pt>
                <c:pt idx="22">
                  <c:v>38322</c:v>
                </c:pt>
                <c:pt idx="23">
                  <c:v>38353</c:v>
                </c:pt>
                <c:pt idx="24">
                  <c:v>38384</c:v>
                </c:pt>
                <c:pt idx="25">
                  <c:v>38412</c:v>
                </c:pt>
                <c:pt idx="26">
                  <c:v>38443</c:v>
                </c:pt>
                <c:pt idx="27">
                  <c:v>38473</c:v>
                </c:pt>
                <c:pt idx="28">
                  <c:v>38504</c:v>
                </c:pt>
                <c:pt idx="29">
                  <c:v>38534</c:v>
                </c:pt>
                <c:pt idx="30">
                  <c:v>38565</c:v>
                </c:pt>
                <c:pt idx="31">
                  <c:v>38596</c:v>
                </c:pt>
                <c:pt idx="32">
                  <c:v>38626</c:v>
                </c:pt>
                <c:pt idx="33">
                  <c:v>38657</c:v>
                </c:pt>
                <c:pt idx="34">
                  <c:v>38687</c:v>
                </c:pt>
                <c:pt idx="35">
                  <c:v>38718</c:v>
                </c:pt>
                <c:pt idx="36">
                  <c:v>38749</c:v>
                </c:pt>
                <c:pt idx="37">
                  <c:v>38777</c:v>
                </c:pt>
                <c:pt idx="38">
                  <c:v>38808</c:v>
                </c:pt>
                <c:pt idx="39">
                  <c:v>38838</c:v>
                </c:pt>
                <c:pt idx="40">
                  <c:v>38869</c:v>
                </c:pt>
                <c:pt idx="41">
                  <c:v>38899</c:v>
                </c:pt>
                <c:pt idx="42">
                  <c:v>38930</c:v>
                </c:pt>
                <c:pt idx="43">
                  <c:v>38961</c:v>
                </c:pt>
                <c:pt idx="44">
                  <c:v>38991</c:v>
                </c:pt>
                <c:pt idx="45">
                  <c:v>39022</c:v>
                </c:pt>
                <c:pt idx="46">
                  <c:v>39052</c:v>
                </c:pt>
                <c:pt idx="47">
                  <c:v>39083</c:v>
                </c:pt>
                <c:pt idx="48">
                  <c:v>39114</c:v>
                </c:pt>
                <c:pt idx="49">
                  <c:v>39142</c:v>
                </c:pt>
                <c:pt idx="50">
                  <c:v>39173</c:v>
                </c:pt>
                <c:pt idx="51">
                  <c:v>39203</c:v>
                </c:pt>
                <c:pt idx="52">
                  <c:v>39234</c:v>
                </c:pt>
                <c:pt idx="53">
                  <c:v>39264</c:v>
                </c:pt>
                <c:pt idx="54">
                  <c:v>39295</c:v>
                </c:pt>
                <c:pt idx="55">
                  <c:v>39326</c:v>
                </c:pt>
                <c:pt idx="56">
                  <c:v>39356</c:v>
                </c:pt>
                <c:pt idx="57">
                  <c:v>39387</c:v>
                </c:pt>
                <c:pt idx="58">
                  <c:v>39417</c:v>
                </c:pt>
                <c:pt idx="59">
                  <c:v>39448</c:v>
                </c:pt>
                <c:pt idx="60">
                  <c:v>39479</c:v>
                </c:pt>
                <c:pt idx="61">
                  <c:v>39508</c:v>
                </c:pt>
                <c:pt idx="62">
                  <c:v>39539</c:v>
                </c:pt>
                <c:pt idx="63">
                  <c:v>39569</c:v>
                </c:pt>
                <c:pt idx="64">
                  <c:v>39600</c:v>
                </c:pt>
                <c:pt idx="65">
                  <c:v>39630</c:v>
                </c:pt>
                <c:pt idx="66">
                  <c:v>39661</c:v>
                </c:pt>
                <c:pt idx="67">
                  <c:v>39692</c:v>
                </c:pt>
                <c:pt idx="68">
                  <c:v>39722</c:v>
                </c:pt>
                <c:pt idx="69">
                  <c:v>39753</c:v>
                </c:pt>
                <c:pt idx="70">
                  <c:v>39783</c:v>
                </c:pt>
                <c:pt idx="71">
                  <c:v>39814</c:v>
                </c:pt>
                <c:pt idx="72">
                  <c:v>39845</c:v>
                </c:pt>
                <c:pt idx="73">
                  <c:v>39873</c:v>
                </c:pt>
                <c:pt idx="74">
                  <c:v>39904</c:v>
                </c:pt>
                <c:pt idx="75">
                  <c:v>39934</c:v>
                </c:pt>
                <c:pt idx="76">
                  <c:v>39965</c:v>
                </c:pt>
                <c:pt idx="77">
                  <c:v>39995</c:v>
                </c:pt>
                <c:pt idx="78">
                  <c:v>40026</c:v>
                </c:pt>
                <c:pt idx="79">
                  <c:v>40057</c:v>
                </c:pt>
                <c:pt idx="80">
                  <c:v>40087</c:v>
                </c:pt>
                <c:pt idx="81">
                  <c:v>40118</c:v>
                </c:pt>
                <c:pt idx="82">
                  <c:v>40148</c:v>
                </c:pt>
                <c:pt idx="83">
                  <c:v>40179</c:v>
                </c:pt>
                <c:pt idx="84">
                  <c:v>40210</c:v>
                </c:pt>
                <c:pt idx="85">
                  <c:v>40238</c:v>
                </c:pt>
                <c:pt idx="86">
                  <c:v>40269</c:v>
                </c:pt>
                <c:pt idx="87">
                  <c:v>40299</c:v>
                </c:pt>
                <c:pt idx="88">
                  <c:v>40330</c:v>
                </c:pt>
                <c:pt idx="89">
                  <c:v>40360</c:v>
                </c:pt>
                <c:pt idx="90">
                  <c:v>40391</c:v>
                </c:pt>
                <c:pt idx="91">
                  <c:v>40422</c:v>
                </c:pt>
                <c:pt idx="92">
                  <c:v>40452</c:v>
                </c:pt>
                <c:pt idx="93">
                  <c:v>40483</c:v>
                </c:pt>
                <c:pt idx="94">
                  <c:v>40513</c:v>
                </c:pt>
                <c:pt idx="95">
                  <c:v>40544</c:v>
                </c:pt>
                <c:pt idx="96">
                  <c:v>40575</c:v>
                </c:pt>
                <c:pt idx="97">
                  <c:v>40603</c:v>
                </c:pt>
                <c:pt idx="98">
                  <c:v>40634</c:v>
                </c:pt>
                <c:pt idx="99">
                  <c:v>40664</c:v>
                </c:pt>
                <c:pt idx="100">
                  <c:v>40695</c:v>
                </c:pt>
                <c:pt idx="101">
                  <c:v>40725</c:v>
                </c:pt>
                <c:pt idx="102">
                  <c:v>40756</c:v>
                </c:pt>
                <c:pt idx="103">
                  <c:v>40787</c:v>
                </c:pt>
                <c:pt idx="104">
                  <c:v>40817</c:v>
                </c:pt>
                <c:pt idx="105">
                  <c:v>40848</c:v>
                </c:pt>
                <c:pt idx="106">
                  <c:v>40878</c:v>
                </c:pt>
                <c:pt idx="107">
                  <c:v>40909</c:v>
                </c:pt>
                <c:pt idx="108">
                  <c:v>40940</c:v>
                </c:pt>
                <c:pt idx="109">
                  <c:v>40969</c:v>
                </c:pt>
                <c:pt idx="110">
                  <c:v>41000</c:v>
                </c:pt>
                <c:pt idx="111">
                  <c:v>41030</c:v>
                </c:pt>
                <c:pt idx="112">
                  <c:v>41061</c:v>
                </c:pt>
                <c:pt idx="113">
                  <c:v>41091</c:v>
                </c:pt>
                <c:pt idx="114">
                  <c:v>41122</c:v>
                </c:pt>
                <c:pt idx="115">
                  <c:v>41153</c:v>
                </c:pt>
                <c:pt idx="116">
                  <c:v>41183</c:v>
                </c:pt>
                <c:pt idx="117">
                  <c:v>41214</c:v>
                </c:pt>
                <c:pt idx="118">
                  <c:v>41244</c:v>
                </c:pt>
                <c:pt idx="119">
                  <c:v>41275</c:v>
                </c:pt>
                <c:pt idx="120">
                  <c:v>41306</c:v>
                </c:pt>
                <c:pt idx="121">
                  <c:v>41334</c:v>
                </c:pt>
                <c:pt idx="122">
                  <c:v>41365</c:v>
                </c:pt>
                <c:pt idx="123">
                  <c:v>41395</c:v>
                </c:pt>
                <c:pt idx="124">
                  <c:v>41426</c:v>
                </c:pt>
                <c:pt idx="125">
                  <c:v>41456</c:v>
                </c:pt>
                <c:pt idx="126">
                  <c:v>41487</c:v>
                </c:pt>
                <c:pt idx="127">
                  <c:v>41518</c:v>
                </c:pt>
                <c:pt idx="128">
                  <c:v>41548</c:v>
                </c:pt>
                <c:pt idx="129">
                  <c:v>41579</c:v>
                </c:pt>
                <c:pt idx="130">
                  <c:v>41609</c:v>
                </c:pt>
                <c:pt idx="131">
                  <c:v>41640</c:v>
                </c:pt>
                <c:pt idx="132">
                  <c:v>41671</c:v>
                </c:pt>
                <c:pt idx="133">
                  <c:v>41699</c:v>
                </c:pt>
                <c:pt idx="134">
                  <c:v>41730</c:v>
                </c:pt>
                <c:pt idx="135">
                  <c:v>41760</c:v>
                </c:pt>
                <c:pt idx="136">
                  <c:v>41791</c:v>
                </c:pt>
                <c:pt idx="137">
                  <c:v>41821</c:v>
                </c:pt>
                <c:pt idx="138">
                  <c:v>41852</c:v>
                </c:pt>
                <c:pt idx="139">
                  <c:v>41883</c:v>
                </c:pt>
                <c:pt idx="140">
                  <c:v>41913</c:v>
                </c:pt>
                <c:pt idx="141">
                  <c:v>41944</c:v>
                </c:pt>
                <c:pt idx="142">
                  <c:v>41974</c:v>
                </c:pt>
                <c:pt idx="143">
                  <c:v>42005</c:v>
                </c:pt>
                <c:pt idx="144">
                  <c:v>42036</c:v>
                </c:pt>
                <c:pt idx="145">
                  <c:v>42064</c:v>
                </c:pt>
                <c:pt idx="146">
                  <c:v>42095</c:v>
                </c:pt>
                <c:pt idx="147">
                  <c:v>42125</c:v>
                </c:pt>
                <c:pt idx="148">
                  <c:v>42156</c:v>
                </c:pt>
                <c:pt idx="149">
                  <c:v>42186</c:v>
                </c:pt>
                <c:pt idx="150">
                  <c:v>42217</c:v>
                </c:pt>
                <c:pt idx="151">
                  <c:v>42248</c:v>
                </c:pt>
                <c:pt idx="152">
                  <c:v>42278</c:v>
                </c:pt>
                <c:pt idx="153">
                  <c:v>42309</c:v>
                </c:pt>
                <c:pt idx="154">
                  <c:v>42339</c:v>
                </c:pt>
                <c:pt idx="155">
                  <c:v>42370</c:v>
                </c:pt>
                <c:pt idx="156">
                  <c:v>42401</c:v>
                </c:pt>
                <c:pt idx="157">
                  <c:v>42430</c:v>
                </c:pt>
                <c:pt idx="158">
                  <c:v>42461</c:v>
                </c:pt>
                <c:pt idx="159">
                  <c:v>42491</c:v>
                </c:pt>
                <c:pt idx="160">
                  <c:v>42522</c:v>
                </c:pt>
                <c:pt idx="161">
                  <c:v>42552</c:v>
                </c:pt>
                <c:pt idx="162">
                  <c:v>42583</c:v>
                </c:pt>
                <c:pt idx="163">
                  <c:v>42614</c:v>
                </c:pt>
                <c:pt idx="164">
                  <c:v>42644</c:v>
                </c:pt>
                <c:pt idx="165">
                  <c:v>42675</c:v>
                </c:pt>
                <c:pt idx="166">
                  <c:v>42705</c:v>
                </c:pt>
                <c:pt idx="167">
                  <c:v>42736</c:v>
                </c:pt>
                <c:pt idx="168">
                  <c:v>42767</c:v>
                </c:pt>
                <c:pt idx="169">
                  <c:v>42795</c:v>
                </c:pt>
                <c:pt idx="170">
                  <c:v>42826</c:v>
                </c:pt>
                <c:pt idx="171">
                  <c:v>42856</c:v>
                </c:pt>
                <c:pt idx="172">
                  <c:v>42887</c:v>
                </c:pt>
                <c:pt idx="173">
                  <c:v>42917</c:v>
                </c:pt>
                <c:pt idx="174">
                  <c:v>42948</c:v>
                </c:pt>
                <c:pt idx="175">
                  <c:v>42979</c:v>
                </c:pt>
                <c:pt idx="176">
                  <c:v>43009</c:v>
                </c:pt>
                <c:pt idx="177">
                  <c:v>43040</c:v>
                </c:pt>
                <c:pt idx="178">
                  <c:v>43070</c:v>
                </c:pt>
                <c:pt idx="179">
                  <c:v>43101</c:v>
                </c:pt>
                <c:pt idx="180">
                  <c:v>43132</c:v>
                </c:pt>
                <c:pt idx="181">
                  <c:v>43160</c:v>
                </c:pt>
                <c:pt idx="182">
                  <c:v>43191</c:v>
                </c:pt>
                <c:pt idx="183">
                  <c:v>43221</c:v>
                </c:pt>
                <c:pt idx="184">
                  <c:v>43252</c:v>
                </c:pt>
                <c:pt idx="185">
                  <c:v>43282</c:v>
                </c:pt>
                <c:pt idx="186">
                  <c:v>43313</c:v>
                </c:pt>
                <c:pt idx="187">
                  <c:v>43344</c:v>
                </c:pt>
                <c:pt idx="188">
                  <c:v>43374</c:v>
                </c:pt>
                <c:pt idx="189">
                  <c:v>43405</c:v>
                </c:pt>
                <c:pt idx="190">
                  <c:v>43435</c:v>
                </c:pt>
                <c:pt idx="191">
                  <c:v>43466</c:v>
                </c:pt>
                <c:pt idx="192">
                  <c:v>43497</c:v>
                </c:pt>
                <c:pt idx="193">
                  <c:v>43525</c:v>
                </c:pt>
                <c:pt idx="194">
                  <c:v>43556</c:v>
                </c:pt>
                <c:pt idx="195">
                  <c:v>43586</c:v>
                </c:pt>
                <c:pt idx="196">
                  <c:v>43617</c:v>
                </c:pt>
                <c:pt idx="197">
                  <c:v>43647</c:v>
                </c:pt>
                <c:pt idx="198">
                  <c:v>43678</c:v>
                </c:pt>
                <c:pt idx="199">
                  <c:v>43709</c:v>
                </c:pt>
                <c:pt idx="200">
                  <c:v>43739</c:v>
                </c:pt>
                <c:pt idx="201">
                  <c:v>43770</c:v>
                </c:pt>
                <c:pt idx="202">
                  <c:v>43800</c:v>
                </c:pt>
                <c:pt idx="203">
                  <c:v>43831</c:v>
                </c:pt>
                <c:pt idx="204">
                  <c:v>43862</c:v>
                </c:pt>
                <c:pt idx="205">
                  <c:v>43891</c:v>
                </c:pt>
                <c:pt idx="206">
                  <c:v>43922</c:v>
                </c:pt>
                <c:pt idx="207">
                  <c:v>43952</c:v>
                </c:pt>
                <c:pt idx="208">
                  <c:v>43983</c:v>
                </c:pt>
                <c:pt idx="209">
                  <c:v>44013</c:v>
                </c:pt>
                <c:pt idx="210">
                  <c:v>44044</c:v>
                </c:pt>
                <c:pt idx="211">
                  <c:v>44075</c:v>
                </c:pt>
                <c:pt idx="212">
                  <c:v>44105</c:v>
                </c:pt>
                <c:pt idx="213">
                  <c:v>44136</c:v>
                </c:pt>
                <c:pt idx="214">
                  <c:v>44166</c:v>
                </c:pt>
                <c:pt idx="215">
                  <c:v>44197</c:v>
                </c:pt>
                <c:pt idx="216">
                  <c:v>44228</c:v>
                </c:pt>
                <c:pt idx="217">
                  <c:v>44256</c:v>
                </c:pt>
                <c:pt idx="218">
                  <c:v>44287</c:v>
                </c:pt>
                <c:pt idx="219">
                  <c:v>44317</c:v>
                </c:pt>
                <c:pt idx="220">
                  <c:v>44348</c:v>
                </c:pt>
                <c:pt idx="221">
                  <c:v>44378</c:v>
                </c:pt>
                <c:pt idx="222">
                  <c:v>44409</c:v>
                </c:pt>
                <c:pt idx="223">
                  <c:v>44440</c:v>
                </c:pt>
                <c:pt idx="224">
                  <c:v>44470</c:v>
                </c:pt>
                <c:pt idx="225">
                  <c:v>44501</c:v>
                </c:pt>
                <c:pt idx="226">
                  <c:v>44531</c:v>
                </c:pt>
                <c:pt idx="227">
                  <c:v>44562</c:v>
                </c:pt>
                <c:pt idx="228">
                  <c:v>44593</c:v>
                </c:pt>
              </c:numCache>
            </c:numRef>
          </c:cat>
          <c:val>
            <c:numRef>
              <c:f>HPFILTER!$P$8:$P$237</c:f>
              <c:numCache>
                <c:formatCode>General</c:formatCode>
                <c:ptCount val="230"/>
                <c:pt idx="0">
                  <c:v>1.0131530991836968</c:v>
                </c:pt>
                <c:pt idx="1">
                  <c:v>2.1714942675082369</c:v>
                </c:pt>
                <c:pt idx="2">
                  <c:v>1.90920221514574</c:v>
                </c:pt>
                <c:pt idx="3">
                  <c:v>0.4542865374921945</c:v>
                </c:pt>
                <c:pt idx="4">
                  <c:v>-0.92643642144116711</c:v>
                </c:pt>
                <c:pt idx="5">
                  <c:v>-0.89643424672868832</c:v>
                </c:pt>
                <c:pt idx="6">
                  <c:v>-2.4785955006815499</c:v>
                </c:pt>
                <c:pt idx="7">
                  <c:v>-2.2052484742067122</c:v>
                </c:pt>
                <c:pt idx="8">
                  <c:v>-0.627172336023051</c:v>
                </c:pt>
                <c:pt idx="9">
                  <c:v>-0.87376797455331712</c:v>
                </c:pt>
                <c:pt idx="10">
                  <c:v>-1.2140442955097654</c:v>
                </c:pt>
                <c:pt idx="11">
                  <c:v>-2.0464640996210477</c:v>
                </c:pt>
                <c:pt idx="12">
                  <c:v>-0.50873140993098787</c:v>
                </c:pt>
                <c:pt idx="13">
                  <c:v>-4.7271209421083427E-2</c:v>
                </c:pt>
                <c:pt idx="14">
                  <c:v>0.98180947605800384</c:v>
                </c:pt>
                <c:pt idx="15">
                  <c:v>0.95243316516213383</c:v>
                </c:pt>
                <c:pt idx="16">
                  <c:v>0.527908745623904</c:v>
                </c:pt>
                <c:pt idx="17">
                  <c:v>0.86094983444834838</c:v>
                </c:pt>
                <c:pt idx="18">
                  <c:v>1.0239401056740434</c:v>
                </c:pt>
                <c:pt idx="19">
                  <c:v>0.96872513969303498</c:v>
                </c:pt>
                <c:pt idx="20">
                  <c:v>1.8265105543318612</c:v>
                </c:pt>
                <c:pt idx="21">
                  <c:v>0.69789651420406074</c:v>
                </c:pt>
                <c:pt idx="22">
                  <c:v>1.2023416148275459</c:v>
                </c:pt>
                <c:pt idx="23">
                  <c:v>-1.1317336018237256E-3</c:v>
                </c:pt>
                <c:pt idx="24">
                  <c:v>0.46574741560337429</c:v>
                </c:pt>
                <c:pt idx="25">
                  <c:v>0.63125071646294373</c:v>
                </c:pt>
                <c:pt idx="26">
                  <c:v>0.57335873086272215</c:v>
                </c:pt>
                <c:pt idx="27">
                  <c:v>0.74965748899066398</c:v>
                </c:pt>
                <c:pt idx="28">
                  <c:v>0.44737467182758905</c:v>
                </c:pt>
                <c:pt idx="29">
                  <c:v>-0.2567305755759719</c:v>
                </c:pt>
                <c:pt idx="30">
                  <c:v>-0.60617871733977324</c:v>
                </c:pt>
                <c:pt idx="31">
                  <c:v>-0.30432976097313258</c:v>
                </c:pt>
                <c:pt idx="32">
                  <c:v>-1.1041648522880081</c:v>
                </c:pt>
                <c:pt idx="33">
                  <c:v>-1.2984749309950132</c:v>
                </c:pt>
                <c:pt idx="34">
                  <c:v>-0.93936083377222701</c:v>
                </c:pt>
                <c:pt idx="35">
                  <c:v>-0.84811185046606852</c:v>
                </c:pt>
                <c:pt idx="36">
                  <c:v>-0.22543017040166546</c:v>
                </c:pt>
                <c:pt idx="37">
                  <c:v>-0.45148791299742186</c:v>
                </c:pt>
                <c:pt idx="38">
                  <c:v>-0.98631630381561308</c:v>
                </c:pt>
                <c:pt idx="39">
                  <c:v>-0.79966438847252164</c:v>
                </c:pt>
                <c:pt idx="40">
                  <c:v>0.11933523510498389</c:v>
                </c:pt>
                <c:pt idx="41">
                  <c:v>-1.3479502407664086</c:v>
                </c:pt>
                <c:pt idx="42">
                  <c:v>0.32977179170772786</c:v>
                </c:pt>
                <c:pt idx="43">
                  <c:v>-0.54536359077820862</c:v>
                </c:pt>
                <c:pt idx="44">
                  <c:v>-0.91142741889913736</c:v>
                </c:pt>
                <c:pt idx="45">
                  <c:v>-0.23614987108561536</c:v>
                </c:pt>
                <c:pt idx="46">
                  <c:v>-1.6691483631859683E-2</c:v>
                </c:pt>
                <c:pt idx="47">
                  <c:v>0.39993480083778365</c:v>
                </c:pt>
                <c:pt idx="48">
                  <c:v>-0.3932735281239701</c:v>
                </c:pt>
                <c:pt idx="49">
                  <c:v>-0.46356894021485573</c:v>
                </c:pt>
                <c:pt idx="50">
                  <c:v>-1.807958109177676</c:v>
                </c:pt>
                <c:pt idx="51">
                  <c:v>-0.59315797816719851</c:v>
                </c:pt>
                <c:pt idx="52">
                  <c:v>5.5244483479725659E-2</c:v>
                </c:pt>
                <c:pt idx="53">
                  <c:v>0.55203303016271832</c:v>
                </c:pt>
                <c:pt idx="54">
                  <c:v>0.86195688847963936</c:v>
                </c:pt>
                <c:pt idx="55">
                  <c:v>0.48942026438335517</c:v>
                </c:pt>
                <c:pt idx="56">
                  <c:v>1.0482886407726824</c:v>
                </c:pt>
                <c:pt idx="57">
                  <c:v>1.6021216128802962</c:v>
                </c:pt>
                <c:pt idx="58">
                  <c:v>1.0738235955388831</c:v>
                </c:pt>
                <c:pt idx="59">
                  <c:v>1.5252976775725244</c:v>
                </c:pt>
                <c:pt idx="60">
                  <c:v>1.4877758080588137</c:v>
                </c:pt>
                <c:pt idx="61">
                  <c:v>0.84153662502615134</c:v>
                </c:pt>
                <c:pt idx="62">
                  <c:v>0.23592890662348509</c:v>
                </c:pt>
                <c:pt idx="63">
                  <c:v>1.3197754706089313</c:v>
                </c:pt>
                <c:pt idx="64">
                  <c:v>2.8817516791740729</c:v>
                </c:pt>
                <c:pt idx="65">
                  <c:v>4.5697080348414403</c:v>
                </c:pt>
                <c:pt idx="66">
                  <c:v>4.2396939453338689</c:v>
                </c:pt>
                <c:pt idx="67">
                  <c:v>4.2549027508527075</c:v>
                </c:pt>
                <c:pt idx="68">
                  <c:v>4.1658779828831598</c:v>
                </c:pt>
                <c:pt idx="69">
                  <c:v>1.4005038586914083</c:v>
                </c:pt>
                <c:pt idx="70">
                  <c:v>-1.8759390781959411</c:v>
                </c:pt>
                <c:pt idx="71">
                  <c:v>-5.9590455991635594</c:v>
                </c:pt>
                <c:pt idx="72">
                  <c:v>-6.1732380136729148</c:v>
                </c:pt>
                <c:pt idx="73">
                  <c:v>-4.9592142276850808</c:v>
                </c:pt>
                <c:pt idx="74">
                  <c:v>-4.3938138734031895</c:v>
                </c:pt>
                <c:pt idx="75">
                  <c:v>-4.0007770741376163</c:v>
                </c:pt>
                <c:pt idx="76">
                  <c:v>-3.1110978195277283</c:v>
                </c:pt>
                <c:pt idx="77">
                  <c:v>-2.4532696135420053</c:v>
                </c:pt>
                <c:pt idx="78">
                  <c:v>-2.5538415240115597</c:v>
                </c:pt>
                <c:pt idx="79">
                  <c:v>-1.2678293252586172</c:v>
                </c:pt>
                <c:pt idx="80">
                  <c:v>-0.79865264065355746</c:v>
                </c:pt>
                <c:pt idx="81">
                  <c:v>-0.72893870023824547</c:v>
                </c:pt>
                <c:pt idx="82">
                  <c:v>-1.1308155761532817</c:v>
                </c:pt>
                <c:pt idx="83">
                  <c:v>-0.50595575385301572</c:v>
                </c:pt>
                <c:pt idx="84">
                  <c:v>0.99467504094400283</c:v>
                </c:pt>
                <c:pt idx="85">
                  <c:v>2.0204273048658763</c:v>
                </c:pt>
                <c:pt idx="86">
                  <c:v>2.7700298626388928</c:v>
                </c:pt>
                <c:pt idx="87">
                  <c:v>2.5709487719248614</c:v>
                </c:pt>
                <c:pt idx="88">
                  <c:v>1.3689188217207686</c:v>
                </c:pt>
                <c:pt idx="89">
                  <c:v>0.48806795804119929</c:v>
                </c:pt>
                <c:pt idx="90">
                  <c:v>0.59166855263671891</c:v>
                </c:pt>
                <c:pt idx="91">
                  <c:v>0.76268793478561747</c:v>
                </c:pt>
                <c:pt idx="92">
                  <c:v>1.9637236409193406</c:v>
                </c:pt>
                <c:pt idx="93">
                  <c:v>0.76689652751042559</c:v>
                </c:pt>
                <c:pt idx="94">
                  <c:v>1.6631001237558962</c:v>
                </c:pt>
                <c:pt idx="95">
                  <c:v>-0.57725135147694573</c:v>
                </c:pt>
                <c:pt idx="96">
                  <c:v>0.86521688310224931</c:v>
                </c:pt>
                <c:pt idx="97">
                  <c:v>1.0702403908776148</c:v>
                </c:pt>
                <c:pt idx="98">
                  <c:v>1.1070139746825021</c:v>
                </c:pt>
                <c:pt idx="99">
                  <c:v>0.5340635371050837</c:v>
                </c:pt>
                <c:pt idx="100">
                  <c:v>0.67922309699935113</c:v>
                </c:pt>
                <c:pt idx="101">
                  <c:v>1.3699928835087576</c:v>
                </c:pt>
                <c:pt idx="102">
                  <c:v>1.1634486113418063</c:v>
                </c:pt>
                <c:pt idx="103">
                  <c:v>0.65580974965385508</c:v>
                </c:pt>
                <c:pt idx="104">
                  <c:v>0.28256861221805707</c:v>
                </c:pt>
                <c:pt idx="105">
                  <c:v>-0.12119236828476687</c:v>
                </c:pt>
                <c:pt idx="106">
                  <c:v>0.35943263544245951</c:v>
                </c:pt>
                <c:pt idx="107">
                  <c:v>-1.6305748040727792</c:v>
                </c:pt>
                <c:pt idx="108">
                  <c:v>-3.4064577597000323</c:v>
                </c:pt>
                <c:pt idx="109">
                  <c:v>-1.9924401950559911</c:v>
                </c:pt>
                <c:pt idx="110">
                  <c:v>-2.6406170376585294</c:v>
                </c:pt>
                <c:pt idx="111">
                  <c:v>-1.8918379399028993</c:v>
                </c:pt>
                <c:pt idx="112">
                  <c:v>-0.50530216853616139</c:v>
                </c:pt>
                <c:pt idx="113">
                  <c:v>0.13097340840749894</c:v>
                </c:pt>
                <c:pt idx="114">
                  <c:v>0.33928773674890067</c:v>
                </c:pt>
                <c:pt idx="115">
                  <c:v>0.39185790392863851</c:v>
                </c:pt>
                <c:pt idx="116">
                  <c:v>-0.51931105744765205</c:v>
                </c:pt>
                <c:pt idx="117">
                  <c:v>0.3575409740346629</c:v>
                </c:pt>
                <c:pt idx="118">
                  <c:v>-0.19550131079824951</c:v>
                </c:pt>
                <c:pt idx="119">
                  <c:v>-0.88657668422865754</c:v>
                </c:pt>
                <c:pt idx="120">
                  <c:v>-0.32370173021985238</c:v>
                </c:pt>
                <c:pt idx="121">
                  <c:v>-1.8043389223077497</c:v>
                </c:pt>
                <c:pt idx="122">
                  <c:v>-0.87574842044656975</c:v>
                </c:pt>
                <c:pt idx="123">
                  <c:v>0.17593732723585731</c:v>
                </c:pt>
                <c:pt idx="124">
                  <c:v>0.5451332153743067</c:v>
                </c:pt>
                <c:pt idx="125">
                  <c:v>-0.13385582222588255</c:v>
                </c:pt>
                <c:pt idx="126">
                  <c:v>0.53293443998148859</c:v>
                </c:pt>
                <c:pt idx="127">
                  <c:v>0.30955188743041617</c:v>
                </c:pt>
                <c:pt idx="128">
                  <c:v>1.2297113215306013</c:v>
                </c:pt>
                <c:pt idx="129">
                  <c:v>1.0069340737626646</c:v>
                </c:pt>
                <c:pt idx="130">
                  <c:v>1.3239729060303205</c:v>
                </c:pt>
                <c:pt idx="131">
                  <c:v>1.6029512464417337</c:v>
                </c:pt>
                <c:pt idx="132">
                  <c:v>1.3151650400388633</c:v>
                </c:pt>
                <c:pt idx="133">
                  <c:v>0.99090838733403075</c:v>
                </c:pt>
                <c:pt idx="134">
                  <c:v>1.1696534106909269</c:v>
                </c:pt>
                <c:pt idx="135">
                  <c:v>0.34025291472991626</c:v>
                </c:pt>
                <c:pt idx="136">
                  <c:v>-1.9171329310097462E-2</c:v>
                </c:pt>
                <c:pt idx="137">
                  <c:v>-2.4507102082612562</c:v>
                </c:pt>
                <c:pt idx="138">
                  <c:v>-0.95644262687537207</c:v>
                </c:pt>
                <c:pt idx="139">
                  <c:v>0.14308420397642863</c:v>
                </c:pt>
                <c:pt idx="140">
                  <c:v>1.1679208500638367</c:v>
                </c:pt>
                <c:pt idx="141">
                  <c:v>0.7480284495304943</c:v>
                </c:pt>
                <c:pt idx="142">
                  <c:v>1.3226381899877424</c:v>
                </c:pt>
                <c:pt idx="143">
                  <c:v>2.4405137412665283</c:v>
                </c:pt>
                <c:pt idx="144">
                  <c:v>1.6895921243284988</c:v>
                </c:pt>
                <c:pt idx="145">
                  <c:v>1.2362850390476865</c:v>
                </c:pt>
                <c:pt idx="146">
                  <c:v>1.5359481902200685</c:v>
                </c:pt>
                <c:pt idx="147">
                  <c:v>0.75316460449235478</c:v>
                </c:pt>
                <c:pt idx="148">
                  <c:v>3.1557340891964714E-2</c:v>
                </c:pt>
                <c:pt idx="149">
                  <c:v>-0.88572126943111584</c:v>
                </c:pt>
                <c:pt idx="150">
                  <c:v>-1.2155386186653914</c:v>
                </c:pt>
                <c:pt idx="151">
                  <c:v>-0.38420852320561494</c:v>
                </c:pt>
                <c:pt idx="152">
                  <c:v>-1.1872850878103804</c:v>
                </c:pt>
                <c:pt idx="153">
                  <c:v>0.28991771308935199</c:v>
                </c:pt>
                <c:pt idx="154">
                  <c:v>-1.0271720417578365</c:v>
                </c:pt>
                <c:pt idx="155">
                  <c:v>-0.91330747217381258</c:v>
                </c:pt>
                <c:pt idx="156">
                  <c:v>-1.2525997154548065</c:v>
                </c:pt>
                <c:pt idx="157">
                  <c:v>-0.84858909172652375</c:v>
                </c:pt>
                <c:pt idx="158">
                  <c:v>-1.3740330462927943</c:v>
                </c:pt>
                <c:pt idx="159">
                  <c:v>-0.92115865627442872</c:v>
                </c:pt>
                <c:pt idx="160">
                  <c:v>-1.0713342281391363</c:v>
                </c:pt>
                <c:pt idx="161">
                  <c:v>-0.2753523441941752</c:v>
                </c:pt>
                <c:pt idx="162">
                  <c:v>-0.3033360028540244</c:v>
                </c:pt>
                <c:pt idx="163">
                  <c:v>-0.75523610731841018</c:v>
                </c:pt>
                <c:pt idx="164">
                  <c:v>-0.89081397578468113</c:v>
                </c:pt>
                <c:pt idx="165">
                  <c:v>-1.2693589038835569</c:v>
                </c:pt>
                <c:pt idx="166">
                  <c:v>-1.5196034285108908</c:v>
                </c:pt>
                <c:pt idx="167">
                  <c:v>-2.1894867372471367</c:v>
                </c:pt>
                <c:pt idx="168">
                  <c:v>-1.2259982655305919</c:v>
                </c:pt>
                <c:pt idx="169">
                  <c:v>0.72524098041151319</c:v>
                </c:pt>
                <c:pt idx="170">
                  <c:v>0.86937624326762375</c:v>
                </c:pt>
                <c:pt idx="171">
                  <c:v>0.86109949011387243</c:v>
                </c:pt>
                <c:pt idx="172">
                  <c:v>0.11455932787407619</c:v>
                </c:pt>
                <c:pt idx="173">
                  <c:v>0.82336617629061948</c:v>
                </c:pt>
                <c:pt idx="174">
                  <c:v>1.1010588555260199</c:v>
                </c:pt>
                <c:pt idx="175">
                  <c:v>0.24066158188290387</c:v>
                </c:pt>
                <c:pt idx="176">
                  <c:v>-0.26548959012106366</c:v>
                </c:pt>
                <c:pt idx="177">
                  <c:v>-0.17520901945681544</c:v>
                </c:pt>
                <c:pt idx="178">
                  <c:v>-0.56614513410121958</c:v>
                </c:pt>
                <c:pt idx="179">
                  <c:v>1.1041631436055468</c:v>
                </c:pt>
                <c:pt idx="180">
                  <c:v>0.33853073203249551</c:v>
                </c:pt>
                <c:pt idx="181">
                  <c:v>-5.0917552416308354E-2</c:v>
                </c:pt>
                <c:pt idx="182">
                  <c:v>0.39773152495598652</c:v>
                </c:pt>
                <c:pt idx="183">
                  <c:v>1.3364230223160689</c:v>
                </c:pt>
                <c:pt idx="184">
                  <c:v>-3.7831465843721332</c:v>
                </c:pt>
                <c:pt idx="185">
                  <c:v>0.1298839164661274</c:v>
                </c:pt>
                <c:pt idx="186">
                  <c:v>0.60874020302097165</c:v>
                </c:pt>
                <c:pt idx="187">
                  <c:v>1.7865667760346469</c:v>
                </c:pt>
                <c:pt idx="188">
                  <c:v>0.37612767362216459</c:v>
                </c:pt>
                <c:pt idx="189">
                  <c:v>0.38907032966392308</c:v>
                </c:pt>
                <c:pt idx="190">
                  <c:v>0.15680709824403039</c:v>
                </c:pt>
                <c:pt idx="191">
                  <c:v>0.82050716449074912</c:v>
                </c:pt>
                <c:pt idx="192">
                  <c:v>0.79124170909582858</c:v>
                </c:pt>
                <c:pt idx="193">
                  <c:v>-0.26043090422678006</c:v>
                </c:pt>
                <c:pt idx="194">
                  <c:v>0.8555531621684338</c:v>
                </c:pt>
                <c:pt idx="195">
                  <c:v>0.62942051524237286</c:v>
                </c:pt>
                <c:pt idx="196">
                  <c:v>1.6308630412294747</c:v>
                </c:pt>
                <c:pt idx="197">
                  <c:v>1.8191792385418353</c:v>
                </c:pt>
                <c:pt idx="198">
                  <c:v>1.572648316191561</c:v>
                </c:pt>
                <c:pt idx="199">
                  <c:v>1.8084124961660564</c:v>
                </c:pt>
                <c:pt idx="200">
                  <c:v>2.5326310952553399</c:v>
                </c:pt>
                <c:pt idx="201">
                  <c:v>3.6403331724393411</c:v>
                </c:pt>
                <c:pt idx="202">
                  <c:v>2.714964892263481</c:v>
                </c:pt>
                <c:pt idx="203">
                  <c:v>2.2576972110403517</c:v>
                </c:pt>
                <c:pt idx="204">
                  <c:v>3.2280042320251141</c:v>
                </c:pt>
                <c:pt idx="205">
                  <c:v>3.9639489977155336</c:v>
                </c:pt>
                <c:pt idx="206">
                  <c:v>-3.0984229520351789</c:v>
                </c:pt>
                <c:pt idx="207">
                  <c:v>-16.135543545497384</c:v>
                </c:pt>
                <c:pt idx="208">
                  <c:v>-13.601908196596554</c:v>
                </c:pt>
                <c:pt idx="209">
                  <c:v>-7.4819276045421645</c:v>
                </c:pt>
                <c:pt idx="210">
                  <c:v>-3.4415112759207318</c:v>
                </c:pt>
                <c:pt idx="211">
                  <c:v>-0.86189251256615762</c:v>
                </c:pt>
                <c:pt idx="212">
                  <c:v>0.8678463282353448</c:v>
                </c:pt>
                <c:pt idx="213">
                  <c:v>2.5391615720178322</c:v>
                </c:pt>
                <c:pt idx="214">
                  <c:v>1.8029671403603516</c:v>
                </c:pt>
                <c:pt idx="215">
                  <c:v>1.7985899788592405</c:v>
                </c:pt>
                <c:pt idx="216">
                  <c:v>2.3142301786483301</c:v>
                </c:pt>
                <c:pt idx="217">
                  <c:v>4.0969637121246194</c:v>
                </c:pt>
                <c:pt idx="218">
                  <c:v>1.5424201578232726</c:v>
                </c:pt>
                <c:pt idx="219">
                  <c:v>1.6236684919594779</c:v>
                </c:pt>
                <c:pt idx="220">
                  <c:v>1.3828136781496028</c:v>
                </c:pt>
                <c:pt idx="221">
                  <c:v>1.350945887202613</c:v>
                </c:pt>
                <c:pt idx="222">
                  <c:v>0.90829103137866696</c:v>
                </c:pt>
                <c:pt idx="223">
                  <c:v>0.78423068175834487</c:v>
                </c:pt>
                <c:pt idx="224">
                  <c:v>-0.27242127247237136</c:v>
                </c:pt>
                <c:pt idx="225">
                  <c:v>-0.45334108630365222</c:v>
                </c:pt>
                <c:pt idx="226">
                  <c:v>-7.0034751430455344E-2</c:v>
                </c:pt>
                <c:pt idx="227">
                  <c:v>0.13627507863122901</c:v>
                </c:pt>
                <c:pt idx="228">
                  <c:v>-1.1255904779147556</c:v>
                </c:pt>
                <c:pt idx="229">
                  <c:v>-0.89689547478906206</c:v>
                </c:pt>
              </c:numCache>
            </c:numRef>
          </c:val>
          <c:smooth val="0"/>
          <c:extLst>
            <c:ext xmlns:c16="http://schemas.microsoft.com/office/drawing/2014/chart" uri="{C3380CC4-5D6E-409C-BE32-E72D297353CC}">
              <c16:uniqueId val="{00000003-A199-40C0-AF8C-CEC058C83184}"/>
            </c:ext>
          </c:extLst>
        </c:ser>
        <c:dLbls>
          <c:showLegendKey val="0"/>
          <c:showVal val="0"/>
          <c:showCatName val="0"/>
          <c:showSerName val="0"/>
          <c:showPercent val="0"/>
          <c:showBubbleSize val="0"/>
        </c:dLbls>
        <c:marker val="1"/>
        <c:smooth val="0"/>
        <c:axId val="1773992240"/>
        <c:axId val="1773995568"/>
      </c:lineChart>
      <c:dateAx>
        <c:axId val="2040515792"/>
        <c:scaling>
          <c:orientation val="minMax"/>
        </c:scaling>
        <c:delete val="0"/>
        <c:axPos val="b"/>
        <c:numFmt formatCode="[$-416]m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min val="7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valAx>
        <c:axId val="1773995568"/>
        <c:scaling>
          <c:orientation val="minMax"/>
          <c:max val="90"/>
          <c:min val="-2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73992240"/>
        <c:crosses val="max"/>
        <c:crossBetween val="between"/>
        <c:majorUnit val="10"/>
      </c:valAx>
      <c:dateAx>
        <c:axId val="1773992240"/>
        <c:scaling>
          <c:orientation val="minMax"/>
        </c:scaling>
        <c:delete val="1"/>
        <c:axPos val="b"/>
        <c:numFmt formatCode="[$-416]mmm\-yy;@" sourceLinked="1"/>
        <c:majorTickMark val="out"/>
        <c:minorTickMark val="none"/>
        <c:tickLblPos val="nextTo"/>
        <c:crossAx val="1773995568"/>
        <c:auto val="1"/>
        <c:lblOffset val="100"/>
        <c:baseTimeUnit val="month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NSA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DETREND!$F$9:$F$247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DETREND!$G$9:$G$247</c:f>
              <c:numCache>
                <c:formatCode>0.0</c:formatCode>
                <c:ptCount val="239"/>
                <c:pt idx="0">
                  <c:v>69.7</c:v>
                </c:pt>
                <c:pt idx="1">
                  <c:v>77.400000000000006</c:v>
                </c:pt>
                <c:pt idx="2">
                  <c:v>79.599999999999994</c:v>
                </c:pt>
                <c:pt idx="3">
                  <c:v>80.400000000000006</c:v>
                </c:pt>
                <c:pt idx="4">
                  <c:v>77.5</c:v>
                </c:pt>
                <c:pt idx="5">
                  <c:v>83.3</c:v>
                </c:pt>
                <c:pt idx="6">
                  <c:v>83.6</c:v>
                </c:pt>
                <c:pt idx="7">
                  <c:v>82.1</c:v>
                </c:pt>
                <c:pt idx="8">
                  <c:v>89.2</c:v>
                </c:pt>
                <c:pt idx="9">
                  <c:v>83.9</c:v>
                </c:pt>
                <c:pt idx="10">
                  <c:v>74.599999999999994</c:v>
                </c:pt>
                <c:pt idx="11">
                  <c:v>74</c:v>
                </c:pt>
                <c:pt idx="12">
                  <c:v>71.8</c:v>
                </c:pt>
                <c:pt idx="13">
                  <c:v>77.400000000000006</c:v>
                </c:pt>
                <c:pt idx="14">
                  <c:v>76.5</c:v>
                </c:pt>
                <c:pt idx="15">
                  <c:v>79.7</c:v>
                </c:pt>
                <c:pt idx="16">
                  <c:v>76.3</c:v>
                </c:pt>
                <c:pt idx="17">
                  <c:v>81.3</c:v>
                </c:pt>
                <c:pt idx="18">
                  <c:v>81.599999999999994</c:v>
                </c:pt>
                <c:pt idx="19">
                  <c:v>85.7</c:v>
                </c:pt>
                <c:pt idx="20">
                  <c:v>90</c:v>
                </c:pt>
                <c:pt idx="21">
                  <c:v>84.6</c:v>
                </c:pt>
                <c:pt idx="22">
                  <c:v>77.900000000000006</c:v>
                </c:pt>
                <c:pt idx="23">
                  <c:v>76.8</c:v>
                </c:pt>
                <c:pt idx="24">
                  <c:v>74</c:v>
                </c:pt>
                <c:pt idx="25">
                  <c:v>86.9</c:v>
                </c:pt>
                <c:pt idx="26">
                  <c:v>82.2</c:v>
                </c:pt>
                <c:pt idx="27">
                  <c:v>86.3</c:v>
                </c:pt>
                <c:pt idx="28">
                  <c:v>86.1</c:v>
                </c:pt>
                <c:pt idx="29">
                  <c:v>90.1</c:v>
                </c:pt>
                <c:pt idx="30">
                  <c:v>92.1</c:v>
                </c:pt>
                <c:pt idx="31">
                  <c:v>92.1</c:v>
                </c:pt>
                <c:pt idx="32">
                  <c:v>93.5</c:v>
                </c:pt>
                <c:pt idx="33">
                  <c:v>91.8</c:v>
                </c:pt>
                <c:pt idx="34">
                  <c:v>84.7</c:v>
                </c:pt>
                <c:pt idx="35">
                  <c:v>81</c:v>
                </c:pt>
                <c:pt idx="36">
                  <c:v>76.400000000000006</c:v>
                </c:pt>
                <c:pt idx="37">
                  <c:v>88</c:v>
                </c:pt>
                <c:pt idx="38">
                  <c:v>87</c:v>
                </c:pt>
                <c:pt idx="39">
                  <c:v>91.1</c:v>
                </c:pt>
                <c:pt idx="40">
                  <c:v>91.4</c:v>
                </c:pt>
                <c:pt idx="41">
                  <c:v>90.5</c:v>
                </c:pt>
                <c:pt idx="42">
                  <c:v>95.6</c:v>
                </c:pt>
                <c:pt idx="43">
                  <c:v>92</c:v>
                </c:pt>
                <c:pt idx="44">
                  <c:v>93.7</c:v>
                </c:pt>
                <c:pt idx="45">
                  <c:v>92.4</c:v>
                </c:pt>
                <c:pt idx="46">
                  <c:v>86.6</c:v>
                </c:pt>
                <c:pt idx="47">
                  <c:v>83.7</c:v>
                </c:pt>
                <c:pt idx="48">
                  <c:v>80.2</c:v>
                </c:pt>
                <c:pt idx="49">
                  <c:v>92.4</c:v>
                </c:pt>
                <c:pt idx="50">
                  <c:v>85.7</c:v>
                </c:pt>
                <c:pt idx="51">
                  <c:v>95.4</c:v>
                </c:pt>
                <c:pt idx="52">
                  <c:v>91.1</c:v>
                </c:pt>
                <c:pt idx="53">
                  <c:v>93.8</c:v>
                </c:pt>
                <c:pt idx="54">
                  <c:v>98.6</c:v>
                </c:pt>
                <c:pt idx="55">
                  <c:v>93.2</c:v>
                </c:pt>
                <c:pt idx="56">
                  <c:v>97.5</c:v>
                </c:pt>
                <c:pt idx="57">
                  <c:v>95.9</c:v>
                </c:pt>
                <c:pt idx="58">
                  <c:v>87</c:v>
                </c:pt>
                <c:pt idx="59">
                  <c:v>87</c:v>
                </c:pt>
                <c:pt idx="60">
                  <c:v>82.6</c:v>
                </c:pt>
                <c:pt idx="61">
                  <c:v>96.4</c:v>
                </c:pt>
                <c:pt idx="62">
                  <c:v>90.6</c:v>
                </c:pt>
                <c:pt idx="63">
                  <c:v>99.9</c:v>
                </c:pt>
                <c:pt idx="64">
                  <c:v>96.9</c:v>
                </c:pt>
                <c:pt idx="65">
                  <c:v>99.8</c:v>
                </c:pt>
                <c:pt idx="66">
                  <c:v>104.9</c:v>
                </c:pt>
                <c:pt idx="67">
                  <c:v>98.4</c:v>
                </c:pt>
                <c:pt idx="68">
                  <c:v>107.8</c:v>
                </c:pt>
                <c:pt idx="69">
                  <c:v>102.4</c:v>
                </c:pt>
                <c:pt idx="70">
                  <c:v>92.6</c:v>
                </c:pt>
                <c:pt idx="71">
                  <c:v>94.8</c:v>
                </c:pt>
                <c:pt idx="72">
                  <c:v>91.1</c:v>
                </c:pt>
                <c:pt idx="73">
                  <c:v>97.7</c:v>
                </c:pt>
                <c:pt idx="74">
                  <c:v>99.2</c:v>
                </c:pt>
                <c:pt idx="75">
                  <c:v>102.5</c:v>
                </c:pt>
                <c:pt idx="76">
                  <c:v>103.3</c:v>
                </c:pt>
                <c:pt idx="77">
                  <c:v>108.5</c:v>
                </c:pt>
                <c:pt idx="78">
                  <c:v>106.9</c:v>
                </c:pt>
                <c:pt idx="79">
                  <c:v>107.3</c:v>
                </c:pt>
                <c:pt idx="80">
                  <c:v>108.4</c:v>
                </c:pt>
                <c:pt idx="81">
                  <c:v>96.2</c:v>
                </c:pt>
                <c:pt idx="82">
                  <c:v>79.099999999999994</c:v>
                </c:pt>
                <c:pt idx="83">
                  <c:v>78.7</c:v>
                </c:pt>
                <c:pt idx="84">
                  <c:v>76.099999999999994</c:v>
                </c:pt>
                <c:pt idx="85">
                  <c:v>88.6</c:v>
                </c:pt>
                <c:pt idx="86">
                  <c:v>85.2</c:v>
                </c:pt>
                <c:pt idx="87">
                  <c:v>91.3</c:v>
                </c:pt>
                <c:pt idx="88">
                  <c:v>92.2</c:v>
                </c:pt>
                <c:pt idx="89">
                  <c:v>97.7</c:v>
                </c:pt>
                <c:pt idx="90">
                  <c:v>99.6</c:v>
                </c:pt>
                <c:pt idx="91">
                  <c:v>99.4</c:v>
                </c:pt>
                <c:pt idx="92">
                  <c:v>105.6</c:v>
                </c:pt>
                <c:pt idx="93">
                  <c:v>101.4</c:v>
                </c:pt>
                <c:pt idx="94">
                  <c:v>94.1</c:v>
                </c:pt>
                <c:pt idx="95">
                  <c:v>91.2</c:v>
                </c:pt>
                <c:pt idx="96">
                  <c:v>89</c:v>
                </c:pt>
                <c:pt idx="97">
                  <c:v>105.1</c:v>
                </c:pt>
                <c:pt idx="98">
                  <c:v>99.3</c:v>
                </c:pt>
                <c:pt idx="99">
                  <c:v>104.3</c:v>
                </c:pt>
                <c:pt idx="100">
                  <c:v>102.5</c:v>
                </c:pt>
                <c:pt idx="101">
                  <c:v>106.9</c:v>
                </c:pt>
                <c:pt idx="102">
                  <c:v>108.1</c:v>
                </c:pt>
                <c:pt idx="103">
                  <c:v>105.8</c:v>
                </c:pt>
                <c:pt idx="104">
                  <c:v>107.7</c:v>
                </c:pt>
                <c:pt idx="105">
                  <c:v>106.8</c:v>
                </c:pt>
                <c:pt idx="106">
                  <c:v>96.6</c:v>
                </c:pt>
                <c:pt idx="107">
                  <c:v>93.2</c:v>
                </c:pt>
                <c:pt idx="108">
                  <c:v>95.4</c:v>
                </c:pt>
                <c:pt idx="109">
                  <c:v>104.4</c:v>
                </c:pt>
                <c:pt idx="110">
                  <c:v>97.5</c:v>
                </c:pt>
                <c:pt idx="111">
                  <c:v>107.1</c:v>
                </c:pt>
                <c:pt idx="112">
                  <c:v>102.8</c:v>
                </c:pt>
                <c:pt idx="113">
                  <c:v>106.1</c:v>
                </c:pt>
                <c:pt idx="114">
                  <c:v>110.8</c:v>
                </c:pt>
                <c:pt idx="115">
                  <c:v>104.8</c:v>
                </c:pt>
                <c:pt idx="116">
                  <c:v>106.3</c:v>
                </c:pt>
                <c:pt idx="117">
                  <c:v>104.2</c:v>
                </c:pt>
                <c:pt idx="118">
                  <c:v>95.7</c:v>
                </c:pt>
                <c:pt idx="119">
                  <c:v>88.7</c:v>
                </c:pt>
                <c:pt idx="120">
                  <c:v>89.8</c:v>
                </c:pt>
                <c:pt idx="121">
                  <c:v>99.7</c:v>
                </c:pt>
                <c:pt idx="122">
                  <c:v>92.8</c:v>
                </c:pt>
                <c:pt idx="123">
                  <c:v>102.5</c:v>
                </c:pt>
                <c:pt idx="124">
                  <c:v>98.3</c:v>
                </c:pt>
                <c:pt idx="125">
                  <c:v>104.5</c:v>
                </c:pt>
                <c:pt idx="126">
                  <c:v>111.5</c:v>
                </c:pt>
                <c:pt idx="127">
                  <c:v>103.4</c:v>
                </c:pt>
                <c:pt idx="128">
                  <c:v>111.8</c:v>
                </c:pt>
                <c:pt idx="129">
                  <c:v>104.8</c:v>
                </c:pt>
                <c:pt idx="130">
                  <c:v>92.2</c:v>
                </c:pt>
                <c:pt idx="131">
                  <c:v>94.5</c:v>
                </c:pt>
                <c:pt idx="132">
                  <c:v>88.1</c:v>
                </c:pt>
                <c:pt idx="133">
                  <c:v>97.7</c:v>
                </c:pt>
                <c:pt idx="134">
                  <c:v>101.8</c:v>
                </c:pt>
                <c:pt idx="135">
                  <c:v>105</c:v>
                </c:pt>
                <c:pt idx="136">
                  <c:v>101.7</c:v>
                </c:pt>
                <c:pt idx="137">
                  <c:v>108</c:v>
                </c:pt>
                <c:pt idx="138">
                  <c:v>112</c:v>
                </c:pt>
                <c:pt idx="139">
                  <c:v>107.3</c:v>
                </c:pt>
                <c:pt idx="140">
                  <c:v>112.6</c:v>
                </c:pt>
                <c:pt idx="141">
                  <c:v>106.1</c:v>
                </c:pt>
                <c:pt idx="142">
                  <c:v>90.1</c:v>
                </c:pt>
                <c:pt idx="143">
                  <c:v>92.6</c:v>
                </c:pt>
                <c:pt idx="144">
                  <c:v>92.3</c:v>
                </c:pt>
                <c:pt idx="145">
                  <c:v>97.3</c:v>
                </c:pt>
                <c:pt idx="146">
                  <c:v>96</c:v>
                </c:pt>
                <c:pt idx="147">
                  <c:v>101.7</c:v>
                </c:pt>
                <c:pt idx="148">
                  <c:v>94.9</c:v>
                </c:pt>
                <c:pt idx="149">
                  <c:v>104.4</c:v>
                </c:pt>
                <c:pt idx="150">
                  <c:v>106.3</c:v>
                </c:pt>
                <c:pt idx="151">
                  <c:v>105.6</c:v>
                </c:pt>
                <c:pt idx="152">
                  <c:v>109.3</c:v>
                </c:pt>
                <c:pt idx="153">
                  <c:v>99.8</c:v>
                </c:pt>
                <c:pt idx="154">
                  <c:v>87.7</c:v>
                </c:pt>
                <c:pt idx="155">
                  <c:v>88.1</c:v>
                </c:pt>
                <c:pt idx="156">
                  <c:v>83.7</c:v>
                </c:pt>
                <c:pt idx="157">
                  <c:v>94.3</c:v>
                </c:pt>
                <c:pt idx="158">
                  <c:v>88.8</c:v>
                </c:pt>
                <c:pt idx="159">
                  <c:v>93.1</c:v>
                </c:pt>
                <c:pt idx="160">
                  <c:v>92.5</c:v>
                </c:pt>
                <c:pt idx="161">
                  <c:v>95.5</c:v>
                </c:pt>
                <c:pt idx="162">
                  <c:v>97.6</c:v>
                </c:pt>
                <c:pt idx="163">
                  <c:v>94.3</c:v>
                </c:pt>
                <c:pt idx="164">
                  <c:v>97.2</c:v>
                </c:pt>
                <c:pt idx="165">
                  <c:v>87.6</c:v>
                </c:pt>
                <c:pt idx="166">
                  <c:v>77.2</c:v>
                </c:pt>
                <c:pt idx="167">
                  <c:v>76.3</c:v>
                </c:pt>
                <c:pt idx="168">
                  <c:v>75.8</c:v>
                </c:pt>
                <c:pt idx="169">
                  <c:v>83.7</c:v>
                </c:pt>
                <c:pt idx="170">
                  <c:v>83</c:v>
                </c:pt>
                <c:pt idx="171">
                  <c:v>86.3</c:v>
                </c:pt>
                <c:pt idx="172">
                  <c:v>87.7</c:v>
                </c:pt>
                <c:pt idx="173">
                  <c:v>89.6</c:v>
                </c:pt>
                <c:pt idx="174">
                  <c:v>93</c:v>
                </c:pt>
                <c:pt idx="175">
                  <c:v>90.7</c:v>
                </c:pt>
                <c:pt idx="176">
                  <c:v>90.2</c:v>
                </c:pt>
                <c:pt idx="177">
                  <c:v>86.5</c:v>
                </c:pt>
                <c:pt idx="178">
                  <c:v>77.2</c:v>
                </c:pt>
                <c:pt idx="179">
                  <c:v>77.900000000000006</c:v>
                </c:pt>
                <c:pt idx="180">
                  <c:v>75.900000000000006</c:v>
                </c:pt>
                <c:pt idx="181">
                  <c:v>85.4</c:v>
                </c:pt>
                <c:pt idx="182">
                  <c:v>79.3</c:v>
                </c:pt>
                <c:pt idx="183">
                  <c:v>90.1</c:v>
                </c:pt>
                <c:pt idx="184">
                  <c:v>88.4</c:v>
                </c:pt>
                <c:pt idx="185">
                  <c:v>92.1</c:v>
                </c:pt>
                <c:pt idx="186">
                  <c:v>96.7</c:v>
                </c:pt>
                <c:pt idx="187">
                  <c:v>93</c:v>
                </c:pt>
                <c:pt idx="188">
                  <c:v>95.1</c:v>
                </c:pt>
                <c:pt idx="189">
                  <c:v>90.6</c:v>
                </c:pt>
                <c:pt idx="190">
                  <c:v>81</c:v>
                </c:pt>
                <c:pt idx="191">
                  <c:v>82.3</c:v>
                </c:pt>
                <c:pt idx="192">
                  <c:v>77.3</c:v>
                </c:pt>
                <c:pt idx="193">
                  <c:v>86.2</c:v>
                </c:pt>
                <c:pt idx="194">
                  <c:v>86.5</c:v>
                </c:pt>
                <c:pt idx="195">
                  <c:v>84.4</c:v>
                </c:pt>
                <c:pt idx="196">
                  <c:v>91.1</c:v>
                </c:pt>
                <c:pt idx="197">
                  <c:v>95.8</c:v>
                </c:pt>
                <c:pt idx="198">
                  <c:v>98.2</c:v>
                </c:pt>
                <c:pt idx="199">
                  <c:v>90.7</c:v>
                </c:pt>
                <c:pt idx="200">
                  <c:v>95.8</c:v>
                </c:pt>
                <c:pt idx="201">
                  <c:v>89.5</c:v>
                </c:pt>
                <c:pt idx="202">
                  <c:v>78</c:v>
                </c:pt>
                <c:pt idx="203">
                  <c:v>80.7</c:v>
                </c:pt>
                <c:pt idx="204">
                  <c:v>79.099999999999994</c:v>
                </c:pt>
                <c:pt idx="205">
                  <c:v>81</c:v>
                </c:pt>
                <c:pt idx="206">
                  <c:v>83.3</c:v>
                </c:pt>
                <c:pt idx="207">
                  <c:v>91</c:v>
                </c:pt>
                <c:pt idx="208">
                  <c:v>85.8</c:v>
                </c:pt>
                <c:pt idx="209">
                  <c:v>93.4</c:v>
                </c:pt>
                <c:pt idx="210">
                  <c:v>96.2</c:v>
                </c:pt>
                <c:pt idx="211">
                  <c:v>91.8</c:v>
                </c:pt>
                <c:pt idx="212">
                  <c:v>97</c:v>
                </c:pt>
                <c:pt idx="213">
                  <c:v>88</c:v>
                </c:pt>
                <c:pt idx="214">
                  <c:v>76.900000000000006</c:v>
                </c:pt>
                <c:pt idx="215">
                  <c:v>80</c:v>
                </c:pt>
                <c:pt idx="216">
                  <c:v>78.900000000000006</c:v>
                </c:pt>
                <c:pt idx="217">
                  <c:v>77.900000000000006</c:v>
                </c:pt>
                <c:pt idx="218">
                  <c:v>60.3</c:v>
                </c:pt>
                <c:pt idx="219">
                  <c:v>71.2</c:v>
                </c:pt>
                <c:pt idx="220">
                  <c:v>78.400000000000006</c:v>
                </c:pt>
                <c:pt idx="221">
                  <c:v>91</c:v>
                </c:pt>
                <c:pt idx="222">
                  <c:v>93.9</c:v>
                </c:pt>
                <c:pt idx="223">
                  <c:v>95.4</c:v>
                </c:pt>
                <c:pt idx="224">
                  <c:v>97.3</c:v>
                </c:pt>
                <c:pt idx="225">
                  <c:v>90.2</c:v>
                </c:pt>
                <c:pt idx="226">
                  <c:v>83.3</c:v>
                </c:pt>
                <c:pt idx="227">
                  <c:v>81.900000000000006</c:v>
                </c:pt>
                <c:pt idx="228">
                  <c:v>79.099999999999994</c:v>
                </c:pt>
                <c:pt idx="229">
                  <c:v>86.1</c:v>
                </c:pt>
                <c:pt idx="230">
                  <c:v>81.3</c:v>
                </c:pt>
                <c:pt idx="231">
                  <c:v>88.4</c:v>
                </c:pt>
                <c:pt idx="232">
                  <c:v>87.9</c:v>
                </c:pt>
                <c:pt idx="233">
                  <c:v>92.2</c:v>
                </c:pt>
                <c:pt idx="234">
                  <c:v>93.4</c:v>
                </c:pt>
                <c:pt idx="235">
                  <c:v>91.5</c:v>
                </c:pt>
                <c:pt idx="236">
                  <c:v>89.7</c:v>
                </c:pt>
                <c:pt idx="237">
                  <c:v>86.3</c:v>
                </c:pt>
                <c:pt idx="238">
                  <c:v>79.2</c:v>
                </c:pt>
              </c:numCache>
            </c:numRef>
          </c:val>
          <c:smooth val="0"/>
          <c:extLst>
            <c:ext xmlns:c16="http://schemas.microsoft.com/office/drawing/2014/chart" uri="{C3380CC4-5D6E-409C-BE32-E72D297353CC}">
              <c16:uniqueId val="{00000000-9643-4C65-A2B1-675C4E1C1101}"/>
            </c:ext>
          </c:extLst>
        </c:ser>
        <c:ser>
          <c:idx val="1"/>
          <c:order val="1"/>
          <c:tx>
            <c:v>Detrended</c:v>
          </c:tx>
          <c:spPr>
            <a:ln w="19050" cap="rnd">
              <a:solidFill>
                <a:schemeClr val="accent2"/>
              </a:solidFill>
              <a:round/>
            </a:ln>
            <a:effectLst/>
          </c:spPr>
          <c:marker>
            <c:symbol val="none"/>
          </c:marker>
          <c:cat>
            <c:numRef>
              <c:f>DETREND!$F$9:$F$247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DETREND!$J$9:$J$297</c:f>
              <c:numCache>
                <c:formatCode>0.0</c:formatCode>
                <c:ptCount val="289"/>
                <c:pt idx="0">
                  <c:v>-21.321939790621471</c:v>
                </c:pt>
                <c:pt idx="1">
                  <c:v>-13.624782070869387</c:v>
                </c:pt>
                <c:pt idx="2">
                  <c:v>-11.427624351117331</c:v>
                </c:pt>
                <c:pt idx="3">
                  <c:v>-10.630466631365238</c:v>
                </c:pt>
                <c:pt idx="4">
                  <c:v>-13.533308911613162</c:v>
                </c:pt>
                <c:pt idx="5">
                  <c:v>-7.736151191861083</c:v>
                </c:pt>
                <c:pt idx="6">
                  <c:v>-7.4389934721090043</c:v>
                </c:pt>
                <c:pt idx="7">
                  <c:v>-8.9418357523569227</c:v>
                </c:pt>
                <c:pt idx="8">
                  <c:v>-1.8446780326048469</c:v>
                </c:pt>
                <c:pt idx="9">
                  <c:v>-7.1475203128527625</c:v>
                </c:pt>
                <c:pt idx="10">
                  <c:v>-16.450362593100692</c:v>
                </c:pt>
                <c:pt idx="11">
                  <c:v>-17.053204873348605</c:v>
                </c:pt>
                <c:pt idx="12">
                  <c:v>-19.256047153596526</c:v>
                </c:pt>
                <c:pt idx="13">
                  <c:v>-13.658889433844436</c:v>
                </c:pt>
                <c:pt idx="14">
                  <c:v>-14.56173171409236</c:v>
                </c:pt>
                <c:pt idx="15">
                  <c:v>-11.36457399434029</c:v>
                </c:pt>
                <c:pt idx="16">
                  <c:v>-14.767416274588214</c:v>
                </c:pt>
                <c:pt idx="17">
                  <c:v>-9.7702585548361327</c:v>
                </c:pt>
                <c:pt idx="18">
                  <c:v>-9.473100835084054</c:v>
                </c:pt>
                <c:pt idx="19">
                  <c:v>-5.3759431153319639</c:v>
                </c:pt>
                <c:pt idx="20">
                  <c:v>-1.0787853955798852</c:v>
                </c:pt>
                <c:pt idx="21">
                  <c:v>-6.4816276758278235</c:v>
                </c:pt>
                <c:pt idx="22">
                  <c:v>-13.184469956075731</c:v>
                </c:pt>
                <c:pt idx="23">
                  <c:v>-14.287312236323658</c:v>
                </c:pt>
                <c:pt idx="24">
                  <c:v>-17.090154516571573</c:v>
                </c:pt>
                <c:pt idx="25">
                  <c:v>-4.1929967968194859</c:v>
                </c:pt>
                <c:pt idx="26">
                  <c:v>-8.8958390770674072</c:v>
                </c:pt>
                <c:pt idx="27">
                  <c:v>-4.7986813573153455</c:v>
                </c:pt>
                <c:pt idx="28">
                  <c:v>-5.0015236375632668</c:v>
                </c:pt>
                <c:pt idx="29">
                  <c:v>-1.0043659178111852</c:v>
                </c:pt>
                <c:pt idx="30">
                  <c:v>0.99279180194089633</c:v>
                </c:pt>
                <c:pt idx="31">
                  <c:v>0.9899495216929779</c:v>
                </c:pt>
                <c:pt idx="32">
                  <c:v>2.3871072414450651</c:v>
                </c:pt>
                <c:pt idx="33">
                  <c:v>0.68426496119714386</c:v>
                </c:pt>
                <c:pt idx="34">
                  <c:v>-6.4185773190507831</c:v>
                </c:pt>
                <c:pt idx="35">
                  <c:v>-10.121419599298704</c:v>
                </c:pt>
                <c:pt idx="36">
                  <c:v>-14.724261879546617</c:v>
                </c:pt>
                <c:pt idx="37">
                  <c:v>-3.1271041597945413</c:v>
                </c:pt>
                <c:pt idx="38">
                  <c:v>-4.1299464400424597</c:v>
                </c:pt>
                <c:pt idx="39">
                  <c:v>-3.2788720290383822E-2</c:v>
                </c:pt>
                <c:pt idx="40">
                  <c:v>0.2643689994616949</c:v>
                </c:pt>
                <c:pt idx="41">
                  <c:v>-0.63847328078622922</c:v>
                </c:pt>
                <c:pt idx="42">
                  <c:v>4.4586844389658467</c:v>
                </c:pt>
                <c:pt idx="43">
                  <c:v>0.8558421587179339</c:v>
                </c:pt>
                <c:pt idx="44">
                  <c:v>2.5529998784700183</c:v>
                </c:pt>
                <c:pt idx="45">
                  <c:v>1.2501575982221027</c:v>
                </c:pt>
                <c:pt idx="46">
                  <c:v>-4.5526846820258413</c:v>
                </c:pt>
                <c:pt idx="47">
                  <c:v>-7.4555269622737512</c:v>
                </c:pt>
                <c:pt idx="48">
                  <c:v>-10.95836924252167</c:v>
                </c:pt>
                <c:pt idx="49">
                  <c:v>1.2387884772304147</c:v>
                </c:pt>
                <c:pt idx="50">
                  <c:v>-5.4640538030175065</c:v>
                </c:pt>
                <c:pt idx="51">
                  <c:v>4.2331039167345779</c:v>
                </c:pt>
                <c:pt idx="52">
                  <c:v>-6.9738363513351942E-2</c:v>
                </c:pt>
                <c:pt idx="53">
                  <c:v>2.6274193562387183</c:v>
                </c:pt>
                <c:pt idx="54">
                  <c:v>7.424577075990797</c:v>
                </c:pt>
                <c:pt idx="55">
                  <c:v>2.0217347957428871</c:v>
                </c:pt>
                <c:pt idx="56">
                  <c:v>6.3188925154949658</c:v>
                </c:pt>
                <c:pt idx="57">
                  <c:v>4.716050235247053</c:v>
                </c:pt>
                <c:pt idx="58">
                  <c:v>-4.1867920450008711</c:v>
                </c:pt>
                <c:pt idx="59">
                  <c:v>-4.1896343252488037</c:v>
                </c:pt>
                <c:pt idx="60">
                  <c:v>-8.5924766054967279</c:v>
                </c:pt>
                <c:pt idx="61">
                  <c:v>5.2046811142553651</c:v>
                </c:pt>
                <c:pt idx="62">
                  <c:v>-0.59816116599256475</c:v>
                </c:pt>
                <c:pt idx="63">
                  <c:v>8.6989965537595282</c:v>
                </c:pt>
                <c:pt idx="64">
                  <c:v>5.6961542735116097</c:v>
                </c:pt>
                <c:pt idx="65">
                  <c:v>8.5933119932636828</c:v>
                </c:pt>
                <c:pt idx="66">
                  <c:v>13.690469713015759</c:v>
                </c:pt>
                <c:pt idx="67">
                  <c:v>7.1876274327678402</c:v>
                </c:pt>
                <c:pt idx="68">
                  <c:v>16.584785152519913</c:v>
                </c:pt>
                <c:pt idx="69">
                  <c:v>11.181942872272003</c:v>
                </c:pt>
                <c:pt idx="70">
                  <c:v>1.3791005920240735</c:v>
                </c:pt>
                <c:pt idx="71">
                  <c:v>3.5762583117761579</c:v>
                </c:pt>
                <c:pt idx="72">
                  <c:v>-0.12658396847177755</c:v>
                </c:pt>
                <c:pt idx="73">
                  <c:v>6.4705737512803125</c:v>
                </c:pt>
                <c:pt idx="74">
                  <c:v>7.9677314710323941</c:v>
                </c:pt>
                <c:pt idx="75">
                  <c:v>11.264889190784473</c:v>
                </c:pt>
                <c:pt idx="76">
                  <c:v>12.062046910536552</c:v>
                </c:pt>
                <c:pt idx="77">
                  <c:v>17.259204630288636</c:v>
                </c:pt>
                <c:pt idx="78">
                  <c:v>15.656362350040723</c:v>
                </c:pt>
                <c:pt idx="79">
                  <c:v>16.053520069792782</c:v>
                </c:pt>
                <c:pt idx="80">
                  <c:v>17.150677789544872</c:v>
                </c:pt>
                <c:pt idx="81">
                  <c:v>4.9478355092969508</c:v>
                </c:pt>
                <c:pt idx="82">
                  <c:v>-12.155006770950976</c:v>
                </c:pt>
                <c:pt idx="83">
                  <c:v>-12.557849051198886</c:v>
                </c:pt>
                <c:pt idx="84">
                  <c:v>-15.160691331446813</c:v>
                </c:pt>
                <c:pt idx="85">
                  <c:v>-2.6635336116947457</c:v>
                </c:pt>
                <c:pt idx="86">
                  <c:v>-6.0663758919426556</c:v>
                </c:pt>
                <c:pt idx="87">
                  <c:v>3.0781827809420292E-2</c:v>
                </c:pt>
                <c:pt idx="88">
                  <c:v>0.92793954756150754</c:v>
                </c:pt>
                <c:pt idx="89">
                  <c:v>6.4250972673135891</c:v>
                </c:pt>
                <c:pt idx="90">
                  <c:v>8.3222549870656621</c:v>
                </c:pt>
                <c:pt idx="91">
                  <c:v>8.1194127068177409</c:v>
                </c:pt>
                <c:pt idx="92">
                  <c:v>14.316570426569811</c:v>
                </c:pt>
                <c:pt idx="93">
                  <c:v>10.113728146321904</c:v>
                </c:pt>
                <c:pt idx="94">
                  <c:v>2.8108858660739742</c:v>
                </c:pt>
                <c:pt idx="95">
                  <c:v>-9.1956414173935741E-2</c:v>
                </c:pt>
                <c:pt idx="96">
                  <c:v>-2.294798694421857</c:v>
                </c:pt>
                <c:pt idx="97">
                  <c:v>13.802359025330219</c:v>
                </c:pt>
                <c:pt idx="98">
                  <c:v>7.999516745082289</c:v>
                </c:pt>
                <c:pt idx="99">
                  <c:v>12.996674464834371</c:v>
                </c:pt>
                <c:pt idx="100">
                  <c:v>11.193832184586455</c:v>
                </c:pt>
                <c:pt idx="101">
                  <c:v>15.590989904338542</c:v>
                </c:pt>
                <c:pt idx="102">
                  <c:v>16.788147624090612</c:v>
                </c:pt>
                <c:pt idx="103">
                  <c:v>14.485305343842697</c:v>
                </c:pt>
                <c:pt idx="104">
                  <c:v>16.38246306359477</c:v>
                </c:pt>
                <c:pt idx="105">
                  <c:v>15.479620783346846</c:v>
                </c:pt>
                <c:pt idx="106">
                  <c:v>5.2767785030989245</c:v>
                </c:pt>
                <c:pt idx="107">
                  <c:v>1.8739362228510146</c:v>
                </c:pt>
                <c:pt idx="108">
                  <c:v>4.071093942603099</c:v>
                </c:pt>
                <c:pt idx="109">
                  <c:v>13.068251662355181</c:v>
                </c:pt>
                <c:pt idx="110">
                  <c:v>6.1654093821072422</c:v>
                </c:pt>
                <c:pt idx="111">
                  <c:v>15.762567101859318</c:v>
                </c:pt>
                <c:pt idx="112">
                  <c:v>11.459724821611402</c:v>
                </c:pt>
                <c:pt idx="113">
                  <c:v>14.756882541363481</c:v>
                </c:pt>
                <c:pt idx="114">
                  <c:v>19.454040261115566</c:v>
                </c:pt>
                <c:pt idx="115">
                  <c:v>13.451197980867647</c:v>
                </c:pt>
                <c:pt idx="116">
                  <c:v>14.948355700619729</c:v>
                </c:pt>
                <c:pt idx="117">
                  <c:v>12.845513420371802</c:v>
                </c:pt>
                <c:pt idx="118">
                  <c:v>4.3426711401238833</c:v>
                </c:pt>
                <c:pt idx="119">
                  <c:v>-2.6601711401240351</c:v>
                </c:pt>
                <c:pt idx="120">
                  <c:v>-1.5630134203719592</c:v>
                </c:pt>
                <c:pt idx="121">
                  <c:v>8.334144299380128</c:v>
                </c:pt>
                <c:pt idx="122">
                  <c:v>1.4313020191322039</c:v>
                </c:pt>
                <c:pt idx="123">
                  <c:v>11.128459738884274</c:v>
                </c:pt>
                <c:pt idx="124">
                  <c:v>6.9256174586363528</c:v>
                </c:pt>
                <c:pt idx="125">
                  <c:v>13.122775178388437</c:v>
                </c:pt>
                <c:pt idx="126">
                  <c:v>20.119932898140519</c:v>
                </c:pt>
                <c:pt idx="127">
                  <c:v>12.017090617892606</c:v>
                </c:pt>
                <c:pt idx="128">
                  <c:v>20.414248337644679</c:v>
                </c:pt>
                <c:pt idx="129">
                  <c:v>13.411406057396761</c:v>
                </c:pt>
                <c:pt idx="130">
                  <c:v>0.80856377714883365</c:v>
                </c:pt>
                <c:pt idx="131">
                  <c:v>3.1057214969009124</c:v>
                </c:pt>
                <c:pt idx="132">
                  <c:v>-3.2971207833470118</c:v>
                </c:pt>
                <c:pt idx="133">
                  <c:v>6.3000369364050783</c:v>
                </c:pt>
                <c:pt idx="134">
                  <c:v>10.397194656157154</c:v>
                </c:pt>
                <c:pt idx="135">
                  <c:v>13.594352375909239</c:v>
                </c:pt>
                <c:pt idx="136">
                  <c:v>10.291510095661309</c:v>
                </c:pt>
                <c:pt idx="137">
                  <c:v>16.588667815413388</c:v>
                </c:pt>
                <c:pt idx="138">
                  <c:v>20.585825535165469</c:v>
                </c:pt>
                <c:pt idx="139">
                  <c:v>15.882983254917548</c:v>
                </c:pt>
                <c:pt idx="140">
                  <c:v>21.180140974669627</c:v>
                </c:pt>
                <c:pt idx="141">
                  <c:v>14.677298694421708</c:v>
                </c:pt>
                <c:pt idx="142">
                  <c:v>-1.3255435858262103</c:v>
                </c:pt>
                <c:pt idx="143">
                  <c:v>1.171614133925857</c:v>
                </c:pt>
                <c:pt idx="144">
                  <c:v>0.86877185367794141</c:v>
                </c:pt>
                <c:pt idx="145">
                  <c:v>5.865929573430023</c:v>
                </c:pt>
                <c:pt idx="146">
                  <c:v>4.5630872931821074</c:v>
                </c:pt>
                <c:pt idx="147">
                  <c:v>10.260245012934192</c:v>
                </c:pt>
                <c:pt idx="148">
                  <c:v>3.4574027326862762</c:v>
                </c:pt>
                <c:pt idx="149">
                  <c:v>12.954560452438344</c:v>
                </c:pt>
                <c:pt idx="150">
                  <c:v>14.851718172190417</c:v>
                </c:pt>
                <c:pt idx="151">
                  <c:v>14.148875891942495</c:v>
                </c:pt>
                <c:pt idx="152">
                  <c:v>17.84603361169458</c:v>
                </c:pt>
                <c:pt idx="153">
                  <c:v>8.3431913314466613</c:v>
                </c:pt>
                <c:pt idx="154">
                  <c:v>-3.7596509488012515</c:v>
                </c:pt>
                <c:pt idx="155">
                  <c:v>-3.3624932290491927</c:v>
                </c:pt>
                <c:pt idx="156">
                  <c:v>-7.7653355092971026</c:v>
                </c:pt>
                <c:pt idx="157">
                  <c:v>2.8318222104549733</c:v>
                </c:pt>
                <c:pt idx="158">
                  <c:v>-2.6710200697929452</c:v>
                </c:pt>
                <c:pt idx="159">
                  <c:v>1.6261376499591336</c:v>
                </c:pt>
                <c:pt idx="160">
                  <c:v>1.0232953697112208</c:v>
                </c:pt>
                <c:pt idx="161">
                  <c:v>4.0204530894633024</c:v>
                </c:pt>
                <c:pt idx="162">
                  <c:v>6.117610809215364</c:v>
                </c:pt>
                <c:pt idx="163">
                  <c:v>2.8147685289674484</c:v>
                </c:pt>
                <c:pt idx="164">
                  <c:v>5.7119262487195357</c:v>
                </c:pt>
                <c:pt idx="165">
                  <c:v>-3.8909160315283913</c:v>
                </c:pt>
                <c:pt idx="166">
                  <c:v>-14.293758311776301</c:v>
                </c:pt>
                <c:pt idx="167">
                  <c:v>-15.196600592024225</c:v>
                </c:pt>
                <c:pt idx="168">
                  <c:v>-15.699442872272158</c:v>
                </c:pt>
                <c:pt idx="169">
                  <c:v>-7.8022851525200707</c:v>
                </c:pt>
                <c:pt idx="170">
                  <c:v>-8.505127432767992</c:v>
                </c:pt>
                <c:pt idx="171">
                  <c:v>-5.2079697130159133</c:v>
                </c:pt>
                <c:pt idx="172">
                  <c:v>-3.810811993263826</c:v>
                </c:pt>
                <c:pt idx="173">
                  <c:v>-1.913654273511753</c:v>
                </c:pt>
                <c:pt idx="174">
                  <c:v>1.48350344624032</c:v>
                </c:pt>
                <c:pt idx="175">
                  <c:v>-0.81933883400759555</c:v>
                </c:pt>
                <c:pt idx="176">
                  <c:v>-1.322181114255514</c:v>
                </c:pt>
                <c:pt idx="177">
                  <c:v>-5.0250233945034353</c:v>
                </c:pt>
                <c:pt idx="178">
                  <c:v>-14.327865674751351</c:v>
                </c:pt>
                <c:pt idx="179">
                  <c:v>-13.630707954999266</c:v>
                </c:pt>
                <c:pt idx="180">
                  <c:v>-15.633550235247185</c:v>
                </c:pt>
                <c:pt idx="181">
                  <c:v>-6.1363925154951176</c:v>
                </c:pt>
                <c:pt idx="182">
                  <c:v>-12.239234795743045</c:v>
                </c:pt>
                <c:pt idx="183">
                  <c:v>-1.4420770759909658</c:v>
                </c:pt>
                <c:pt idx="184">
                  <c:v>-3.1449193562388729</c:v>
                </c:pt>
                <c:pt idx="185">
                  <c:v>0.55223836351319733</c:v>
                </c:pt>
                <c:pt idx="186">
                  <c:v>5.1493960832652874</c:v>
                </c:pt>
                <c:pt idx="187">
                  <c:v>1.4465538030173519</c:v>
                </c:pt>
                <c:pt idx="188">
                  <c:v>3.5437115227694278</c:v>
                </c:pt>
                <c:pt idx="189">
                  <c:v>-0.95913075747849064</c:v>
                </c:pt>
                <c:pt idx="190">
                  <c:v>-10.561973037726403</c:v>
                </c:pt>
                <c:pt idx="191">
                  <c:v>-9.2648153179743247</c:v>
                </c:pt>
                <c:pt idx="192">
                  <c:v>-14.267657598222243</c:v>
                </c:pt>
                <c:pt idx="193">
                  <c:v>-5.3704998784701559</c:v>
                </c:pt>
                <c:pt idx="194">
                  <c:v>-5.0733421587180914</c:v>
                </c:pt>
                <c:pt idx="195">
                  <c:v>-7.1761844389660041</c:v>
                </c:pt>
                <c:pt idx="196">
                  <c:v>-0.47902671921393392</c:v>
                </c:pt>
                <c:pt idx="197">
                  <c:v>4.2181310005381505</c:v>
                </c:pt>
                <c:pt idx="198">
                  <c:v>6.6152887202902377</c:v>
                </c:pt>
                <c:pt idx="199">
                  <c:v>-0.8875535599576807</c:v>
                </c:pt>
                <c:pt idx="200">
                  <c:v>4.209604159794381</c:v>
                </c:pt>
                <c:pt idx="201">
                  <c:v>-2.0932381204535346</c:v>
                </c:pt>
                <c:pt idx="202">
                  <c:v>-13.596080400701453</c:v>
                </c:pt>
                <c:pt idx="203">
                  <c:v>-10.898922680949369</c:v>
                </c:pt>
                <c:pt idx="204">
                  <c:v>-12.501764961197296</c:v>
                </c:pt>
                <c:pt idx="205">
                  <c:v>-10.604607241445208</c:v>
                </c:pt>
                <c:pt idx="206">
                  <c:v>-8.3074495216931297</c:v>
                </c:pt>
                <c:pt idx="207">
                  <c:v>-0.61029180194105948</c:v>
                </c:pt>
                <c:pt idx="208">
                  <c:v>-5.8131340821889808</c:v>
                </c:pt>
                <c:pt idx="209">
                  <c:v>1.7840236375631093</c:v>
                </c:pt>
                <c:pt idx="210">
                  <c:v>4.5811813573151881</c:v>
                </c:pt>
                <c:pt idx="211">
                  <c:v>0.17833907706726393</c:v>
                </c:pt>
                <c:pt idx="212">
                  <c:v>5.3754967968193483</c:v>
                </c:pt>
                <c:pt idx="213">
                  <c:v>-3.6273454834285843</c:v>
                </c:pt>
                <c:pt idx="214">
                  <c:v>-14.730187763676497</c:v>
                </c:pt>
                <c:pt idx="215">
                  <c:v>-11.633030043924421</c:v>
                </c:pt>
                <c:pt idx="216">
                  <c:v>-12.735872324172334</c:v>
                </c:pt>
                <c:pt idx="217">
                  <c:v>-13.738714604420252</c:v>
                </c:pt>
                <c:pt idx="218">
                  <c:v>-31.341556884668179</c:v>
                </c:pt>
                <c:pt idx="219">
                  <c:v>-20.444399164916106</c:v>
                </c:pt>
                <c:pt idx="220">
                  <c:v>-13.247241445164022</c:v>
                </c:pt>
                <c:pt idx="221">
                  <c:v>-0.65008372541194603</c:v>
                </c:pt>
                <c:pt idx="222">
                  <c:v>2.2470739943401412</c:v>
                </c:pt>
                <c:pt idx="223">
                  <c:v>3.7442317140922228</c:v>
                </c:pt>
                <c:pt idx="224">
                  <c:v>5.6413894338442958</c:v>
                </c:pt>
                <c:pt idx="225">
                  <c:v>-1.4614528464036169</c:v>
                </c:pt>
                <c:pt idx="226">
                  <c:v>-8.3642951266515553</c:v>
                </c:pt>
                <c:pt idx="227">
                  <c:v>-9.7671374068994652</c:v>
                </c:pt>
                <c:pt idx="228">
                  <c:v>-12.569979687147395</c:v>
                </c:pt>
                <c:pt idx="229">
                  <c:v>-5.5728219673953134</c:v>
                </c:pt>
                <c:pt idx="230">
                  <c:v>-10.375664247643229</c:v>
                </c:pt>
                <c:pt idx="231">
                  <c:v>-3.2785065278911389</c:v>
                </c:pt>
                <c:pt idx="232">
                  <c:v>-3.7813488081390716</c:v>
                </c:pt>
                <c:pt idx="233">
                  <c:v>0.51580891161300713</c:v>
                </c:pt>
                <c:pt idx="234">
                  <c:v>1.7129666313650915</c:v>
                </c:pt>
                <c:pt idx="235">
                  <c:v>-0.18987564888283259</c:v>
                </c:pt>
                <c:pt idx="236">
                  <c:v>-1.9927179291307482</c:v>
                </c:pt>
                <c:pt idx="237">
                  <c:v>-5.3955602093786723</c:v>
                </c:pt>
                <c:pt idx="238">
                  <c:v>-12.498402489626599</c:v>
                </c:pt>
              </c:numCache>
            </c:numRef>
          </c:val>
          <c:smooth val="0"/>
          <c:extLst>
            <c:ext xmlns:c16="http://schemas.microsoft.com/office/drawing/2014/chart" uri="{C3380CC4-5D6E-409C-BE32-E72D297353CC}">
              <c16:uniqueId val="{00000001-9643-4C65-A2B1-675C4E1C1101}"/>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Brazil</a:t>
            </a:r>
            <a:r>
              <a:rPr lang="pt-BR" baseline="0"/>
              <a:t> IP MoM%</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v>NSA</c:v>
          </c:tx>
          <c:spPr>
            <a:ln w="12700" cap="rnd">
              <a:solidFill>
                <a:schemeClr val="accent1"/>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SEASADJ!$G$9:$G$247</c:f>
              <c:numCache>
                <c:formatCode>0.0</c:formatCode>
                <c:ptCount val="239"/>
                <c:pt idx="0">
                  <c:v>-3.8005981625192522</c:v>
                </c:pt>
                <c:pt idx="1">
                  <c:v>10.478646282920332</c:v>
                </c:pt>
                <c:pt idx="2">
                  <c:v>2.8027312254655659</c:v>
                </c:pt>
                <c:pt idx="3">
                  <c:v>1.0000083334583398</c:v>
                </c:pt>
                <c:pt idx="4">
                  <c:v>-3.6736239825619466</c:v>
                </c:pt>
                <c:pt idx="5">
                  <c:v>7.2170612813495589</c:v>
                </c:pt>
                <c:pt idx="6">
                  <c:v>0.3594970917858793</c:v>
                </c:pt>
                <c:pt idx="7">
                  <c:v>-1.8105503632273354</c:v>
                </c:pt>
                <c:pt idx="8">
                  <c:v>8.2943023127581306</c:v>
                </c:pt>
                <c:pt idx="9">
                  <c:v>-6.1255426112803208</c:v>
                </c:pt>
                <c:pt idx="10">
                  <c:v>-11.748510626344547</c:v>
                </c:pt>
                <c:pt idx="11">
                  <c:v>-0.80754140055453072</c:v>
                </c:pt>
                <c:pt idx="12">
                  <c:v>-3.0180617149991287</c:v>
                </c:pt>
                <c:pt idx="13">
                  <c:v>7.5102304541503075</c:v>
                </c:pt>
                <c:pt idx="14">
                  <c:v>-1.1696039763191299</c:v>
                </c:pt>
                <c:pt idx="15">
                  <c:v>4.0978844963679268</c:v>
                </c:pt>
                <c:pt idx="16">
                  <c:v>-4.3596647505758162</c:v>
                </c:pt>
                <c:pt idx="17">
                  <c:v>6.3473078263353662</c:v>
                </c:pt>
                <c:pt idx="18">
                  <c:v>0.36832454162963679</c:v>
                </c:pt>
                <c:pt idx="19">
                  <c:v>4.9023563633672822</c:v>
                </c:pt>
                <c:pt idx="20">
                  <c:v>4.8956844726530981</c:v>
                </c:pt>
                <c:pt idx="21">
                  <c:v>-6.1875403718087529</c:v>
                </c:pt>
                <c:pt idx="22">
                  <c:v>-8.2508313735474825</c:v>
                </c:pt>
                <c:pt idx="23">
                  <c:v>-1.4221312723076169</c:v>
                </c:pt>
                <c:pt idx="24">
                  <c:v>-3.7139546949456657</c:v>
                </c:pt>
                <c:pt idx="25">
                  <c:v>16.069293906717668</c:v>
                </c:pt>
                <c:pt idx="26">
                  <c:v>-5.5602730209212119</c:v>
                </c:pt>
                <c:pt idx="27">
                  <c:v>4.8674296027248021</c:v>
                </c:pt>
                <c:pt idx="28">
                  <c:v>-0.23201866556971981</c:v>
                </c:pt>
                <c:pt idx="29">
                  <c:v>4.5410753180607175</c:v>
                </c:pt>
                <c:pt idx="30">
                  <c:v>2.1954778646968967</c:v>
                </c:pt>
                <c:pt idx="31">
                  <c:v>0</c:v>
                </c:pt>
                <c:pt idx="32">
                  <c:v>1.5086493033380162</c:v>
                </c:pt>
                <c:pt idx="33">
                  <c:v>-1.8349138668196541</c:v>
                </c:pt>
                <c:pt idx="34">
                  <c:v>-8.0496695968436054</c:v>
                </c:pt>
                <c:pt idx="35">
                  <c:v>-4.4666446985569994</c:v>
                </c:pt>
                <c:pt idx="36">
                  <c:v>-5.8466458499963849</c:v>
                </c:pt>
                <c:pt idx="37">
                  <c:v>14.135411830573155</c:v>
                </c:pt>
                <c:pt idx="38">
                  <c:v>-1.1428695823622743</c:v>
                </c:pt>
                <c:pt idx="39">
                  <c:v>4.6049685611328837</c:v>
                </c:pt>
                <c:pt idx="40">
                  <c:v>0.32876741941917081</c:v>
                </c:pt>
                <c:pt idx="41">
                  <c:v>-0.98956277542239612</c:v>
                </c:pt>
                <c:pt idx="42">
                  <c:v>5.482296935147505</c:v>
                </c:pt>
                <c:pt idx="43">
                  <c:v>-3.8384243008315222</c:v>
                </c:pt>
                <c:pt idx="44">
                  <c:v>1.8309612195336253</c:v>
                </c:pt>
                <c:pt idx="45">
                  <c:v>-1.3971210596737951</c:v>
                </c:pt>
                <c:pt idx="46">
                  <c:v>-6.4827163079249166</c:v>
                </c:pt>
                <c:pt idx="47">
                  <c:v>-3.4060838072959752</c:v>
                </c:pt>
                <c:pt idx="48">
                  <c:v>-4.2715462622960851</c:v>
                </c:pt>
                <c:pt idx="49">
                  <c:v>14.160346377516964</c:v>
                </c:pt>
                <c:pt idx="50">
                  <c:v>-7.5274153043904395</c:v>
                </c:pt>
                <c:pt idx="51">
                  <c:v>10.722575285050679</c:v>
                </c:pt>
                <c:pt idx="52">
                  <c:v>-4.6120774188328273</c:v>
                </c:pt>
                <c:pt idx="53">
                  <c:v>2.9207051746266317</c:v>
                </c:pt>
                <c:pt idx="54">
                  <c:v>4.9906405596410703</c:v>
                </c:pt>
                <c:pt idx="55">
                  <c:v>-5.6323539917044103</c:v>
                </c:pt>
                <c:pt idx="56">
                  <c:v>4.5104656312255988</c:v>
                </c:pt>
                <c:pt idx="57">
                  <c:v>-1.6546396114408941</c:v>
                </c:pt>
                <c:pt idx="58">
                  <c:v>-9.7397863234808941</c:v>
                </c:pt>
                <c:pt idx="59">
                  <c:v>0</c:v>
                </c:pt>
                <c:pt idx="60">
                  <c:v>-5.1898438127651367</c:v>
                </c:pt>
                <c:pt idx="61">
                  <c:v>15.449652108956771</c:v>
                </c:pt>
                <c:pt idx="62">
                  <c:v>-6.205198856756641</c:v>
                </c:pt>
                <c:pt idx="63">
                  <c:v>9.7715472605574369</c:v>
                </c:pt>
                <c:pt idx="64">
                  <c:v>-3.0490166757787276</c:v>
                </c:pt>
                <c:pt idx="65">
                  <c:v>2.9488664420697721</c:v>
                </c:pt>
                <c:pt idx="66">
                  <c:v>4.9839332084833199</c:v>
                </c:pt>
                <c:pt idx="67">
                  <c:v>-6.3966711344043752</c:v>
                </c:pt>
                <c:pt idx="68">
                  <c:v>9.1236854416688988</c:v>
                </c:pt>
                <c:pt idx="69">
                  <c:v>-5.1390945869489242</c:v>
                </c:pt>
                <c:pt idx="70">
                  <c:v>-10.059757095327383</c:v>
                </c:pt>
                <c:pt idx="71">
                  <c:v>2.3480267608842449</c:v>
                </c:pt>
                <c:pt idx="72">
                  <c:v>-3.9811604995063505</c:v>
                </c:pt>
                <c:pt idx="73">
                  <c:v>6.9943754782824428</c:v>
                </c:pt>
                <c:pt idx="74">
                  <c:v>1.5236455242089986</c:v>
                </c:pt>
                <c:pt idx="75">
                  <c:v>3.2724784287635709</c:v>
                </c:pt>
                <c:pt idx="76">
                  <c:v>0.77745775471300005</c:v>
                </c:pt>
                <c:pt idx="77">
                  <c:v>4.9112796854921346</c:v>
                </c:pt>
                <c:pt idx="78">
                  <c:v>-1.4856354949514659</c:v>
                </c:pt>
                <c:pt idx="79">
                  <c:v>0.37348316056530828</c:v>
                </c:pt>
                <c:pt idx="80">
                  <c:v>1.0199439368893048</c:v>
                </c:pt>
                <c:pt idx="81">
                  <c:v>-11.939873133388506</c:v>
                </c:pt>
                <c:pt idx="82">
                  <c:v>-19.571648289805267</c:v>
                </c:pt>
                <c:pt idx="83">
                  <c:v>-0.50697193502505111</c:v>
                </c:pt>
                <c:pt idx="84">
                  <c:v>-3.3594890555717507</c:v>
                </c:pt>
                <c:pt idx="85">
                  <c:v>15.208359274339509</c:v>
                </c:pt>
                <c:pt idx="86">
                  <c:v>-3.9130423775765082</c:v>
                </c:pt>
                <c:pt idx="87">
                  <c:v>6.9149353765652606</c:v>
                </c:pt>
                <c:pt idx="88">
                  <c:v>0.98093429616254413</c:v>
                </c:pt>
                <c:pt idx="89">
                  <c:v>5.7941428486188959</c:v>
                </c:pt>
                <c:pt idx="90">
                  <c:v>1.9260605541815436</c:v>
                </c:pt>
                <c:pt idx="91">
                  <c:v>-0.20100509280241119</c:v>
                </c:pt>
                <c:pt idx="92">
                  <c:v>6.0506257609632605</c:v>
                </c:pt>
                <c:pt idx="93">
                  <c:v>-4.0585280115078213</c:v>
                </c:pt>
                <c:pt idx="94">
                  <c:v>-7.4715044565749</c:v>
                </c:pt>
                <c:pt idx="95">
                  <c:v>-3.1303149511048107</c:v>
                </c:pt>
                <c:pt idx="96">
                  <c:v>-2.4418527348145886</c:v>
                </c:pt>
                <c:pt idx="97">
                  <c:v>16.627590815076555</c:v>
                </c:pt>
                <c:pt idx="98">
                  <c:v>-5.6766706831778553</c:v>
                </c:pt>
                <c:pt idx="99">
                  <c:v>4.9125790955599946</c:v>
                </c:pt>
                <c:pt idx="100">
                  <c:v>-1.7408563428263819</c:v>
                </c:pt>
                <c:pt idx="101">
                  <c:v>4.2031019452536711</c:v>
                </c:pt>
                <c:pt idx="102">
                  <c:v>1.1162906614163006</c:v>
                </c:pt>
                <c:pt idx="103">
                  <c:v>-2.1506205220963506</c:v>
                </c:pt>
                <c:pt idx="104">
                  <c:v>1.779906473814393</c:v>
                </c:pt>
                <c:pt idx="105">
                  <c:v>-0.83916576362485129</c:v>
                </c:pt>
                <c:pt idx="106">
                  <c:v>-10.037918530762216</c:v>
                </c:pt>
                <c:pt idx="107">
                  <c:v>-3.5831019526926728</c:v>
                </c:pt>
                <c:pt idx="108">
                  <c:v>2.3330856762695267</c:v>
                </c:pt>
                <c:pt idx="109">
                  <c:v>9.0151096994297486</c:v>
                </c:pt>
                <c:pt idx="110">
                  <c:v>-6.8377297444736849</c:v>
                </c:pt>
                <c:pt idx="111">
                  <c:v>9.3910599449901522</c:v>
                </c:pt>
                <c:pt idx="112">
                  <c:v>-4.0977624432638322</c:v>
                </c:pt>
                <c:pt idx="113">
                  <c:v>3.1596692598872607</c:v>
                </c:pt>
                <c:pt idx="114">
                  <c:v>4.3344728693245962</c:v>
                </c:pt>
                <c:pt idx="115">
                  <c:v>-5.5673002426241638</c:v>
                </c:pt>
                <c:pt idx="116">
                  <c:v>1.4211513460960548</c:v>
                </c:pt>
                <c:pt idx="117">
                  <c:v>-1.9953156028635677</c:v>
                </c:pt>
                <c:pt idx="118">
                  <c:v>-8.5093830860358022</c:v>
                </c:pt>
                <c:pt idx="119">
                  <c:v>-7.5958409143374785</c:v>
                </c:pt>
                <c:pt idx="120">
                  <c:v>1.2325085992620033</c:v>
                </c:pt>
                <c:pt idx="121">
                  <c:v>10.458070165963877</c:v>
                </c:pt>
                <c:pt idx="122">
                  <c:v>-7.1719037175637768</c:v>
                </c:pt>
                <c:pt idx="123">
                  <c:v>9.9416158786307989</c:v>
                </c:pt>
                <c:pt idx="124">
                  <c:v>-4.1838771425342038</c:v>
                </c:pt>
                <c:pt idx="125">
                  <c:v>6.1163044251744862</c:v>
                </c:pt>
                <c:pt idx="126">
                  <c:v>6.4837519495307667</c:v>
                </c:pt>
                <c:pt idx="127">
                  <c:v>-7.5419628825844658</c:v>
                </c:pt>
                <c:pt idx="128">
                  <c:v>7.8106598646669854</c:v>
                </c:pt>
                <c:pt idx="129">
                  <c:v>-6.4657788834056955</c:v>
                </c:pt>
                <c:pt idx="130">
                  <c:v>-12.809364132439352</c:v>
                </c:pt>
                <c:pt idx="131">
                  <c:v>2.4639703937148925</c:v>
                </c:pt>
                <c:pt idx="132">
                  <c:v>-7.0127301557563264</c:v>
                </c:pt>
                <c:pt idx="133">
                  <c:v>10.342902610660323</c:v>
                </c:pt>
                <c:pt idx="134">
                  <c:v>4.1108545067685318</c:v>
                </c:pt>
                <c:pt idx="135">
                  <c:v>3.0950246041101059</c:v>
                </c:pt>
                <c:pt idx="136">
                  <c:v>-3.1933047103009029</c:v>
                </c:pt>
                <c:pt idx="137">
                  <c:v>6.0103924069705306</c:v>
                </c:pt>
                <c:pt idx="138">
                  <c:v>3.6367644170874791</c:v>
                </c:pt>
                <c:pt idx="139">
                  <c:v>-4.2870221658441832</c:v>
                </c:pt>
                <c:pt idx="140">
                  <c:v>4.8213066068937094</c:v>
                </c:pt>
                <c:pt idx="141">
                  <c:v>-5.9459670085652512</c:v>
                </c:pt>
                <c:pt idx="142">
                  <c:v>-16.346188100564525</c:v>
                </c:pt>
                <c:pt idx="143">
                  <c:v>2.7368977037841566</c:v>
                </c:pt>
                <c:pt idx="144">
                  <c:v>-0.32450001433271897</c:v>
                </c:pt>
                <c:pt idx="145">
                  <c:v>5.2754847683152821</c:v>
                </c:pt>
                <c:pt idx="146">
                  <c:v>-1.3450797724123105</c:v>
                </c:pt>
                <c:pt idx="147">
                  <c:v>5.7679111586677987</c:v>
                </c:pt>
                <c:pt idx="148">
                  <c:v>-6.920359743863207</c:v>
                </c:pt>
                <c:pt idx="149">
                  <c:v>9.5405969832656066</c:v>
                </c:pt>
                <c:pt idx="150">
                  <c:v>1.8035609899363723</c:v>
                </c:pt>
                <c:pt idx="151">
                  <c:v>-0.66069140757411748</c:v>
                </c:pt>
                <c:pt idx="152">
                  <c:v>3.4438023910331883</c:v>
                </c:pt>
                <c:pt idx="153">
                  <c:v>-9.0928211865074626</c:v>
                </c:pt>
                <c:pt idx="154">
                  <c:v>-12.924628393928089</c:v>
                </c:pt>
                <c:pt idx="155">
                  <c:v>0.45506335639962892</c:v>
                </c:pt>
                <c:pt idx="156">
                  <c:v>-5.1233555446704067</c:v>
                </c:pt>
                <c:pt idx="157">
                  <c:v>11.924221214398219</c:v>
                </c:pt>
                <c:pt idx="158">
                  <c:v>-6.0094539641287446</c:v>
                </c:pt>
                <c:pt idx="159">
                  <c:v>4.7287534284896902</c:v>
                </c:pt>
                <c:pt idx="160">
                  <c:v>-0.646553976464186</c:v>
                </c:pt>
                <c:pt idx="161">
                  <c:v>3.1917602968304948</c:v>
                </c:pt>
                <c:pt idx="162">
                  <c:v>2.175124593236212</c:v>
                </c:pt>
                <c:pt idx="163">
                  <c:v>-3.439630377963502</c:v>
                </c:pt>
                <c:pt idx="164">
                  <c:v>3.0289521826981729</c:v>
                </c:pt>
                <c:pt idx="165">
                  <c:v>-10.398971352404775</c:v>
                </c:pt>
                <c:pt idx="166">
                  <c:v>-12.638154091161514</c:v>
                </c:pt>
                <c:pt idx="167">
                  <c:v>-1.1726518740319207</c:v>
                </c:pt>
                <c:pt idx="168">
                  <c:v>-0.65746456420853572</c:v>
                </c:pt>
                <c:pt idx="169">
                  <c:v>9.9140684847103628</c:v>
                </c:pt>
                <c:pt idx="170">
                  <c:v>-0.8398369698831718</c:v>
                </c:pt>
                <c:pt idx="171">
                  <c:v>3.8988990292784345</c:v>
                </c:pt>
                <c:pt idx="172">
                  <c:v>1.6092301288755131</c:v>
                </c:pt>
                <c:pt idx="173">
                  <c:v>2.1433420602747244</c:v>
                </c:pt>
                <c:pt idx="174">
                  <c:v>3.7244173172371178</c:v>
                </c:pt>
                <c:pt idx="175">
                  <c:v>-2.504213603216495</c:v>
                </c:pt>
                <c:pt idx="176">
                  <c:v>-0.55279300525129427</c:v>
                </c:pt>
                <c:pt idx="177">
                  <c:v>-4.1885013130744326</c:v>
                </c:pt>
                <c:pt idx="178">
                  <c:v>-11.374495690710315</c:v>
                </c:pt>
                <c:pt idx="179">
                  <c:v>0.90264958459721245</c:v>
                </c:pt>
                <c:pt idx="180">
                  <c:v>-2.6009268475118326</c:v>
                </c:pt>
                <c:pt idx="181">
                  <c:v>11.792941639294002</c:v>
                </c:pt>
                <c:pt idx="182">
                  <c:v>-7.4107972153721962</c:v>
                </c:pt>
                <c:pt idx="183">
                  <c:v>12.768203597348998</c:v>
                </c:pt>
                <c:pt idx="184">
                  <c:v>-1.9048194970694363</c:v>
                </c:pt>
                <c:pt idx="185">
                  <c:v>4.1002973617663265</c:v>
                </c:pt>
                <c:pt idx="186">
                  <c:v>4.8738459197987503</c:v>
                </c:pt>
                <c:pt idx="187">
                  <c:v>-3.901390930599276</c:v>
                </c:pt>
                <c:pt idx="188">
                  <c:v>2.2329476398088577</c:v>
                </c:pt>
                <c:pt idx="189">
                  <c:v>-4.8474756502411021</c:v>
                </c:pt>
                <c:pt idx="190">
                  <c:v>-11.200505837649487</c:v>
                </c:pt>
                <c:pt idx="191">
                  <c:v>1.5921953010585257</c:v>
                </c:pt>
                <c:pt idx="192">
                  <c:v>-6.2677152089647858</c:v>
                </c:pt>
                <c:pt idx="193">
                  <c:v>10.897622207627112</c:v>
                </c:pt>
                <c:pt idx="194">
                  <c:v>0.34742362681862726</c:v>
                </c:pt>
                <c:pt idx="195">
                  <c:v>-2.4577012335922137</c:v>
                </c:pt>
                <c:pt idx="196">
                  <c:v>7.6390402664001016</c:v>
                </c:pt>
                <c:pt idx="197">
                  <c:v>5.0304880710902253</c:v>
                </c:pt>
                <c:pt idx="198">
                  <c:v>2.4743530383605368</c:v>
                </c:pt>
                <c:pt idx="199">
                  <c:v>-7.9448858239329327</c:v>
                </c:pt>
                <c:pt idx="200">
                  <c:v>5.4705327855723951</c:v>
                </c:pt>
                <c:pt idx="201">
                  <c:v>-6.8024059696005086</c:v>
                </c:pt>
                <c:pt idx="202">
                  <c:v>-13.752979859121798</c:v>
                </c:pt>
                <c:pt idx="203">
                  <c:v>3.402974858631147</c:v>
                </c:pt>
                <c:pt idx="204">
                  <c:v>-2.0025700502295027</c:v>
                </c:pt>
                <c:pt idx="205">
                  <c:v>2.3736279898830737</c:v>
                </c:pt>
                <c:pt idx="206">
                  <c:v>2.799939450035819</c:v>
                </c:pt>
                <c:pt idx="207">
                  <c:v>8.8410957344053145</c:v>
                </c:pt>
                <c:pt idx="208">
                  <c:v>-5.8840500022933462</c:v>
                </c:pt>
                <c:pt idx="209">
                  <c:v>8.4872338740880444</c:v>
                </c:pt>
                <c:pt idx="210">
                  <c:v>2.9538012436863874</c:v>
                </c:pt>
                <c:pt idx="211">
                  <c:v>-4.6817060045216028</c:v>
                </c:pt>
                <c:pt idx="212">
                  <c:v>5.5098680876938131</c:v>
                </c:pt>
                <c:pt idx="213">
                  <c:v>-9.7374164025176366</c:v>
                </c:pt>
                <c:pt idx="214">
                  <c:v>-13.483093796660814</c:v>
                </c:pt>
                <c:pt idx="215">
                  <c:v>3.9520758162283198</c:v>
                </c:pt>
                <c:pt idx="216">
                  <c:v>-1.3845406822052981</c:v>
                </c:pt>
                <c:pt idx="217">
                  <c:v>-1.2755274975126014</c:v>
                </c:pt>
                <c:pt idx="218">
                  <c:v>-25.609384914356298</c:v>
                </c:pt>
                <c:pt idx="219">
                  <c:v>16.616071468479046</c:v>
                </c:pt>
                <c:pt idx="220">
                  <c:v>9.6331108938432113</c:v>
                </c:pt>
                <c:pt idx="221">
                  <c:v>14.903557916048776</c:v>
                </c:pt>
                <c:pt idx="222">
                  <c:v>3.1370879697367284</c:v>
                </c:pt>
                <c:pt idx="223">
                  <c:v>1.5848192240023713</c:v>
                </c:pt>
                <c:pt idx="224">
                  <c:v>1.9720410737718495</c:v>
                </c:pt>
                <c:pt idx="225">
                  <c:v>-7.5769562123381347</c:v>
                </c:pt>
                <c:pt idx="226">
                  <c:v>-7.9580877895781015</c:v>
                </c:pt>
                <c:pt idx="227">
                  <c:v>-1.6949558313773205</c:v>
                </c:pt>
                <c:pt idx="228">
                  <c:v>-3.4786116085415655</c:v>
                </c:pt>
                <c:pt idx="229">
                  <c:v>8.4796536660076853</c:v>
                </c:pt>
                <c:pt idx="230">
                  <c:v>-5.7363394879920193</c:v>
                </c:pt>
                <c:pt idx="231">
                  <c:v>8.3725953089832981</c:v>
                </c:pt>
                <c:pt idx="232">
                  <c:v>-0.56721649524664175</c:v>
                </c:pt>
                <c:pt idx="233">
                  <c:v>4.7760325871416818</c:v>
                </c:pt>
                <c:pt idx="234">
                  <c:v>1.2931214672248785</c:v>
                </c:pt>
                <c:pt idx="235">
                  <c:v>-2.0552372953321347</c:v>
                </c:pt>
                <c:pt idx="236">
                  <c:v>-1.9868203216725173</c:v>
                </c:pt>
                <c:pt idx="237">
                  <c:v>-3.8641170975368224</c:v>
                </c:pt>
                <c:pt idx="238">
                  <c:v>-8.5853299269002026</c:v>
                </c:pt>
              </c:numCache>
            </c:numRef>
          </c:val>
          <c:smooth val="0"/>
          <c:extLst>
            <c:ext xmlns:c16="http://schemas.microsoft.com/office/drawing/2014/chart" uri="{C3380CC4-5D6E-409C-BE32-E72D297353CC}">
              <c16:uniqueId val="{00000000-A60B-4EBE-8720-7D622261500E}"/>
            </c:ext>
          </c:extLst>
        </c:ser>
        <c:ser>
          <c:idx val="1"/>
          <c:order val="1"/>
          <c:tx>
            <c:v>SA</c:v>
          </c:tx>
          <c:spPr>
            <a:ln w="19050" cap="rnd">
              <a:solidFill>
                <a:schemeClr val="accent2"/>
              </a:solidFill>
              <a:round/>
            </a:ln>
            <a:effectLst/>
          </c:spPr>
          <c:marker>
            <c:symbol val="none"/>
          </c:marker>
          <c:cat>
            <c:numRef>
              <c:f>SEASADJ!$F$9:$F$247</c:f>
              <c:numCache>
                <c:formatCode>[$-416]mmm\-yy;@</c:formatCode>
                <c:ptCount val="239"/>
                <c:pt idx="0">
                  <c:v>37288</c:v>
                </c:pt>
                <c:pt idx="1">
                  <c:v>37316</c:v>
                </c:pt>
                <c:pt idx="2">
                  <c:v>37347</c:v>
                </c:pt>
                <c:pt idx="3">
                  <c:v>37377</c:v>
                </c:pt>
                <c:pt idx="4">
                  <c:v>37408</c:v>
                </c:pt>
                <c:pt idx="5">
                  <c:v>37438</c:v>
                </c:pt>
                <c:pt idx="6">
                  <c:v>37469</c:v>
                </c:pt>
                <c:pt idx="7">
                  <c:v>37500</c:v>
                </c:pt>
                <c:pt idx="8">
                  <c:v>37530</c:v>
                </c:pt>
                <c:pt idx="9">
                  <c:v>37561</c:v>
                </c:pt>
                <c:pt idx="10">
                  <c:v>37591</c:v>
                </c:pt>
                <c:pt idx="11">
                  <c:v>37622</c:v>
                </c:pt>
                <c:pt idx="12">
                  <c:v>37653</c:v>
                </c:pt>
                <c:pt idx="13">
                  <c:v>37681</c:v>
                </c:pt>
                <c:pt idx="14">
                  <c:v>37712</c:v>
                </c:pt>
                <c:pt idx="15">
                  <c:v>37742</c:v>
                </c:pt>
                <c:pt idx="16">
                  <c:v>37773</c:v>
                </c:pt>
                <c:pt idx="17">
                  <c:v>37803</c:v>
                </c:pt>
                <c:pt idx="18">
                  <c:v>37834</c:v>
                </c:pt>
                <c:pt idx="19">
                  <c:v>37865</c:v>
                </c:pt>
                <c:pt idx="20">
                  <c:v>37895</c:v>
                </c:pt>
                <c:pt idx="21">
                  <c:v>37926</c:v>
                </c:pt>
                <c:pt idx="22">
                  <c:v>37956</c:v>
                </c:pt>
                <c:pt idx="23">
                  <c:v>37987</c:v>
                </c:pt>
                <c:pt idx="24">
                  <c:v>38018</c:v>
                </c:pt>
                <c:pt idx="25">
                  <c:v>38047</c:v>
                </c:pt>
                <c:pt idx="26">
                  <c:v>38078</c:v>
                </c:pt>
                <c:pt idx="27">
                  <c:v>38108</c:v>
                </c:pt>
                <c:pt idx="28">
                  <c:v>38139</c:v>
                </c:pt>
                <c:pt idx="29">
                  <c:v>38169</c:v>
                </c:pt>
                <c:pt idx="30">
                  <c:v>38200</c:v>
                </c:pt>
                <c:pt idx="31">
                  <c:v>38231</c:v>
                </c:pt>
                <c:pt idx="32">
                  <c:v>38261</c:v>
                </c:pt>
                <c:pt idx="33">
                  <c:v>38292</c:v>
                </c:pt>
                <c:pt idx="34">
                  <c:v>38322</c:v>
                </c:pt>
                <c:pt idx="35">
                  <c:v>38353</c:v>
                </c:pt>
                <c:pt idx="36">
                  <c:v>38384</c:v>
                </c:pt>
                <c:pt idx="37">
                  <c:v>38412</c:v>
                </c:pt>
                <c:pt idx="38">
                  <c:v>38443</c:v>
                </c:pt>
                <c:pt idx="39">
                  <c:v>38473</c:v>
                </c:pt>
                <c:pt idx="40">
                  <c:v>38504</c:v>
                </c:pt>
                <c:pt idx="41">
                  <c:v>38534</c:v>
                </c:pt>
                <c:pt idx="42">
                  <c:v>38565</c:v>
                </c:pt>
                <c:pt idx="43">
                  <c:v>38596</c:v>
                </c:pt>
                <c:pt idx="44">
                  <c:v>38626</c:v>
                </c:pt>
                <c:pt idx="45">
                  <c:v>38657</c:v>
                </c:pt>
                <c:pt idx="46">
                  <c:v>38687</c:v>
                </c:pt>
                <c:pt idx="47">
                  <c:v>38718</c:v>
                </c:pt>
                <c:pt idx="48">
                  <c:v>38749</c:v>
                </c:pt>
                <c:pt idx="49">
                  <c:v>38777</c:v>
                </c:pt>
                <c:pt idx="50">
                  <c:v>38808</c:v>
                </c:pt>
                <c:pt idx="51">
                  <c:v>38838</c:v>
                </c:pt>
                <c:pt idx="52">
                  <c:v>38869</c:v>
                </c:pt>
                <c:pt idx="53">
                  <c:v>38899</c:v>
                </c:pt>
                <c:pt idx="54">
                  <c:v>38930</c:v>
                </c:pt>
                <c:pt idx="55">
                  <c:v>38961</c:v>
                </c:pt>
                <c:pt idx="56">
                  <c:v>38991</c:v>
                </c:pt>
                <c:pt idx="57">
                  <c:v>39022</c:v>
                </c:pt>
                <c:pt idx="58">
                  <c:v>39052</c:v>
                </c:pt>
                <c:pt idx="59">
                  <c:v>39083</c:v>
                </c:pt>
                <c:pt idx="60">
                  <c:v>39114</c:v>
                </c:pt>
                <c:pt idx="61">
                  <c:v>39142</c:v>
                </c:pt>
                <c:pt idx="62">
                  <c:v>39173</c:v>
                </c:pt>
                <c:pt idx="63">
                  <c:v>39203</c:v>
                </c:pt>
                <c:pt idx="64">
                  <c:v>39234</c:v>
                </c:pt>
                <c:pt idx="65">
                  <c:v>39264</c:v>
                </c:pt>
                <c:pt idx="66">
                  <c:v>39295</c:v>
                </c:pt>
                <c:pt idx="67">
                  <c:v>39326</c:v>
                </c:pt>
                <c:pt idx="68">
                  <c:v>39356</c:v>
                </c:pt>
                <c:pt idx="69">
                  <c:v>39387</c:v>
                </c:pt>
                <c:pt idx="70">
                  <c:v>39417</c:v>
                </c:pt>
                <c:pt idx="71">
                  <c:v>39448</c:v>
                </c:pt>
                <c:pt idx="72">
                  <c:v>39479</c:v>
                </c:pt>
                <c:pt idx="73">
                  <c:v>39508</c:v>
                </c:pt>
                <c:pt idx="74">
                  <c:v>39539</c:v>
                </c:pt>
                <c:pt idx="75">
                  <c:v>39569</c:v>
                </c:pt>
                <c:pt idx="76">
                  <c:v>39600</c:v>
                </c:pt>
                <c:pt idx="77">
                  <c:v>39630</c:v>
                </c:pt>
                <c:pt idx="78">
                  <c:v>39661</c:v>
                </c:pt>
                <c:pt idx="79">
                  <c:v>39692</c:v>
                </c:pt>
                <c:pt idx="80">
                  <c:v>39722</c:v>
                </c:pt>
                <c:pt idx="81">
                  <c:v>39753</c:v>
                </c:pt>
                <c:pt idx="82">
                  <c:v>39783</c:v>
                </c:pt>
                <c:pt idx="83">
                  <c:v>39814</c:v>
                </c:pt>
                <c:pt idx="84">
                  <c:v>39845</c:v>
                </c:pt>
                <c:pt idx="85">
                  <c:v>39873</c:v>
                </c:pt>
                <c:pt idx="86">
                  <c:v>39904</c:v>
                </c:pt>
                <c:pt idx="87">
                  <c:v>39934</c:v>
                </c:pt>
                <c:pt idx="88">
                  <c:v>39965</c:v>
                </c:pt>
                <c:pt idx="89">
                  <c:v>39995</c:v>
                </c:pt>
                <c:pt idx="90">
                  <c:v>40026</c:v>
                </c:pt>
                <c:pt idx="91">
                  <c:v>40057</c:v>
                </c:pt>
                <c:pt idx="92">
                  <c:v>40087</c:v>
                </c:pt>
                <c:pt idx="93">
                  <c:v>40118</c:v>
                </c:pt>
                <c:pt idx="94">
                  <c:v>40148</c:v>
                </c:pt>
                <c:pt idx="95">
                  <c:v>40179</c:v>
                </c:pt>
                <c:pt idx="96">
                  <c:v>40210</c:v>
                </c:pt>
                <c:pt idx="97">
                  <c:v>40238</c:v>
                </c:pt>
                <c:pt idx="98">
                  <c:v>40269</c:v>
                </c:pt>
                <c:pt idx="99">
                  <c:v>40299</c:v>
                </c:pt>
                <c:pt idx="100">
                  <c:v>40330</c:v>
                </c:pt>
                <c:pt idx="101">
                  <c:v>40360</c:v>
                </c:pt>
                <c:pt idx="102">
                  <c:v>40391</c:v>
                </c:pt>
                <c:pt idx="103">
                  <c:v>40422</c:v>
                </c:pt>
                <c:pt idx="104">
                  <c:v>40452</c:v>
                </c:pt>
                <c:pt idx="105">
                  <c:v>40483</c:v>
                </c:pt>
                <c:pt idx="106">
                  <c:v>40513</c:v>
                </c:pt>
                <c:pt idx="107">
                  <c:v>40544</c:v>
                </c:pt>
                <c:pt idx="108">
                  <c:v>40575</c:v>
                </c:pt>
                <c:pt idx="109">
                  <c:v>40603</c:v>
                </c:pt>
                <c:pt idx="110">
                  <c:v>40634</c:v>
                </c:pt>
                <c:pt idx="111">
                  <c:v>40664</c:v>
                </c:pt>
                <c:pt idx="112">
                  <c:v>40695</c:v>
                </c:pt>
                <c:pt idx="113">
                  <c:v>40725</c:v>
                </c:pt>
                <c:pt idx="114">
                  <c:v>40756</c:v>
                </c:pt>
                <c:pt idx="115">
                  <c:v>40787</c:v>
                </c:pt>
                <c:pt idx="116">
                  <c:v>40817</c:v>
                </c:pt>
                <c:pt idx="117">
                  <c:v>40848</c:v>
                </c:pt>
                <c:pt idx="118">
                  <c:v>40878</c:v>
                </c:pt>
                <c:pt idx="119">
                  <c:v>40909</c:v>
                </c:pt>
                <c:pt idx="120">
                  <c:v>40940</c:v>
                </c:pt>
                <c:pt idx="121">
                  <c:v>40969</c:v>
                </c:pt>
                <c:pt idx="122">
                  <c:v>41000</c:v>
                </c:pt>
                <c:pt idx="123">
                  <c:v>41030</c:v>
                </c:pt>
                <c:pt idx="124">
                  <c:v>41061</c:v>
                </c:pt>
                <c:pt idx="125">
                  <c:v>41091</c:v>
                </c:pt>
                <c:pt idx="126">
                  <c:v>41122</c:v>
                </c:pt>
                <c:pt idx="127">
                  <c:v>41153</c:v>
                </c:pt>
                <c:pt idx="128">
                  <c:v>41183</c:v>
                </c:pt>
                <c:pt idx="129">
                  <c:v>41214</c:v>
                </c:pt>
                <c:pt idx="130">
                  <c:v>41244</c:v>
                </c:pt>
                <c:pt idx="131">
                  <c:v>41275</c:v>
                </c:pt>
                <c:pt idx="132">
                  <c:v>41306</c:v>
                </c:pt>
                <c:pt idx="133">
                  <c:v>41334</c:v>
                </c:pt>
                <c:pt idx="134">
                  <c:v>41365</c:v>
                </c:pt>
                <c:pt idx="135">
                  <c:v>41395</c:v>
                </c:pt>
                <c:pt idx="136">
                  <c:v>41426</c:v>
                </c:pt>
                <c:pt idx="137">
                  <c:v>41456</c:v>
                </c:pt>
                <c:pt idx="138">
                  <c:v>41487</c:v>
                </c:pt>
                <c:pt idx="139">
                  <c:v>41518</c:v>
                </c:pt>
                <c:pt idx="140">
                  <c:v>41548</c:v>
                </c:pt>
                <c:pt idx="141">
                  <c:v>41579</c:v>
                </c:pt>
                <c:pt idx="142">
                  <c:v>41609</c:v>
                </c:pt>
                <c:pt idx="143">
                  <c:v>41640</c:v>
                </c:pt>
                <c:pt idx="144">
                  <c:v>41671</c:v>
                </c:pt>
                <c:pt idx="145">
                  <c:v>41699</c:v>
                </c:pt>
                <c:pt idx="146">
                  <c:v>41730</c:v>
                </c:pt>
                <c:pt idx="147">
                  <c:v>41760</c:v>
                </c:pt>
                <c:pt idx="148">
                  <c:v>41791</c:v>
                </c:pt>
                <c:pt idx="149">
                  <c:v>41821</c:v>
                </c:pt>
                <c:pt idx="150">
                  <c:v>41852</c:v>
                </c:pt>
                <c:pt idx="151">
                  <c:v>41883</c:v>
                </c:pt>
                <c:pt idx="152">
                  <c:v>41913</c:v>
                </c:pt>
                <c:pt idx="153">
                  <c:v>41944</c:v>
                </c:pt>
                <c:pt idx="154">
                  <c:v>41974</c:v>
                </c:pt>
                <c:pt idx="155">
                  <c:v>42005</c:v>
                </c:pt>
                <c:pt idx="156">
                  <c:v>42036</c:v>
                </c:pt>
                <c:pt idx="157">
                  <c:v>42064</c:v>
                </c:pt>
                <c:pt idx="158">
                  <c:v>42095</c:v>
                </c:pt>
                <c:pt idx="159">
                  <c:v>42125</c:v>
                </c:pt>
                <c:pt idx="160">
                  <c:v>42156</c:v>
                </c:pt>
                <c:pt idx="161">
                  <c:v>42186</c:v>
                </c:pt>
                <c:pt idx="162">
                  <c:v>42217</c:v>
                </c:pt>
                <c:pt idx="163">
                  <c:v>42248</c:v>
                </c:pt>
                <c:pt idx="164">
                  <c:v>42278</c:v>
                </c:pt>
                <c:pt idx="165">
                  <c:v>42309</c:v>
                </c:pt>
                <c:pt idx="166">
                  <c:v>42339</c:v>
                </c:pt>
                <c:pt idx="167">
                  <c:v>42370</c:v>
                </c:pt>
                <c:pt idx="168">
                  <c:v>42401</c:v>
                </c:pt>
                <c:pt idx="169">
                  <c:v>42430</c:v>
                </c:pt>
                <c:pt idx="170">
                  <c:v>42461</c:v>
                </c:pt>
                <c:pt idx="171">
                  <c:v>42491</c:v>
                </c:pt>
                <c:pt idx="172">
                  <c:v>42522</c:v>
                </c:pt>
                <c:pt idx="173">
                  <c:v>42552</c:v>
                </c:pt>
                <c:pt idx="174">
                  <c:v>42583</c:v>
                </c:pt>
                <c:pt idx="175">
                  <c:v>42614</c:v>
                </c:pt>
                <c:pt idx="176">
                  <c:v>42644</c:v>
                </c:pt>
                <c:pt idx="177">
                  <c:v>42675</c:v>
                </c:pt>
                <c:pt idx="178">
                  <c:v>42705</c:v>
                </c:pt>
                <c:pt idx="179">
                  <c:v>42736</c:v>
                </c:pt>
                <c:pt idx="180">
                  <c:v>42767</c:v>
                </c:pt>
                <c:pt idx="181">
                  <c:v>42795</c:v>
                </c:pt>
                <c:pt idx="182">
                  <c:v>42826</c:v>
                </c:pt>
                <c:pt idx="183">
                  <c:v>42856</c:v>
                </c:pt>
                <c:pt idx="184">
                  <c:v>42887</c:v>
                </c:pt>
                <c:pt idx="185">
                  <c:v>42917</c:v>
                </c:pt>
                <c:pt idx="186">
                  <c:v>42948</c:v>
                </c:pt>
                <c:pt idx="187">
                  <c:v>42979</c:v>
                </c:pt>
                <c:pt idx="188">
                  <c:v>43009</c:v>
                </c:pt>
                <c:pt idx="189">
                  <c:v>43040</c:v>
                </c:pt>
                <c:pt idx="190">
                  <c:v>43070</c:v>
                </c:pt>
                <c:pt idx="191">
                  <c:v>43101</c:v>
                </c:pt>
                <c:pt idx="192">
                  <c:v>43132</c:v>
                </c:pt>
                <c:pt idx="193">
                  <c:v>43160</c:v>
                </c:pt>
                <c:pt idx="194">
                  <c:v>43191</c:v>
                </c:pt>
                <c:pt idx="195">
                  <c:v>43221</c:v>
                </c:pt>
                <c:pt idx="196">
                  <c:v>43252</c:v>
                </c:pt>
                <c:pt idx="197">
                  <c:v>43282</c:v>
                </c:pt>
                <c:pt idx="198">
                  <c:v>43313</c:v>
                </c:pt>
                <c:pt idx="199">
                  <c:v>43344</c:v>
                </c:pt>
                <c:pt idx="200">
                  <c:v>43374</c:v>
                </c:pt>
                <c:pt idx="201">
                  <c:v>43405</c:v>
                </c:pt>
                <c:pt idx="202">
                  <c:v>43435</c:v>
                </c:pt>
                <c:pt idx="203">
                  <c:v>43466</c:v>
                </c:pt>
                <c:pt idx="204">
                  <c:v>43497</c:v>
                </c:pt>
                <c:pt idx="205">
                  <c:v>43525</c:v>
                </c:pt>
                <c:pt idx="206">
                  <c:v>43556</c:v>
                </c:pt>
                <c:pt idx="207">
                  <c:v>43586</c:v>
                </c:pt>
                <c:pt idx="208">
                  <c:v>43617</c:v>
                </c:pt>
                <c:pt idx="209">
                  <c:v>43647</c:v>
                </c:pt>
                <c:pt idx="210">
                  <c:v>43678</c:v>
                </c:pt>
                <c:pt idx="211">
                  <c:v>43709</c:v>
                </c:pt>
                <c:pt idx="212">
                  <c:v>43739</c:v>
                </c:pt>
                <c:pt idx="213">
                  <c:v>43770</c:v>
                </c:pt>
                <c:pt idx="214">
                  <c:v>43800</c:v>
                </c:pt>
                <c:pt idx="215">
                  <c:v>43831</c:v>
                </c:pt>
                <c:pt idx="216">
                  <c:v>43862</c:v>
                </c:pt>
                <c:pt idx="217">
                  <c:v>43891</c:v>
                </c:pt>
                <c:pt idx="218">
                  <c:v>43922</c:v>
                </c:pt>
                <c:pt idx="219">
                  <c:v>43952</c:v>
                </c:pt>
                <c:pt idx="220">
                  <c:v>43983</c:v>
                </c:pt>
                <c:pt idx="221">
                  <c:v>44013</c:v>
                </c:pt>
                <c:pt idx="222">
                  <c:v>44044</c:v>
                </c:pt>
                <c:pt idx="223">
                  <c:v>44075</c:v>
                </c:pt>
                <c:pt idx="224">
                  <c:v>44105</c:v>
                </c:pt>
                <c:pt idx="225">
                  <c:v>44136</c:v>
                </c:pt>
                <c:pt idx="226">
                  <c:v>44166</c:v>
                </c:pt>
                <c:pt idx="227">
                  <c:v>44197</c:v>
                </c:pt>
                <c:pt idx="228">
                  <c:v>44228</c:v>
                </c:pt>
                <c:pt idx="229">
                  <c:v>44256</c:v>
                </c:pt>
                <c:pt idx="230">
                  <c:v>44287</c:v>
                </c:pt>
                <c:pt idx="231">
                  <c:v>44317</c:v>
                </c:pt>
                <c:pt idx="232">
                  <c:v>44348</c:v>
                </c:pt>
                <c:pt idx="233">
                  <c:v>44378</c:v>
                </c:pt>
                <c:pt idx="234">
                  <c:v>44409</c:v>
                </c:pt>
                <c:pt idx="235">
                  <c:v>44440</c:v>
                </c:pt>
                <c:pt idx="236">
                  <c:v>44470</c:v>
                </c:pt>
                <c:pt idx="237">
                  <c:v>44501</c:v>
                </c:pt>
                <c:pt idx="238">
                  <c:v>44531</c:v>
                </c:pt>
              </c:numCache>
            </c:numRef>
          </c:cat>
          <c:val>
            <c:numRef>
              <c:f>SEASADJ!$K$9:$K$297</c:f>
              <c:numCache>
                <c:formatCode>0.0</c:formatCode>
                <c:ptCount val="289"/>
                <c:pt idx="0">
                  <c:v>-0.71753883388702944</c:v>
                </c:pt>
                <c:pt idx="1">
                  <c:v>0.22460287827182232</c:v>
                </c:pt>
                <c:pt idx="2">
                  <c:v>6.8688421574020353</c:v>
                </c:pt>
                <c:pt idx="3">
                  <c:v>-5.5188277653232447</c:v>
                </c:pt>
                <c:pt idx="4">
                  <c:v>-2.4312302589565311</c:v>
                </c:pt>
                <c:pt idx="5">
                  <c:v>1.9869393011204659</c:v>
                </c:pt>
                <c:pt idx="6">
                  <c:v>-2.4443016238566138</c:v>
                </c:pt>
                <c:pt idx="7">
                  <c:v>1.0146606755559135</c:v>
                </c:pt>
                <c:pt idx="8">
                  <c:v>4.7225693217673861</c:v>
                </c:pt>
                <c:pt idx="9">
                  <c:v>-0.58337465728584181</c:v>
                </c:pt>
                <c:pt idx="10">
                  <c:v>-0.66122229185945081</c:v>
                </c:pt>
                <c:pt idx="11">
                  <c:v>-0.24722363333822142</c:v>
                </c:pt>
                <c:pt idx="12">
                  <c:v>6.4997613633094059E-2</c:v>
                </c:pt>
                <c:pt idx="13">
                  <c:v>-2.7438129504982021</c:v>
                </c:pt>
                <c:pt idx="14">
                  <c:v>2.8965069556173395</c:v>
                </c:pt>
                <c:pt idx="15">
                  <c:v>-2.4209516024136573</c:v>
                </c:pt>
                <c:pt idx="16">
                  <c:v>-3.1172710269704007</c:v>
                </c:pt>
                <c:pt idx="17">
                  <c:v>1.1171858461062731</c:v>
                </c:pt>
                <c:pt idx="18">
                  <c:v>-2.4354741740128558</c:v>
                </c:pt>
                <c:pt idx="19">
                  <c:v>7.7275674021505312</c:v>
                </c:pt>
                <c:pt idx="20">
                  <c:v>1.3239514816623537</c:v>
                </c:pt>
                <c:pt idx="21">
                  <c:v>-0.6453724178142739</c:v>
                </c:pt>
                <c:pt idx="22">
                  <c:v>2.836456960937614</c:v>
                </c:pt>
                <c:pt idx="23">
                  <c:v>-0.86181350509130761</c:v>
                </c:pt>
                <c:pt idx="24">
                  <c:v>-0.6308953663134429</c:v>
                </c:pt>
                <c:pt idx="25">
                  <c:v>5.8152505020691585</c:v>
                </c:pt>
                <c:pt idx="26">
                  <c:v>-1.4941620889847425</c:v>
                </c:pt>
                <c:pt idx="27">
                  <c:v>-1.651406496056782</c:v>
                </c:pt>
                <c:pt idx="28">
                  <c:v>1.0103750580356954</c:v>
                </c:pt>
                <c:pt idx="29">
                  <c:v>-0.68904666216837551</c:v>
                </c:pt>
                <c:pt idx="30">
                  <c:v>-0.60832085094559618</c:v>
                </c:pt>
                <c:pt idx="31">
                  <c:v>2.825211038783249</c:v>
                </c:pt>
                <c:pt idx="32">
                  <c:v>-2.0630836876527283</c:v>
                </c:pt>
                <c:pt idx="33">
                  <c:v>3.707254087174825</c:v>
                </c:pt>
                <c:pt idx="34">
                  <c:v>3.0376187376414912</c:v>
                </c:pt>
                <c:pt idx="35">
                  <c:v>-3.9063269313406899</c:v>
                </c:pt>
                <c:pt idx="36">
                  <c:v>-2.7635865213641622</c:v>
                </c:pt>
                <c:pt idx="37">
                  <c:v>3.881368425924645</c:v>
                </c:pt>
                <c:pt idx="38">
                  <c:v>2.9232413495741953</c:v>
                </c:pt>
                <c:pt idx="39">
                  <c:v>-1.9138675376487004</c:v>
                </c:pt>
                <c:pt idx="40">
                  <c:v>1.571161143024586</c:v>
                </c:pt>
                <c:pt idx="41">
                  <c:v>-6.2196847556514889</c:v>
                </c:pt>
                <c:pt idx="42">
                  <c:v>2.6784982195050122</c:v>
                </c:pt>
                <c:pt idx="43">
                  <c:v>-1.0132132620482732</c:v>
                </c:pt>
                <c:pt idx="44">
                  <c:v>-1.7407717714571191</c:v>
                </c:pt>
                <c:pt idx="45">
                  <c:v>4.145046894320684</c:v>
                </c:pt>
                <c:pt idx="46">
                  <c:v>4.6045720265601799</c:v>
                </c:pt>
                <c:pt idx="47">
                  <c:v>-2.845766040079666</c:v>
                </c:pt>
                <c:pt idx="48">
                  <c:v>-1.1884869336638624</c:v>
                </c:pt>
                <c:pt idx="49">
                  <c:v>3.9063029728684544</c:v>
                </c:pt>
                <c:pt idx="50">
                  <c:v>-3.46130437245397</c:v>
                </c:pt>
                <c:pt idx="51">
                  <c:v>4.2037391862690949</c:v>
                </c:pt>
                <c:pt idx="52">
                  <c:v>-3.3696836952274118</c:v>
                </c:pt>
                <c:pt idx="53">
                  <c:v>-2.3094168056024613</c:v>
                </c:pt>
                <c:pt idx="54">
                  <c:v>2.1868418439985775</c:v>
                </c:pt>
                <c:pt idx="55">
                  <c:v>-2.8071429529211613</c:v>
                </c:pt>
                <c:pt idx="56">
                  <c:v>0.93873264023485437</c:v>
                </c:pt>
                <c:pt idx="57">
                  <c:v>3.8875283425535851</c:v>
                </c:pt>
                <c:pt idx="58">
                  <c:v>1.3475020110042024</c:v>
                </c:pt>
                <c:pt idx="59">
                  <c:v>0.56031776721630933</c:v>
                </c:pt>
                <c:pt idx="60">
                  <c:v>-2.106784484132914</c:v>
                </c:pt>
                <c:pt idx="61">
                  <c:v>5.1956087043082615</c:v>
                </c:pt>
                <c:pt idx="62">
                  <c:v>-2.1390879248201715</c:v>
                </c:pt>
                <c:pt idx="63">
                  <c:v>3.2527111617758528</c:v>
                </c:pt>
                <c:pt idx="64">
                  <c:v>-1.8066229521733124</c:v>
                </c:pt>
                <c:pt idx="65">
                  <c:v>-2.2812555381593209</c:v>
                </c:pt>
                <c:pt idx="66">
                  <c:v>2.1801344928408271</c:v>
                </c:pt>
                <c:pt idx="67">
                  <c:v>-3.5714600956211262</c:v>
                </c:pt>
                <c:pt idx="68">
                  <c:v>5.5519524506781543</c:v>
                </c:pt>
                <c:pt idx="69">
                  <c:v>0.40307336704555485</c:v>
                </c:pt>
                <c:pt idx="70">
                  <c:v>1.0275312391577138</c:v>
                </c:pt>
                <c:pt idx="71">
                  <c:v>2.908344528100554</c:v>
                </c:pt>
                <c:pt idx="72">
                  <c:v>-0.89810117087412777</c:v>
                </c:pt>
                <c:pt idx="73">
                  <c:v>-3.2596679263660668</c:v>
                </c:pt>
                <c:pt idx="74">
                  <c:v>5.5897564561454676</c:v>
                </c:pt>
                <c:pt idx="75">
                  <c:v>-3.2463576700180132</c:v>
                </c:pt>
                <c:pt idx="76">
                  <c:v>2.0198514783184152</c:v>
                </c:pt>
                <c:pt idx="77">
                  <c:v>-0.31884229473695846</c:v>
                </c:pt>
                <c:pt idx="78">
                  <c:v>-4.2894342105939582</c:v>
                </c:pt>
                <c:pt idx="79">
                  <c:v>3.1986941993485574</c:v>
                </c:pt>
                <c:pt idx="80">
                  <c:v>-2.5517890541014396</c:v>
                </c:pt>
                <c:pt idx="81">
                  <c:v>-6.3977051793940269</c:v>
                </c:pt>
                <c:pt idx="82">
                  <c:v>-8.484359955320171</c:v>
                </c:pt>
                <c:pt idx="83">
                  <c:v>5.3345832191258193E-2</c:v>
                </c:pt>
                <c:pt idx="84">
                  <c:v>-0.27642972693952794</c:v>
                </c:pt>
                <c:pt idx="85">
                  <c:v>4.9543158696909995</c:v>
                </c:pt>
                <c:pt idx="86">
                  <c:v>0.15306855435996122</c:v>
                </c:pt>
                <c:pt idx="87">
                  <c:v>0.39609927778367648</c:v>
                </c:pt>
                <c:pt idx="88">
                  <c:v>2.2233280197679592</c:v>
                </c:pt>
                <c:pt idx="89">
                  <c:v>0.56402086838980292</c:v>
                </c:pt>
                <c:pt idx="90">
                  <c:v>-0.87773816146094918</c:v>
                </c:pt>
                <c:pt idx="91">
                  <c:v>2.6242059459808376</c:v>
                </c:pt>
                <c:pt idx="92">
                  <c:v>2.4788927699725161</c:v>
                </c:pt>
                <c:pt idx="93">
                  <c:v>1.4836399424866578</c:v>
                </c:pt>
                <c:pt idx="94">
                  <c:v>3.6157838779101965</c:v>
                </c:pt>
                <c:pt idx="95">
                  <c:v>-2.5699971838885016</c:v>
                </c:pt>
                <c:pt idx="96">
                  <c:v>0.64120659381763412</c:v>
                </c:pt>
                <c:pt idx="97">
                  <c:v>6.3735474104280456</c:v>
                </c:pt>
                <c:pt idx="98">
                  <c:v>-1.6105597512413858</c:v>
                </c:pt>
                <c:pt idx="99">
                  <c:v>-1.6062570032215895</c:v>
                </c:pt>
                <c:pt idx="100">
                  <c:v>-0.49846261922096669</c:v>
                </c:pt>
                <c:pt idx="101">
                  <c:v>-1.0270200349754219</c:v>
                </c:pt>
                <c:pt idx="102">
                  <c:v>-1.6875080542261922</c:v>
                </c:pt>
                <c:pt idx="103">
                  <c:v>0.6745905166868984</c:v>
                </c:pt>
                <c:pt idx="104">
                  <c:v>-1.7918265171763514</c:v>
                </c:pt>
                <c:pt idx="105">
                  <c:v>4.7030021903696273</c:v>
                </c:pt>
                <c:pt idx="106">
                  <c:v>1.0493698037228807</c:v>
                </c:pt>
                <c:pt idx="107">
                  <c:v>-3.0227841854763637</c:v>
                </c:pt>
                <c:pt idx="108">
                  <c:v>5.4161450049017494</c:v>
                </c:pt>
                <c:pt idx="109">
                  <c:v>-1.238933705218761</c:v>
                </c:pt>
                <c:pt idx="110">
                  <c:v>-2.7716188125372154</c:v>
                </c:pt>
                <c:pt idx="111">
                  <c:v>2.8722238462085681</c:v>
                </c:pt>
                <c:pt idx="112">
                  <c:v>-2.8553687196584168</c:v>
                </c:pt>
                <c:pt idx="113">
                  <c:v>-2.0704527203418324</c:v>
                </c:pt>
                <c:pt idx="114">
                  <c:v>1.5306741536821034</c:v>
                </c:pt>
                <c:pt idx="115">
                  <c:v>-2.7420892038409148</c:v>
                </c:pt>
                <c:pt idx="116">
                  <c:v>-2.1505816448946895</c:v>
                </c:pt>
                <c:pt idx="117">
                  <c:v>3.5468523511309114</c:v>
                </c:pt>
                <c:pt idx="118">
                  <c:v>2.5779052484492944</c:v>
                </c:pt>
                <c:pt idx="119">
                  <c:v>-7.035523147121169</c:v>
                </c:pt>
                <c:pt idx="120">
                  <c:v>4.3155679278942261</c:v>
                </c:pt>
                <c:pt idx="121">
                  <c:v>0.20402676131536698</c:v>
                </c:pt>
                <c:pt idx="122">
                  <c:v>-3.1057927856273073</c:v>
                </c:pt>
                <c:pt idx="123">
                  <c:v>3.4227797798492148</c:v>
                </c:pt>
                <c:pt idx="124">
                  <c:v>-2.9414834189287884</c:v>
                </c:pt>
                <c:pt idx="125">
                  <c:v>0.88618244494539322</c:v>
                </c:pt>
                <c:pt idx="126">
                  <c:v>3.6799532338882739</c:v>
                </c:pt>
                <c:pt idx="127">
                  <c:v>-4.7167518438012168</c:v>
                </c:pt>
                <c:pt idx="128">
                  <c:v>4.2389268736762409</c:v>
                </c:pt>
                <c:pt idx="129">
                  <c:v>-0.92361092941121647</c:v>
                </c:pt>
                <c:pt idx="130">
                  <c:v>-1.7220757979542558</c:v>
                </c:pt>
                <c:pt idx="131">
                  <c:v>3.024288160931202</c:v>
                </c:pt>
                <c:pt idx="132">
                  <c:v>-3.9296708271241036</c:v>
                </c:pt>
                <c:pt idx="133">
                  <c:v>8.8859206011813158E-2</c:v>
                </c:pt>
                <c:pt idx="134">
                  <c:v>8.1769654387050004</c:v>
                </c:pt>
                <c:pt idx="135">
                  <c:v>-3.4238114946714782</c:v>
                </c:pt>
                <c:pt idx="136">
                  <c:v>-1.9509109866954877</c:v>
                </c:pt>
                <c:pt idx="137">
                  <c:v>0.78027042674143754</c:v>
                </c:pt>
                <c:pt idx="138">
                  <c:v>0.83296570144498627</c:v>
                </c:pt>
                <c:pt idx="139">
                  <c:v>-1.4618111270609342</c:v>
                </c:pt>
                <c:pt idx="140">
                  <c:v>1.2495736159029649</c:v>
                </c:pt>
                <c:pt idx="141">
                  <c:v>-0.40379905457077214</c:v>
                </c:pt>
                <c:pt idx="142">
                  <c:v>-5.2588997660794288</c:v>
                </c:pt>
                <c:pt idx="143">
                  <c:v>3.2972154710004657</c:v>
                </c:pt>
                <c:pt idx="144">
                  <c:v>2.7585593142995037</c:v>
                </c:pt>
                <c:pt idx="145">
                  <c:v>-4.9785586363332275</c:v>
                </c:pt>
                <c:pt idx="146">
                  <c:v>2.7210311595241592</c:v>
                </c:pt>
                <c:pt idx="147">
                  <c:v>-0.75092494011378541</c:v>
                </c:pt>
                <c:pt idx="148">
                  <c:v>-5.6779660202577915</c:v>
                </c:pt>
                <c:pt idx="149">
                  <c:v>4.3104750030365135</c:v>
                </c:pt>
                <c:pt idx="150">
                  <c:v>-1.0002377257061206</c:v>
                </c:pt>
                <c:pt idx="151">
                  <c:v>2.1645196312091315</c:v>
                </c:pt>
                <c:pt idx="152">
                  <c:v>-0.12793059995755621</c:v>
                </c:pt>
                <c:pt idx="153">
                  <c:v>-3.5506532325129836</c:v>
                </c:pt>
                <c:pt idx="154">
                  <c:v>-1.8373400594429921</c:v>
                </c:pt>
                <c:pt idx="155">
                  <c:v>1.0153811236159382</c:v>
                </c:pt>
                <c:pt idx="156">
                  <c:v>-2.0402962160381839</c:v>
                </c:pt>
                <c:pt idx="157">
                  <c:v>1.6701778097497098</c:v>
                </c:pt>
                <c:pt idx="158">
                  <c:v>-1.9433430321922751</c:v>
                </c:pt>
                <c:pt idx="159">
                  <c:v>-1.7900826702918939</c:v>
                </c:pt>
                <c:pt idx="160">
                  <c:v>0.59583974714122923</c:v>
                </c:pt>
                <c:pt idx="161">
                  <c:v>-2.0383616833985982</c:v>
                </c:pt>
                <c:pt idx="162">
                  <c:v>-0.62867412240628084</c:v>
                </c:pt>
                <c:pt idx="163">
                  <c:v>-0.61441933918025304</c:v>
                </c:pt>
                <c:pt idx="164">
                  <c:v>-0.54278080829257158</c:v>
                </c:pt>
                <c:pt idx="165">
                  <c:v>-4.8568033984102961</c:v>
                </c:pt>
                <c:pt idx="166">
                  <c:v>-1.5508657566764175</c:v>
                </c:pt>
                <c:pt idx="167">
                  <c:v>-0.6123341068156114</c:v>
                </c:pt>
                <c:pt idx="168">
                  <c:v>2.4255947644236873</c:v>
                </c:pt>
                <c:pt idx="169">
                  <c:v>-0.33997491993814677</c:v>
                </c:pt>
                <c:pt idx="170">
                  <c:v>3.2262739620532974</c:v>
                </c:pt>
                <c:pt idx="171">
                  <c:v>-2.6199370695031496</c:v>
                </c:pt>
                <c:pt idx="172">
                  <c:v>2.8516238524809285</c:v>
                </c:pt>
                <c:pt idx="173">
                  <c:v>-3.0867799199543686</c:v>
                </c:pt>
                <c:pt idx="174">
                  <c:v>0.92061860159462494</c:v>
                </c:pt>
                <c:pt idx="175">
                  <c:v>0.32099743556675397</c:v>
                </c:pt>
                <c:pt idx="176">
                  <c:v>-4.1245259962420384</c:v>
                </c:pt>
                <c:pt idx="177">
                  <c:v>1.3536666409200464</c:v>
                </c:pt>
                <c:pt idx="178">
                  <c:v>-0.28720735622521865</c:v>
                </c:pt>
                <c:pt idx="179">
                  <c:v>1.4629673518135218</c:v>
                </c:pt>
                <c:pt idx="180">
                  <c:v>0.4821324811203902</c:v>
                </c:pt>
                <c:pt idx="181">
                  <c:v>1.538898234645492</c:v>
                </c:pt>
                <c:pt idx="182">
                  <c:v>-3.3446862834357267</c:v>
                </c:pt>
                <c:pt idx="183">
                  <c:v>6.2493674985674144</c:v>
                </c:pt>
                <c:pt idx="184">
                  <c:v>-0.66242577346402109</c:v>
                </c:pt>
                <c:pt idx="185">
                  <c:v>-1.1298246184627665</c:v>
                </c:pt>
                <c:pt idx="186">
                  <c:v>2.0700472041562574</c:v>
                </c:pt>
                <c:pt idx="187">
                  <c:v>-1.076179891816027</c:v>
                </c:pt>
                <c:pt idx="188">
                  <c:v>-1.3387853511818868</c:v>
                </c:pt>
                <c:pt idx="189">
                  <c:v>0.69469230375337698</c:v>
                </c:pt>
                <c:pt idx="190">
                  <c:v>-0.11321750316439075</c:v>
                </c:pt>
                <c:pt idx="191">
                  <c:v>2.152513068274835</c:v>
                </c:pt>
                <c:pt idx="192">
                  <c:v>-3.1846558803325631</c:v>
                </c:pt>
                <c:pt idx="193">
                  <c:v>0.64357880297860248</c:v>
                </c:pt>
                <c:pt idx="194">
                  <c:v>4.4135345587550967</c:v>
                </c:pt>
                <c:pt idx="195">
                  <c:v>-8.9765373323737983</c:v>
                </c:pt>
                <c:pt idx="196">
                  <c:v>8.881433990005517</c:v>
                </c:pt>
                <c:pt idx="197">
                  <c:v>-0.19963390913886772</c:v>
                </c:pt>
                <c:pt idx="198">
                  <c:v>-0.32944567728195606</c:v>
                </c:pt>
                <c:pt idx="199">
                  <c:v>-5.1196747851496838</c:v>
                </c:pt>
                <c:pt idx="200">
                  <c:v>1.8987997945816506</c:v>
                </c:pt>
                <c:pt idx="201">
                  <c:v>-1.2602380156060295</c:v>
                </c:pt>
                <c:pt idx="202">
                  <c:v>-2.665691524636701</c:v>
                </c:pt>
                <c:pt idx="203">
                  <c:v>3.9632926258474566</c:v>
                </c:pt>
                <c:pt idx="204">
                  <c:v>1.08048927840272</c:v>
                </c:pt>
                <c:pt idx="205">
                  <c:v>-7.8804154147654355</c:v>
                </c:pt>
                <c:pt idx="206">
                  <c:v>6.866050381972288</c:v>
                </c:pt>
                <c:pt idx="207">
                  <c:v>2.3222596356237304</c:v>
                </c:pt>
                <c:pt idx="208">
                  <c:v>-4.6416562786879307</c:v>
                </c:pt>
                <c:pt idx="209">
                  <c:v>3.2571118938589514</c:v>
                </c:pt>
                <c:pt idx="210">
                  <c:v>0.15000252804389455</c:v>
                </c:pt>
                <c:pt idx="211">
                  <c:v>-1.8564949657383538</c:v>
                </c:pt>
                <c:pt idx="212">
                  <c:v>1.9381350967030686</c:v>
                </c:pt>
                <c:pt idx="213">
                  <c:v>-4.1952484485231576</c:v>
                </c:pt>
                <c:pt idx="214">
                  <c:v>-2.3958054621757174</c:v>
                </c:pt>
                <c:pt idx="215">
                  <c:v>4.5123935834446289</c:v>
                </c:pt>
                <c:pt idx="216">
                  <c:v>1.6985186464269246</c:v>
                </c:pt>
                <c:pt idx="217">
                  <c:v>-11.529570902161112</c:v>
                </c:pt>
                <c:pt idx="218">
                  <c:v>-21.54327398241983</c:v>
                </c:pt>
                <c:pt idx="219">
                  <c:v>10.097235369697461</c:v>
                </c:pt>
                <c:pt idx="220">
                  <c:v>10.875504617448627</c:v>
                </c:pt>
                <c:pt idx="221">
                  <c:v>9.6734359358196826</c:v>
                </c:pt>
                <c:pt idx="222">
                  <c:v>0.3332892540942356</c:v>
                </c:pt>
                <c:pt idx="223">
                  <c:v>4.4100302627856198</c:v>
                </c:pt>
                <c:pt idx="224">
                  <c:v>-1.599691917218895</c:v>
                </c:pt>
                <c:pt idx="225">
                  <c:v>-2.0347882583436556</c:v>
                </c:pt>
                <c:pt idx="226">
                  <c:v>3.1292005449069951</c:v>
                </c:pt>
                <c:pt idx="227">
                  <c:v>-1.1346380641610112</c:v>
                </c:pt>
                <c:pt idx="228">
                  <c:v>-0.39555227990934272</c:v>
                </c:pt>
                <c:pt idx="229">
                  <c:v>-1.7743897386408243</c:v>
                </c:pt>
                <c:pt idx="230">
                  <c:v>-1.6702285560555499</c:v>
                </c:pt>
                <c:pt idx="231">
                  <c:v>1.853759210201714</c:v>
                </c:pt>
                <c:pt idx="232">
                  <c:v>0.67517722835877347</c:v>
                </c:pt>
                <c:pt idx="233">
                  <c:v>-0.45408939308741125</c:v>
                </c:pt>
                <c:pt idx="234">
                  <c:v>-1.5106772484176143</c:v>
                </c:pt>
                <c:pt idx="235">
                  <c:v>0.76997374345111425</c:v>
                </c:pt>
                <c:pt idx="236">
                  <c:v>-5.5585533126632622</c:v>
                </c:pt>
                <c:pt idx="237">
                  <c:v>1.6780508564576566</c:v>
                </c:pt>
                <c:pt idx="238">
                  <c:v>2.501958407584894</c:v>
                </c:pt>
              </c:numCache>
            </c:numRef>
          </c:val>
          <c:smooth val="0"/>
          <c:extLst>
            <c:ext xmlns:c16="http://schemas.microsoft.com/office/drawing/2014/chart" uri="{C3380CC4-5D6E-409C-BE32-E72D297353CC}">
              <c16:uniqueId val="{00000001-A60B-4EBE-8720-7D622261500E}"/>
            </c:ext>
          </c:extLst>
        </c:ser>
        <c:dLbls>
          <c:showLegendKey val="0"/>
          <c:showVal val="0"/>
          <c:showCatName val="0"/>
          <c:showSerName val="0"/>
          <c:showPercent val="0"/>
          <c:showBubbleSize val="0"/>
        </c:dLbls>
        <c:smooth val="0"/>
        <c:axId val="2040515792"/>
        <c:axId val="2040519952"/>
      </c:lineChart>
      <c:dateAx>
        <c:axId val="2040515792"/>
        <c:scaling>
          <c:orientation val="minMax"/>
        </c:scaling>
        <c:delete val="0"/>
        <c:axPos val="b"/>
        <c:numFmt formatCode="[$-416]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9952"/>
        <c:crosses val="autoZero"/>
        <c:auto val="1"/>
        <c:lblOffset val="100"/>
        <c:baseTimeUnit val="months"/>
      </c:dateAx>
      <c:valAx>
        <c:axId val="20405199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40515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16</xdr:col>
      <xdr:colOff>342900</xdr:colOff>
      <xdr:row>5</xdr:row>
      <xdr:rowOff>133349</xdr:rowOff>
    </xdr:from>
    <xdr:to>
      <xdr:col>22</xdr:col>
      <xdr:colOff>123825</xdr:colOff>
      <xdr:row>14</xdr:row>
      <xdr:rowOff>190500</xdr:rowOff>
    </xdr:to>
    <xdr:graphicFrame macro="">
      <xdr:nvGraphicFramePr>
        <xdr:cNvPr id="2" name="Gráfico 1">
          <a:extLst>
            <a:ext uri="{FF2B5EF4-FFF2-40B4-BE49-F238E27FC236}">
              <a16:creationId xmlns:a16="http://schemas.microsoft.com/office/drawing/2014/main" id="{A1CD280E-63C6-467A-944C-F8A758048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361950</xdr:colOff>
      <xdr:row>5</xdr:row>
      <xdr:rowOff>133349</xdr:rowOff>
    </xdr:from>
    <xdr:to>
      <xdr:col>20</xdr:col>
      <xdr:colOff>352425</xdr:colOff>
      <xdr:row>17</xdr:row>
      <xdr:rowOff>66672</xdr:rowOff>
    </xdr:to>
    <xdr:graphicFrame macro="">
      <xdr:nvGraphicFramePr>
        <xdr:cNvPr id="2" name="Gráfico 1">
          <a:extLst>
            <a:ext uri="{FF2B5EF4-FFF2-40B4-BE49-F238E27FC236}">
              <a16:creationId xmlns:a16="http://schemas.microsoft.com/office/drawing/2014/main" id="{451595B5-D615-4700-AF97-A0F95685F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361950</xdr:colOff>
      <xdr:row>5</xdr:row>
      <xdr:rowOff>133349</xdr:rowOff>
    </xdr:from>
    <xdr:to>
      <xdr:col>21</xdr:col>
      <xdr:colOff>352425</xdr:colOff>
      <xdr:row>17</xdr:row>
      <xdr:rowOff>66672</xdr:rowOff>
    </xdr:to>
    <xdr:graphicFrame macro="">
      <xdr:nvGraphicFramePr>
        <xdr:cNvPr id="5" name="Gráfico 4">
          <a:extLst>
            <a:ext uri="{FF2B5EF4-FFF2-40B4-BE49-F238E27FC236}">
              <a16:creationId xmlns:a16="http://schemas.microsoft.com/office/drawing/2014/main" id="{525901D2-1581-4E4B-8DCE-FA170053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2</v>
    <v>2</v>
    <v>19</v>
  </rv>
  <rv s="0">
    <v>2</v>
    <v>5</v>
    <v>19</v>
  </rv>
  <rv s="0">
    <v>2</v>
    <v>4</v>
    <v>19</v>
  </rv>
  <rv s="0">
    <v>2</v>
    <v>3</v>
    <v>19</v>
  </rv>
  <rv s="0">
    <v>2</v>
    <v>1</v>
    <v>19</v>
  </rv>
</rvData>
</file>

<file path=xl/richData/rdrichvaluestructure.xml><?xml version="1.0" encoding="utf-8"?>
<rvStructures xmlns="http://schemas.microsoft.com/office/spreadsheetml/2017/richdata" count="1">
  <s t="_error">
    <k n="errorType" t="i"/>
    <k n="argument" t="s"/>
    <k n="subType" t="i"/>
  </s>
</rvStructure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4794065-FD69-45EC-974B-6C48C1D93FA4}">
  <we:reference id="wa200003696" version="1.0.0.0" store="en-US" storeType="OMEX"/>
  <we:alternateReferences>
    <we:reference id="wa200003696"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1965-C276-4C4D-805E-36C4D53F123D}">
  <sheetPr codeName="Planilha10"/>
  <dimension ref="A1:M79"/>
  <sheetViews>
    <sheetView showGridLines="0" tabSelected="1" workbookViewId="0"/>
  </sheetViews>
  <sheetFormatPr defaultColWidth="8.85546875" defaultRowHeight="15" x14ac:dyDescent="0.25"/>
  <cols>
    <col min="1" max="3" width="8" customWidth="1"/>
    <col min="6" max="6" width="60.85546875" customWidth="1"/>
    <col min="7" max="7" width="22.42578125" customWidth="1"/>
    <col min="8" max="8" width="59.28515625" customWidth="1"/>
    <col min="9" max="9" width="36" customWidth="1"/>
    <col min="10" max="12" width="10.7109375" customWidth="1"/>
    <col min="13" max="17" width="12" bestFit="1" customWidth="1"/>
  </cols>
  <sheetData>
    <row r="1" spans="1:13" ht="23.25" x14ac:dyDescent="0.35">
      <c r="A1" s="4" t="s">
        <v>212</v>
      </c>
    </row>
    <row r="2" spans="1:13" ht="21" x14ac:dyDescent="0.35">
      <c r="A2" s="3" t="s">
        <v>0</v>
      </c>
    </row>
    <row r="3" spans="1:13" s="9" customFormat="1" ht="15.75" x14ac:dyDescent="0.25">
      <c r="A3" s="9" t="s">
        <v>11</v>
      </c>
    </row>
    <row r="4" spans="1:13" s="9" customFormat="1" ht="15.75" x14ac:dyDescent="0.25">
      <c r="A4" s="47" t="s">
        <v>213</v>
      </c>
    </row>
    <row r="5" spans="1:13" s="9" customFormat="1" ht="15.75" x14ac:dyDescent="0.25">
      <c r="A5" s="9" t="s">
        <v>12</v>
      </c>
    </row>
    <row r="6" spans="1:13" s="9" customFormat="1" ht="51" customHeight="1" x14ac:dyDescent="0.25">
      <c r="A6" s="60" t="s">
        <v>155</v>
      </c>
      <c r="B6" s="60"/>
      <c r="C6" s="60"/>
      <c r="D6" s="60"/>
      <c r="E6" s="60"/>
      <c r="F6" s="60"/>
    </row>
    <row r="7" spans="1:13" s="9" customFormat="1" ht="15.75" x14ac:dyDescent="0.25"/>
    <row r="8" spans="1:13" s="9" customFormat="1" ht="50.25" customHeight="1" x14ac:dyDescent="0.25">
      <c r="A8" s="61" t="s">
        <v>166</v>
      </c>
      <c r="B8" s="61"/>
      <c r="C8" s="61"/>
      <c r="D8" s="61"/>
      <c r="E8" s="61"/>
      <c r="F8" s="61"/>
      <c r="G8" s="61"/>
      <c r="H8" s="61"/>
      <c r="I8" s="61"/>
    </row>
    <row r="10" spans="1:13" ht="46.5" x14ac:dyDescent="0.35">
      <c r="B10" s="3" t="s">
        <v>102</v>
      </c>
      <c r="F10" s="1" t="s">
        <v>16</v>
      </c>
      <c r="G10" s="1" t="s">
        <v>81</v>
      </c>
      <c r="H10" s="1" t="s">
        <v>83</v>
      </c>
      <c r="I10" s="36" t="s">
        <v>167</v>
      </c>
      <c r="J10" s="37"/>
      <c r="K10" s="37"/>
      <c r="L10" s="37"/>
      <c r="M10" s="31"/>
    </row>
    <row r="11" spans="1:13" x14ac:dyDescent="0.25">
      <c r="B11" s="34" t="s">
        <v>100</v>
      </c>
      <c r="F11" s="32" t="s">
        <v>119</v>
      </c>
      <c r="G11" s="35"/>
      <c r="H11" s="33"/>
      <c r="I11" t="e" cm="1" vm="1">
        <f t="array" ref="I11">M()</f>
        <v>#VALUE!</v>
      </c>
    </row>
    <row r="12" spans="1:13" x14ac:dyDescent="0.25">
      <c r="B12" s="34" t="s">
        <v>49</v>
      </c>
      <c r="F12" s="32" t="s">
        <v>118</v>
      </c>
      <c r="G12" s="35"/>
      <c r="H12" s="33"/>
      <c r="I12" t="e" cm="1" vm="2">
        <f t="array" ref="I12">SLICE()</f>
        <v>#VALUE!</v>
      </c>
    </row>
    <row r="13" spans="1:13" x14ac:dyDescent="0.25">
      <c r="B13" s="34" t="s">
        <v>79</v>
      </c>
      <c r="F13" s="32" t="s">
        <v>160</v>
      </c>
      <c r="G13" s="35" t="s">
        <v>79</v>
      </c>
      <c r="H13" s="33" t="s">
        <v>84</v>
      </c>
      <c r="I13" t="e" cm="1" vm="1">
        <f t="array" ref="I13">VERTCAT()</f>
        <v>#VALUE!</v>
      </c>
    </row>
    <row r="14" spans="1:13" x14ac:dyDescent="0.25">
      <c r="B14" s="34" t="s">
        <v>80</v>
      </c>
      <c r="F14" s="32" t="s">
        <v>161</v>
      </c>
      <c r="G14" s="35" t="s">
        <v>80</v>
      </c>
      <c r="H14" s="33" t="s">
        <v>85</v>
      </c>
      <c r="I14" t="e" cm="1" vm="1">
        <f t="array" ref="I14">HORZCAT()</f>
        <v>#VALUE!</v>
      </c>
    </row>
    <row r="15" spans="1:13" x14ac:dyDescent="0.25">
      <c r="B15" s="34" t="s">
        <v>41</v>
      </c>
      <c r="F15" s="32" t="s">
        <v>139</v>
      </c>
      <c r="G15" s="35" t="s">
        <v>86</v>
      </c>
      <c r="H15" s="33"/>
      <c r="I15" t="e" cm="1" vm="1">
        <f t="array" ref="I15">VEC()</f>
        <v>#VALUE!</v>
      </c>
    </row>
    <row r="16" spans="1:13" x14ac:dyDescent="0.25">
      <c r="B16" s="34" t="s">
        <v>72</v>
      </c>
      <c r="F16" s="32" t="s">
        <v>120</v>
      </c>
      <c r="G16" s="35"/>
      <c r="H16" s="33"/>
      <c r="I16" t="e" cm="1" vm="3">
        <f t="array" aca="1" ref="I16" ca="1">SAMPLE()</f>
        <v>#VALUE!</v>
      </c>
    </row>
    <row r="17" spans="2:9" x14ac:dyDescent="0.25">
      <c r="B17" s="34" t="s">
        <v>87</v>
      </c>
      <c r="F17" s="32" t="s">
        <v>69</v>
      </c>
      <c r="G17" s="35" t="s">
        <v>82</v>
      </c>
      <c r="H17" s="33"/>
      <c r="I17" t="e" cm="1" vm="4">
        <f t="array" ref="I17">NOZERO()</f>
        <v>#VALUE!</v>
      </c>
    </row>
    <row r="20" spans="2:9" ht="21" x14ac:dyDescent="0.35">
      <c r="B20" s="3" t="s">
        <v>103</v>
      </c>
    </row>
    <row r="21" spans="2:9" x14ac:dyDescent="0.25">
      <c r="B21" s="34" t="s">
        <v>14</v>
      </c>
      <c r="F21" s="32" t="str" cm="1">
        <f t="array" aca="1" ref="F21" ca="1">INDIRECT(B21&amp;"!A2")</f>
        <v>Returns an identity matrix</v>
      </c>
      <c r="G21" s="35" t="s">
        <v>14</v>
      </c>
      <c r="H21" s="33"/>
      <c r="I21" t="e" cm="1" vm="1">
        <f t="array" ref="I21">EYE()</f>
        <v>#VALUE!</v>
      </c>
    </row>
    <row r="22" spans="2:9" x14ac:dyDescent="0.25">
      <c r="B22" s="34" t="s">
        <v>23</v>
      </c>
      <c r="F22" s="32" t="str" cm="1">
        <f t="array" aca="1" ref="F22" ca="1">INDIRECT(B22&amp;"!A2")</f>
        <v>Returns a matrix of zeros</v>
      </c>
      <c r="G22" s="35" t="s">
        <v>23</v>
      </c>
      <c r="H22" s="33"/>
      <c r="I22" t="e" cm="1" vm="1">
        <f t="array" ref="I22">ZEROS()</f>
        <v>#VALUE!</v>
      </c>
    </row>
    <row r="23" spans="2:9" x14ac:dyDescent="0.25">
      <c r="B23" s="34" t="s">
        <v>32</v>
      </c>
      <c r="F23" s="32" t="str" cm="1">
        <f t="array" aca="1" ref="F23" ca="1">INDIRECT(B23&amp;"!A2")</f>
        <v>Returns a matrix of ones</v>
      </c>
      <c r="G23" s="35" t="s">
        <v>32</v>
      </c>
      <c r="H23" s="33"/>
      <c r="I23" t="e" cm="1" vm="1">
        <f t="array" ref="I23">ONES()</f>
        <v>#VALUE!</v>
      </c>
    </row>
    <row r="24" spans="2:9" x14ac:dyDescent="0.25">
      <c r="B24" s="34" t="s">
        <v>20</v>
      </c>
      <c r="F24" s="32" t="str" cm="1">
        <f t="array" aca="1" ref="F24" ca="1">INDIRECT(B24&amp;"!A2")</f>
        <v>Returns the diagonal of a matrix</v>
      </c>
      <c r="G24" s="35" t="s">
        <v>20</v>
      </c>
      <c r="H24" s="33"/>
      <c r="I24" t="e" cm="1" vm="1">
        <f t="array" ref="I24">DIAG()</f>
        <v>#VALUE!</v>
      </c>
    </row>
    <row r="25" spans="2:9" x14ac:dyDescent="0.25">
      <c r="B25" s="34" t="s">
        <v>30</v>
      </c>
      <c r="F25" s="32" t="str" cm="1">
        <f t="array" aca="1" ref="F25" ca="1">INDIRECT(B25&amp;"!A2")</f>
        <v>Returns the lower triangular part of a matrix</v>
      </c>
      <c r="G25" s="35" t="s">
        <v>30</v>
      </c>
      <c r="H25" s="33"/>
      <c r="I25" t="e" cm="1" vm="1">
        <f t="array" ref="I25">TRIL()</f>
        <v>#VALUE!</v>
      </c>
    </row>
    <row r="26" spans="2:9" x14ac:dyDescent="0.25">
      <c r="B26" s="34" t="s">
        <v>31</v>
      </c>
      <c r="F26" s="32" t="str" cm="1">
        <f t="array" aca="1" ref="F26" ca="1">INDIRECT(B26&amp;"!A2")</f>
        <v>Returns the upper triangular part of a matrix</v>
      </c>
      <c r="G26" s="35" t="s">
        <v>31</v>
      </c>
      <c r="H26" s="33"/>
      <c r="I26" t="e" cm="1" vm="1">
        <f t="array" ref="I26">TRIU()</f>
        <v>#VALUE!</v>
      </c>
    </row>
    <row r="27" spans="2:9" x14ac:dyDescent="0.25">
      <c r="B27" s="34" t="s">
        <v>45</v>
      </c>
      <c r="F27" s="32" t="str" cm="1">
        <f t="array" aca="1" ref="F27" ca="1">INDIRECT(B27&amp;"!A2")</f>
        <v>Flip array left to right</v>
      </c>
      <c r="G27" s="35" t="s">
        <v>45</v>
      </c>
      <c r="H27" s="33"/>
      <c r="I27" t="e" cm="1" vm="5">
        <f t="array" ref="I27">FLIPLR()</f>
        <v>#VALUE!</v>
      </c>
    </row>
    <row r="28" spans="2:9" x14ac:dyDescent="0.25">
      <c r="B28" s="34" t="s">
        <v>47</v>
      </c>
      <c r="F28" s="32" t="str" cm="1">
        <f t="array" aca="1" ref="F28" ca="1">INDIRECT(B28&amp;"!A2")</f>
        <v>Flip array up to down</v>
      </c>
      <c r="G28" s="35" t="s">
        <v>47</v>
      </c>
      <c r="H28" s="33"/>
      <c r="I28" t="e" cm="1" vm="5">
        <f t="array" ref="I28">FLIPUD()</f>
        <v>#VALUE!</v>
      </c>
    </row>
    <row r="29" spans="2:9" x14ac:dyDescent="0.25">
      <c r="B29" s="34" t="s">
        <v>50</v>
      </c>
      <c r="F29" s="32" t="str" cm="1">
        <f t="array" aca="1" ref="F29" ca="1">INDIRECT(B29&amp;"!A2")</f>
        <v>Repeat copies of array</v>
      </c>
      <c r="G29" s="35" t="s">
        <v>50</v>
      </c>
      <c r="H29" s="33"/>
      <c r="I29" t="e" cm="1" vm="4">
        <f t="array" ref="I29">REPMAT()</f>
        <v>#VALUE!</v>
      </c>
    </row>
    <row r="30" spans="2:9" ht="30" x14ac:dyDescent="0.25">
      <c r="B30" s="34" t="s">
        <v>131</v>
      </c>
      <c r="F30" s="32" t="str" cm="1">
        <f t="array" aca="1" ref="F30" ca="1">INDIRECT(B30&amp;"!A2")</f>
        <v>Reshape array</v>
      </c>
      <c r="G30" s="35" t="s">
        <v>131</v>
      </c>
      <c r="H30" s="33" t="s">
        <v>140</v>
      </c>
      <c r="I30" t="e" cm="1" vm="3">
        <f t="array" ref="I30">RESHAPE()</f>
        <v>#VALUE!</v>
      </c>
    </row>
    <row r="31" spans="2:9" x14ac:dyDescent="0.25">
      <c r="B31" s="34" t="s">
        <v>73</v>
      </c>
      <c r="F31" s="32" t="str" cm="1">
        <f t="array" aca="1" ref="F31" ca="1">INDIRECT(B31&amp;"!A2")</f>
        <v>Create a block diagonal matrix from existing matrices</v>
      </c>
      <c r="G31" s="35" t="s">
        <v>73</v>
      </c>
      <c r="H31" s="33"/>
      <c r="I31" t="e" cm="1" vm="1">
        <f t="array" ref="I31">BLKDIAG()</f>
        <v>#VALUE!</v>
      </c>
    </row>
    <row r="32" spans="2:9" x14ac:dyDescent="0.25">
      <c r="B32" s="34" t="s">
        <v>89</v>
      </c>
      <c r="F32" s="32" t="str" cm="1">
        <f t="array" aca="1" ref="F32" ca="1">INDIRECT(B32&amp;"!A2")</f>
        <v>Determine if all array elements are nonzero or true</v>
      </c>
      <c r="G32" s="35" t="s">
        <v>89</v>
      </c>
      <c r="H32" s="33"/>
      <c r="I32" t="e" cm="1" vm="1">
        <f t="array" ref="I32">ALL()</f>
        <v>#VALUE!</v>
      </c>
    </row>
    <row r="33" spans="2:9" x14ac:dyDescent="0.25">
      <c r="B33" s="34" t="s">
        <v>95</v>
      </c>
      <c r="F33" s="32" t="str" cm="1">
        <f t="array" aca="1" ref="F33" ca="1">INDIRECT(B33&amp;"!A2")</f>
        <v>Determine if any array elements are nonzero</v>
      </c>
      <c r="G33" s="35" t="s">
        <v>95</v>
      </c>
      <c r="H33" s="33"/>
      <c r="I33" t="e" cm="1" vm="1">
        <f t="array" ref="I33">ANY()</f>
        <v>#VALUE!</v>
      </c>
    </row>
    <row r="34" spans="2:9" x14ac:dyDescent="0.25">
      <c r="B34" s="34" t="s">
        <v>126</v>
      </c>
      <c r="F34" s="32" t="str" cm="1">
        <f t="array" aca="1" ref="F34" ca="1">INDIRECT(B34&amp;"!A2")</f>
        <v>Number of nonzero (nor FALSE) matrix elements</v>
      </c>
      <c r="G34" s="35" t="s">
        <v>126</v>
      </c>
      <c r="H34" s="33"/>
      <c r="I34" t="e" cm="1" vm="5">
        <f t="array" ref="I34">NNZ()</f>
        <v>#VALUE!</v>
      </c>
    </row>
    <row r="35" spans="2:9" x14ac:dyDescent="0.25">
      <c r="B35" s="34" t="s">
        <v>109</v>
      </c>
      <c r="F35" s="32" t="str" cm="1">
        <f t="array" aca="1" ref="F35" ca="1">INDIRECT(B35&amp;"!A2")</f>
        <v>Generate linearly spaced vector</v>
      </c>
      <c r="G35" s="35" t="s">
        <v>109</v>
      </c>
      <c r="H35" s="33"/>
      <c r="I35" t="e" cm="1" vm="4">
        <f t="array" ref="I35">LINSPACE()</f>
        <v>#VALUE!</v>
      </c>
    </row>
    <row r="36" spans="2:9" x14ac:dyDescent="0.25">
      <c r="B36" s="34" t="s">
        <v>121</v>
      </c>
      <c r="F36" s="32" t="str" cm="1">
        <f t="array" aca="1" ref="F36" ca="1">INDIRECT(B36&amp;"!A2")</f>
        <v>Length of largest array dimension</v>
      </c>
      <c r="G36" s="35" t="s">
        <v>121</v>
      </c>
      <c r="H36" s="33"/>
      <c r="I36" t="e" cm="1" vm="5">
        <f t="array" ref="I36">LENGTH()</f>
        <v>#VALUE!</v>
      </c>
    </row>
    <row r="37" spans="2:9" x14ac:dyDescent="0.25">
      <c r="B37" s="34" t="s">
        <v>208</v>
      </c>
      <c r="F37" s="32" t="str" cm="1">
        <f t="array" aca="1" ref="F37" ca="1">INDIRECT(B37&amp;"!A2")</f>
        <v>Array size</v>
      </c>
      <c r="G37" s="35" t="s">
        <v>208</v>
      </c>
      <c r="H37" s="33"/>
      <c r="I37" t="e" cm="1" vm="1">
        <f t="array" ref="I37">_xludf.SIZE()</f>
        <v>#VALUE!</v>
      </c>
    </row>
    <row r="38" spans="2:9" x14ac:dyDescent="0.25">
      <c r="B38" s="34" t="s">
        <v>125</v>
      </c>
      <c r="F38" s="32" t="str" cm="1">
        <f t="array" aca="1" ref="F38" ca="1">INDIRECT(B38&amp;"!A2")</f>
        <v>Number of array elements</v>
      </c>
      <c r="G38" s="35" t="s">
        <v>125</v>
      </c>
      <c r="H38" s="33"/>
      <c r="I38" t="e" cm="1" vm="5">
        <f t="array" ref="I38">NUMEL()</f>
        <v>#VALUE!</v>
      </c>
    </row>
    <row r="39" spans="2:9" x14ac:dyDescent="0.25">
      <c r="B39" s="34" t="s">
        <v>146</v>
      </c>
      <c r="F39" s="32" t="str" cm="1">
        <f t="array" aca="1" ref="F39" ca="1">INDIRECT(B39&amp;"!A2")</f>
        <v>Remove rows or columns with missing entries</v>
      </c>
      <c r="G39" s="35" t="s">
        <v>146</v>
      </c>
      <c r="H39" s="33"/>
      <c r="I39" t="e" cm="1" vm="1">
        <f t="array" ref="I39">RMMISSING()</f>
        <v>#VALUE!</v>
      </c>
    </row>
    <row r="40" spans="2:9" x14ac:dyDescent="0.25">
      <c r="B40" s="34" t="s">
        <v>184</v>
      </c>
      <c r="F40" s="32" t="str" cm="1">
        <f t="array" aca="1" ref="F40" ca="1">INDIRECT(B40&amp;"!A2")</f>
        <v>Add a column of ones to a matrix</v>
      </c>
      <c r="G40" s="35"/>
      <c r="H40" s="33"/>
      <c r="I40" t="e" cm="1" vm="1">
        <f t="array" ref="I40">ADDCONST()</f>
        <v>#VALUE!</v>
      </c>
    </row>
    <row r="41" spans="2:9" x14ac:dyDescent="0.25">
      <c r="B41" s="34" t="s">
        <v>190</v>
      </c>
      <c r="F41" s="32" t="str" cm="1">
        <f t="array" aca="1" ref="F41" ca="1">INDIRECT(B41&amp;"!A2")</f>
        <v>Add a column with a deterministic trend to a matrix</v>
      </c>
      <c r="G41" s="35"/>
      <c r="H41" s="33"/>
      <c r="I41" t="e" cm="1" vm="4">
        <f t="array" ref="I41">ADDTREND()</f>
        <v>#VALUE!</v>
      </c>
    </row>
    <row r="42" spans="2:9" ht="30" x14ac:dyDescent="0.25">
      <c r="B42" s="34" t="s">
        <v>172</v>
      </c>
      <c r="F42" s="32" t="str" cm="1">
        <f t="array" aca="1" ref="F42" ca="1">INDIRECT(B42&amp;"!A2")</f>
        <v>Create alphabetically ordered dummy variables from categorical ones</v>
      </c>
      <c r="G42" s="35" t="s">
        <v>172</v>
      </c>
      <c r="H42" s="33" t="s">
        <v>179</v>
      </c>
      <c r="I42" t="e" cm="1" vm="1">
        <f t="array" ref="I42">DUMMYVAR()</f>
        <v>#VALUE!</v>
      </c>
    </row>
    <row r="43" spans="2:9" ht="30" x14ac:dyDescent="0.25">
      <c r="B43" s="34" t="s">
        <v>168</v>
      </c>
      <c r="F43" s="32" t="str" cm="1">
        <f t="array" aca="1" ref="F43" ca="1">INDIRECT(B43&amp;"!A2")</f>
        <v>Seasonally adjust a (stationarized) time series with seasonal dummies</v>
      </c>
      <c r="G43" s="35"/>
      <c r="H43" s="33"/>
      <c r="I43" t="e" cm="1" vm="1">
        <f t="array" ref="I43">SEASADJ()</f>
        <v>#VALUE!</v>
      </c>
    </row>
    <row r="44" spans="2:9" x14ac:dyDescent="0.25">
      <c r="B44" s="34" t="s">
        <v>204</v>
      </c>
      <c r="F44" s="32" t="str" cm="1">
        <f t="array" aca="1" ref="F44" ca="1">INDIRECT(B44&amp;"!A2")</f>
        <v>Detrend a time series</v>
      </c>
      <c r="G44" s="35"/>
      <c r="H44" s="33"/>
      <c r="I44" t="e" cm="1" vm="1">
        <f t="array" ref="I44">DETREND()</f>
        <v>#VALUE!</v>
      </c>
    </row>
    <row r="45" spans="2:9" x14ac:dyDescent="0.25">
      <c r="B45" s="34" t="s">
        <v>214</v>
      </c>
      <c r="F45" s="32" t="str" cm="1">
        <f t="array" aca="1" ref="F45" ca="1">INDIRECT(B45&amp;"!A2")</f>
        <v>Hodrick-Prescott filter for trend and cyclical components</v>
      </c>
      <c r="G45" s="35" t="s">
        <v>214</v>
      </c>
      <c r="H45" s="33"/>
      <c r="I45" t="e" cm="1" vm="4">
        <f t="array" ref="I45">HPFILTER()</f>
        <v>#VALUE!</v>
      </c>
    </row>
    <row r="48" spans="2:9" ht="21" x14ac:dyDescent="0.35">
      <c r="B48" s="3" t="s">
        <v>156</v>
      </c>
    </row>
    <row r="49" spans="1:9" x14ac:dyDescent="0.25">
      <c r="B49" s="34" t="s">
        <v>101</v>
      </c>
      <c r="F49" s="32" t="s">
        <v>141</v>
      </c>
      <c r="G49" s="35" t="s">
        <v>101</v>
      </c>
      <c r="H49" s="33"/>
      <c r="I49" t="e" cm="1" vm="3">
        <f t="array" ref="I49">_xludf.SPLIT()</f>
        <v>#VALUE!</v>
      </c>
    </row>
    <row r="50" spans="1:9" x14ac:dyDescent="0.25">
      <c r="B50" s="34" t="s">
        <v>108</v>
      </c>
      <c r="F50" s="32" t="s">
        <v>142</v>
      </c>
      <c r="G50" s="35"/>
      <c r="H50" s="33"/>
      <c r="I50" t="e" cm="1" vm="5">
        <f t="array" ref="I50">TEXTTOCHAR()</f>
        <v>#VALUE!</v>
      </c>
    </row>
    <row r="53" spans="1:9" ht="21" x14ac:dyDescent="0.35">
      <c r="B53" s="3" t="s">
        <v>104</v>
      </c>
    </row>
    <row r="54" spans="1:9" ht="30" x14ac:dyDescent="0.25">
      <c r="B54" s="34" t="s">
        <v>105</v>
      </c>
      <c r="F54" s="32" t="s">
        <v>143</v>
      </c>
      <c r="G54" s="35"/>
      <c r="H54" s="33"/>
      <c r="I54" t="e" cm="1" vm="1">
        <f t="array" ref="I54">OLS_COEFF()</f>
        <v>#VALUE!</v>
      </c>
    </row>
    <row r="55" spans="1:9" ht="30" x14ac:dyDescent="0.25">
      <c r="B55" s="34" t="s">
        <v>151</v>
      </c>
      <c r="F55" s="32" t="s">
        <v>152</v>
      </c>
      <c r="G55" s="35"/>
      <c r="H55" s="33"/>
      <c r="I55" t="e" cm="1" vm="4">
        <f t="array" ref="I55">OLS_COEFF_STDEV()</f>
        <v>#VALUE!</v>
      </c>
    </row>
    <row r="56" spans="1:9" ht="30" x14ac:dyDescent="0.25">
      <c r="B56" s="34" t="s">
        <v>153</v>
      </c>
      <c r="F56" s="32" t="s">
        <v>154</v>
      </c>
      <c r="G56" s="35"/>
      <c r="H56" s="33"/>
      <c r="I56" t="e" cm="1" vm="4">
        <f t="array" ref="I56">OLS_VARCOV()</f>
        <v>#VALUE!</v>
      </c>
    </row>
    <row r="57" spans="1:9" ht="30" x14ac:dyDescent="0.25">
      <c r="B57" s="34" t="s">
        <v>106</v>
      </c>
      <c r="F57" s="32" t="s">
        <v>144</v>
      </c>
      <c r="G57" s="35"/>
      <c r="H57" s="33"/>
      <c r="I57" t="e" cm="1" vm="4">
        <f t="array" ref="I57">OLS_FITTED()</f>
        <v>#VALUE!</v>
      </c>
    </row>
    <row r="58" spans="1:9" ht="30" x14ac:dyDescent="0.25">
      <c r="B58" s="34" t="s">
        <v>107</v>
      </c>
      <c r="F58" s="32" t="s">
        <v>145</v>
      </c>
      <c r="G58" s="35"/>
      <c r="H58" s="33"/>
      <c r="I58" t="e" cm="1" vm="4">
        <f t="array" ref="I58">OLS_RESIDUALS()</f>
        <v>#VALUE!</v>
      </c>
    </row>
    <row r="60" spans="1:9" ht="18.75" x14ac:dyDescent="0.3">
      <c r="A60" s="17" t="s">
        <v>59</v>
      </c>
    </row>
    <row r="62" spans="1:9" x14ac:dyDescent="0.25">
      <c r="A62" t="s">
        <v>60</v>
      </c>
    </row>
    <row r="63" spans="1:9" x14ac:dyDescent="0.25">
      <c r="A63" t="s">
        <v>63</v>
      </c>
    </row>
    <row r="65" spans="1:1" x14ac:dyDescent="0.25">
      <c r="A65" t="s">
        <v>61</v>
      </c>
    </row>
    <row r="66" spans="1:1" x14ac:dyDescent="0.25">
      <c r="A66" t="s">
        <v>62</v>
      </c>
    </row>
    <row r="67" spans="1:1" x14ac:dyDescent="0.25">
      <c r="A67" t="s">
        <v>162</v>
      </c>
    </row>
    <row r="68" spans="1:1" x14ac:dyDescent="0.25">
      <c r="A68" t="s">
        <v>164</v>
      </c>
    </row>
    <row r="69" spans="1:1" x14ac:dyDescent="0.25">
      <c r="A69" t="s">
        <v>165</v>
      </c>
    </row>
    <row r="70" spans="1:1" x14ac:dyDescent="0.25">
      <c r="A70" t="s">
        <v>163</v>
      </c>
    </row>
    <row r="72" spans="1:1" x14ac:dyDescent="0.25">
      <c r="A72" t="s">
        <v>198</v>
      </c>
    </row>
    <row r="73" spans="1:1" x14ac:dyDescent="0.25">
      <c r="A73" t="s">
        <v>197</v>
      </c>
    </row>
    <row r="75" spans="1:1" x14ac:dyDescent="0.25">
      <c r="A75" t="s">
        <v>202</v>
      </c>
    </row>
    <row r="76" spans="1:1" x14ac:dyDescent="0.25">
      <c r="A76" t="s">
        <v>203</v>
      </c>
    </row>
    <row r="78" spans="1:1" x14ac:dyDescent="0.25">
      <c r="A78" t="s">
        <v>211</v>
      </c>
    </row>
    <row r="79" spans="1:1" x14ac:dyDescent="0.25">
      <c r="A79" t="s">
        <v>227</v>
      </c>
    </row>
  </sheetData>
  <mergeCells count="2">
    <mergeCell ref="A6:F6"/>
    <mergeCell ref="A8:I8"/>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3F5C-C4F5-4E87-B96E-C1138A322570}">
  <sheetPr codeName="Planilha1">
    <tabColor theme="9" tint="0.59999389629810485"/>
  </sheetPr>
  <dimension ref="A1:AK32"/>
  <sheetViews>
    <sheetView showGridLines="0" workbookViewId="0"/>
  </sheetViews>
  <sheetFormatPr defaultColWidth="8.85546875" defaultRowHeight="15" x14ac:dyDescent="0.25"/>
  <cols>
    <col min="1" max="3" width="8" customWidth="1"/>
    <col min="7" max="7" width="3.7109375" customWidth="1"/>
    <col min="8" max="9" width="11.42578125" customWidth="1"/>
    <col min="10" max="10" width="10" customWidth="1"/>
    <col min="13" max="13" width="3.7109375" customWidth="1"/>
    <col min="14" max="15" width="11.42578125" customWidth="1"/>
    <col min="16" max="16" width="10" customWidth="1"/>
    <col min="19" max="19" width="3.7109375" customWidth="1"/>
    <col min="23" max="23" width="2.7109375" customWidth="1"/>
    <col min="27" max="27" width="6.42578125" customWidth="1"/>
    <col min="31" max="31" width="6.42578125" customWidth="1"/>
    <col min="35" max="35" width="6.42578125" customWidth="1"/>
  </cols>
  <sheetData>
    <row r="1" spans="1:37" ht="23.25" x14ac:dyDescent="0.35">
      <c r="A1" s="4" t="s">
        <v>71</v>
      </c>
    </row>
    <row r="3" spans="1:37" x14ac:dyDescent="0.25">
      <c r="E3" s="7" t="s">
        <v>7</v>
      </c>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1:37" x14ac:dyDescent="0.25">
      <c r="A4" s="1" t="s">
        <v>4</v>
      </c>
      <c r="E4" s="1" t="s">
        <v>5</v>
      </c>
      <c r="F4" s="1"/>
      <c r="G4" s="1"/>
      <c r="H4" s="1" t="s">
        <v>6</v>
      </c>
      <c r="I4" s="1"/>
      <c r="J4" s="1"/>
      <c r="K4" s="1" t="s">
        <v>98</v>
      </c>
      <c r="L4" s="1"/>
      <c r="M4" s="1"/>
      <c r="N4" s="1" t="s">
        <v>99</v>
      </c>
      <c r="O4" s="1"/>
      <c r="P4" s="1"/>
      <c r="Q4" s="1" t="s">
        <v>80</v>
      </c>
      <c r="R4" s="1"/>
      <c r="S4" s="1"/>
      <c r="T4" s="1" t="s">
        <v>79</v>
      </c>
      <c r="U4" s="1"/>
      <c r="V4" s="1"/>
      <c r="X4" s="1" t="s">
        <v>116</v>
      </c>
      <c r="AB4" s="1" t="s">
        <v>117</v>
      </c>
      <c r="AF4" s="1" t="s">
        <v>101</v>
      </c>
      <c r="AJ4" s="1" t="s">
        <v>108</v>
      </c>
    </row>
    <row r="5" spans="1:37" x14ac:dyDescent="0.25">
      <c r="A5" s="5" t="s">
        <v>1</v>
      </c>
      <c r="B5" s="5" t="s">
        <v>2</v>
      </c>
      <c r="C5" s="5" t="s">
        <v>3</v>
      </c>
      <c r="E5" s="5" t="s">
        <v>1</v>
      </c>
      <c r="F5" s="5" t="s">
        <v>2</v>
      </c>
      <c r="H5" s="5" t="s">
        <v>1</v>
      </c>
      <c r="I5" s="5" t="s">
        <v>2</v>
      </c>
      <c r="K5" s="5" t="s">
        <v>1</v>
      </c>
      <c r="L5" s="5" t="s">
        <v>2</v>
      </c>
      <c r="N5" s="5" t="s">
        <v>1</v>
      </c>
      <c r="O5" s="5" t="s">
        <v>2</v>
      </c>
      <c r="Q5" s="8" t="s">
        <v>9</v>
      </c>
      <c r="R5" s="8"/>
      <c r="T5" s="8" t="s">
        <v>10</v>
      </c>
      <c r="U5" s="5"/>
      <c r="V5" s="5"/>
      <c r="X5" s="8"/>
      <c r="Y5" s="5"/>
      <c r="Z5" s="5"/>
      <c r="AB5" s="8"/>
      <c r="AC5" s="5"/>
      <c r="AD5" s="5"/>
      <c r="AF5" s="8"/>
      <c r="AG5" s="5"/>
      <c r="AH5" s="5"/>
      <c r="AJ5" s="8"/>
      <c r="AK5" s="5"/>
    </row>
    <row r="6" spans="1:37" x14ac:dyDescent="0.25">
      <c r="A6" s="10">
        <v>1</v>
      </c>
      <c r="B6" s="11">
        <v>100</v>
      </c>
      <c r="C6" s="11">
        <v>1000</v>
      </c>
      <c r="E6" cm="1">
        <f t="array" ref="E6:F8">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)($A$6:$C$17,2,4,1,2)</f>
        <v>2</v>
      </c>
      <c r="F6">
        <v>200</v>
      </c>
      <c r="H6" cm="1">
        <f t="array" ref="H6:I16">_xlfn.LAMBDA(_xlpm.vector,_xlop.lin_start,_xlop.lin_end,_xlop.col_start,_xlop.col_end,
INDEX(
_xlpm.vector,
_xlfn.SEQUENCE( IF( OR( _xlfn.ISOMITTED( _xlpm.lin_end), _xlpm.lin_end = 0), ROWS(_xlpm.vector), IF( _xlpm.lin_end &gt; 0, _xlpm.lin_end, ROWS(_xlpm.vector) + _xlpm.lin_end + 1)  ) - IF( OR( _xlfn.ISOMITTED(_xlpm.lin_start), _xlpm.lin_start=0), 1, IF( _xlpm.lin_start &gt; 0, _xlpm.lin_start, ROWS(_xlpm.vector) + _xlpm.lin_start + 1) ) + 1, 1,
IF( OR( _xlfn.ISOMITTED(_xlpm.lin_start), _xlpm.lin_start=0 ), 1, IF( _xlpm.lin_start &gt; 0, _xlpm.lin_start, ROWS(_xlpm.vector) + _xlpm.lin_start + 1) )
 ),
_xlfn.SEQUENCE( 1,  IF( OR( _xlfn.ISOMITTED( _xlpm.col_end), _xlpm.col_end = 0), COLUMNS(_xlpm.vector), IF( _xlpm.col_end &gt; 0, _xlpm.col_end, COLUMNS(_xlpm.vector) + _xlpm.col_end + 1)  ) - IF( OR(_xlfn.ISOMITTED(_xlpm.col_start), _xlpm.col_start=0 ), 1, IF( _xlpm.col_start &gt; 0, _xlpm.col_start, COLUMNS(_xlpm.vector) + _xlpm.col_start + 1) ) + 1,
IF( OR( _xlfn.ISOMITTED(_xlpm.col_start), _xlpm.col_start=0 ), 1, IF( _xlpm.col_start &gt; 0, _xlpm.col_start, COLUMNS(_xlpm.vector) + _xlpm.col_start + 1) )
))
)($A$6:$C$17,2,,1,2)</f>
        <v>2</v>
      </c>
      <c r="I6">
        <v>200</v>
      </c>
      <c r="K6" cm="1">
        <f t="array" ref="K6:L8">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)($A$6:$C$17,"[2:4,1:2]")</f>
        <v>2</v>
      </c>
      <c r="L6">
        <v>200</v>
      </c>
      <c r="N6" cm="1">
        <f t="array" ref="N6:O16">_xlfn.LAMBDA(_xlpm.matrix,_xlpm.ref,
_xlfn.LET(_xlpm.ref, MID(_xlpm.ref,2,LEN(_xlpm.ref)-2),
_xlpm.idxs, _xludf.SPLIT(_xlpm.ref,","),
_xlpm.idxRows, VALUE( _xludf.SPLIT( INDEX(_xlpm.idxs,1), ":") ),
_xlpm.idxRowLB, IF( ISERR( INDEX(_xlpm.idxRows,1,1) ), 1, INDEX(_xlpm.idxRows,1,1) ),
_xlpm.idxRowUB, IF( COLUMNS(_xlpm.idxRows) = 2, IF( ISERR( INDEX(_xlpm.idxRows,1,2) ), ROWS(_xlpm.matrix), INDEX(_xlpm.idxRows,1,2) ), _xlpm.idxRowLB ),
_xlpm.idxCols, VALUE( _xludf.SPLIT( INDEX(_xlpm.idxs,2), ":") ),
_xlpm.idxColLB, IF( ISERR( INDEX(_xlpm.idxCols,1,1) ), 1, INDEX(_xlpm.idxCols,1,1) ),
_xlpm.idxColUB, IF( COLUMNS(_xlpm.idxCols) = 2, IF( ISERR( INDEX(_xlpm.idxCols,1,2) ), COLUMNS(_xlpm.matrix), INDEX(_xlpm.idxCols,1,2) ), _xlpm.idxColLB ),
_xlpm.seqRows, _xlfn.SEQUENCE( _xlpm.idxRowUB - _xlpm.idxRowLB + 1, 1, _xlpm.idxRowLB),
_xlpm.seqCols,_xlfn.SEQUENCE( 1, _xlpm.idxColUB - _xlpm.idxColLB + 1, _xlpm.idxColLB),
INDEX(_xlpm.matrix,_xlpm.seqRows,_xlpm.seqCols) )
)($A$6:$C$17,"[2:,1:2]")</f>
        <v>2</v>
      </c>
      <c r="O6">
        <v>200</v>
      </c>
      <c r="Q6" cm="1">
        <f t="array" ref="Q6:R11">_xlfn.LAMBDA(_xlpm.matrixA,_xlpm.matrixB,
_xlfn.LET(
_xlpm.DataA, _xlpm.matrixA,
_xlpm.DataB, _xlpm.matrixB,
_xlpm.NumCols, COLUMNS(_xlpm.DataA),
_xlpm.RowsA, ROWS(_xlpm.DataA),
_xlpm.RowsB, ROWS(_xlpm.DataB),
_xlpm.SeqCol, _xlfn.SEQUENCE( _xlpm.RowsA + _xlpm.RowsB ),
_xlpm.SeqRow, _xlfn.SEQUENCE( 1, _xlpm.NumCols),
IF( _xlpm.SeqCol &lt;= _xlpm.RowsA, INDEX( _xlpm.DataA, _xlpm.SeqCol, _xlpm.SeqRow ), INDEX( _xlpm.DataB, _xlpm.SeqCol - _xlpm.RowsA, _xlpm.SeqRow ) ))
)(A6:B8,A15:B17)</f>
        <v>1</v>
      </c>
      <c r="R6">
        <v>100</v>
      </c>
      <c r="T6" cm="1">
        <f t="array" ref="T6:V11">_xlfn.LAMBDA(_xlpm.matrixA,_xlpm.matrixB,
_xlfn.LET(
_xlpm.DataC, _xlpm.matrixA,
_xlpm.DataD, _xlpm.matrixB,
_xlpm.ColsC, COLUMNS(_xlpm.DataC),
_xlpm.ColsD, COLUMNS(_xlpm.DataD),
_xlpm.NumRows, ROWS(_xlpm.DataC),
_xlpm.SeqCol, _xlfn.SEQUENCE( _xlpm.NumRows ),
_xlpm.SeqRow, _xlfn.SEQUENCE(1, _xlpm.ColsC + _xlpm.ColsD),
IF( _xlpm.SeqRow &lt;= _xlpm.ColsC, INDEX( _xlpm.DataC, _xlpm.SeqCol,_xlpm.SeqRow), INDEX( _xlpm.DataD, _xlpm.SeqCol, _xlpm.SeqRow-_xlpm.ColsC ) ) )
)(A6:B11,C12:C17)</f>
        <v>1</v>
      </c>
      <c r="U6">
        <v>100</v>
      </c>
      <c r="V6">
        <v>7000</v>
      </c>
      <c r="X6" cm="1">
        <f t="array" aca="1" ref="X6:Z10"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))(A6:C17,5,)</f>
        <v>12</v>
      </c>
      <c r="Y6">
        <f ca="1"/>
        <v>1200</v>
      </c>
      <c r="Z6">
        <f ca="1"/>
        <v>12000</v>
      </c>
      <c r="AB6" cm="1">
        <f t="array" aca="1" ref="AB6:AC17" ca="1">_xlfn.LAMBDA(_xlpm.matrix,_xlpm.n,_xlop.dim,_xlop.replacement,
_xlfn.LET(_xlpm.dim,IF(_xlfn.ISOMITTED(_xlpm.dim),1,_xlpm.dim),
_xlpm.matrixClass, IF(_xlpm.dim=1,_xlpm.matrix,IF(_xlpm.dim=2,TRANSPOSE(_xlpm.matrix),#VALUE!)),
_xlpm.matrixSample, IF(_xlpm.replacement = FALSE,
SLICE(_xlfn.SORTBY(_xlpm.matrixClass, _xlfn.RANDARRAY(ROWS(_xlpm.matrixClass))), _xlfn.SEQUENCE(_xlpm.n), 0),
IF(_xlpm.replacement = TRUE,
SLICE(_xlpm.matrixClass, _xlfn.RANDARRAY(_xlpm.n,1,1,ROWS(_xlpm.matrixClass),TRUE), 0 ),
#VALUE!)),
IF(_xlpm.dim=1,_xlpm.matrixSample,TRANSPOSE(_xlpm.matrixSample))
))($A$6:$C$17,2,2,TRUE)</f>
        <v>100</v>
      </c>
      <c r="AC6">
        <f ca="1"/>
        <v>100</v>
      </c>
      <c r="AF6" t="str" cm="1">
        <f t="array" ref="AF6:AH6">_xlfn.LAMBDA(_xlpm.txt,_xlpm.delim,_xlop.n,_xlop.list, _xlfn.LET(_xlpm.p,IFERROR(FIND(_xlpm.delim,_xlpm.txt),0), _xlpm.list,IF(_xlfn.ISOMITTED(_xlpm.list), {""}, _xlpm.list), IF(_xlpm.p,_xludf.SPLIT(MID(_xlpm.txt,_xlpm.p+1,99),_xlpm.delim,_xlpm.n+1, IF(_xlfn.SEQUENCE(1,_xlpm.n+1)&lt;_xlpm.n+1,_xlpm.list,LEFT(_xlpm.txt,_xlpm.p-1))),IF(_xlpm.n=0,_xlpm.txt,IF(_xlfn.SEQUENCE(1,_xlpm.n+1)&lt;_xlpm.n+1,_xlpm.list,_xlpm.txt)) )))("A-B-C","-")</f>
        <v>A</v>
      </c>
      <c r="AG6" t="str">
        <v>B</v>
      </c>
      <c r="AH6" t="str">
        <v>C</v>
      </c>
      <c r="AJ6" t="str" cm="1">
        <f t="array" ref="AJ6:AJ11">_xlfn.LAMBDA(_xlpm.txt,MID(_xlpm.txt,_xlfn.SEQUENCE(LEN(_xlpm.txt)),1))("ABCDEF")</f>
        <v>A</v>
      </c>
    </row>
    <row r="7" spans="1:37" x14ac:dyDescent="0.25">
      <c r="A7" s="10">
        <v>2</v>
      </c>
      <c r="B7" s="11">
        <v>200</v>
      </c>
      <c r="C7" s="11">
        <v>2000</v>
      </c>
      <c r="E7">
        <v>3</v>
      </c>
      <c r="F7">
        <v>300</v>
      </c>
      <c r="H7">
        <v>3</v>
      </c>
      <c r="I7">
        <v>300</v>
      </c>
      <c r="K7">
        <v>3</v>
      </c>
      <c r="L7">
        <v>300</v>
      </c>
      <c r="N7">
        <v>3</v>
      </c>
      <c r="O7">
        <v>300</v>
      </c>
      <c r="Q7">
        <v>2</v>
      </c>
      <c r="R7">
        <v>200</v>
      </c>
      <c r="T7">
        <v>2</v>
      </c>
      <c r="U7">
        <v>200</v>
      </c>
      <c r="V7">
        <v>8000</v>
      </c>
      <c r="X7">
        <f ca="1"/>
        <v>3</v>
      </c>
      <c r="Y7">
        <f ca="1"/>
        <v>300</v>
      </c>
      <c r="Z7">
        <f ca="1"/>
        <v>3000</v>
      </c>
      <c r="AB7">
        <f ca="1"/>
        <v>200</v>
      </c>
      <c r="AC7">
        <f ca="1"/>
        <v>200</v>
      </c>
      <c r="AJ7" t="str">
        <v>B</v>
      </c>
    </row>
    <row r="8" spans="1:37" x14ac:dyDescent="0.25">
      <c r="A8" s="10">
        <v>3</v>
      </c>
      <c r="B8" s="11">
        <v>300</v>
      </c>
      <c r="C8" s="11">
        <v>3000</v>
      </c>
      <c r="E8">
        <v>4</v>
      </c>
      <c r="F8">
        <v>400</v>
      </c>
      <c r="H8">
        <v>4</v>
      </c>
      <c r="I8">
        <v>400</v>
      </c>
      <c r="K8">
        <v>4</v>
      </c>
      <c r="L8">
        <v>400</v>
      </c>
      <c r="N8">
        <v>4</v>
      </c>
      <c r="O8">
        <v>400</v>
      </c>
      <c r="Q8">
        <v>3</v>
      </c>
      <c r="R8">
        <v>300</v>
      </c>
      <c r="T8">
        <v>3</v>
      </c>
      <c r="U8">
        <v>300</v>
      </c>
      <c r="V8">
        <v>9000</v>
      </c>
      <c r="X8">
        <f ca="1"/>
        <v>4</v>
      </c>
      <c r="Y8">
        <f ca="1"/>
        <v>400</v>
      </c>
      <c r="Z8">
        <f ca="1"/>
        <v>4000</v>
      </c>
      <c r="AB8">
        <f ca="1"/>
        <v>300</v>
      </c>
      <c r="AC8">
        <f ca="1"/>
        <v>300</v>
      </c>
      <c r="AJ8" t="str">
        <v>C</v>
      </c>
    </row>
    <row r="9" spans="1:37" x14ac:dyDescent="0.25">
      <c r="A9" s="10">
        <v>4</v>
      </c>
      <c r="B9" s="11">
        <v>400</v>
      </c>
      <c r="C9" s="11">
        <v>4000</v>
      </c>
      <c r="H9">
        <v>5</v>
      </c>
      <c r="I9">
        <v>500</v>
      </c>
      <c r="N9">
        <v>5</v>
      </c>
      <c r="O9">
        <v>500</v>
      </c>
      <c r="Q9">
        <v>10</v>
      </c>
      <c r="R9">
        <v>1000</v>
      </c>
      <c r="T9">
        <v>4</v>
      </c>
      <c r="U9">
        <v>400</v>
      </c>
      <c r="V9">
        <v>10000</v>
      </c>
      <c r="X9">
        <f ca="1"/>
        <v>1</v>
      </c>
      <c r="Y9">
        <f ca="1"/>
        <v>100</v>
      </c>
      <c r="Z9">
        <f ca="1"/>
        <v>1000</v>
      </c>
      <c r="AB9">
        <f ca="1"/>
        <v>400</v>
      </c>
      <c r="AC9">
        <f ca="1"/>
        <v>400</v>
      </c>
      <c r="AJ9" t="str">
        <v>D</v>
      </c>
    </row>
    <row r="10" spans="1:37" x14ac:dyDescent="0.25">
      <c r="A10" s="10">
        <v>5</v>
      </c>
      <c r="B10" s="11">
        <v>500</v>
      </c>
      <c r="C10" s="11">
        <v>5000</v>
      </c>
      <c r="H10">
        <v>6</v>
      </c>
      <c r="I10">
        <v>600</v>
      </c>
      <c r="N10">
        <v>6</v>
      </c>
      <c r="O10">
        <v>600</v>
      </c>
      <c r="Q10">
        <v>11</v>
      </c>
      <c r="R10">
        <v>1100</v>
      </c>
      <c r="T10">
        <v>5</v>
      </c>
      <c r="U10">
        <v>500</v>
      </c>
      <c r="V10">
        <v>11000</v>
      </c>
      <c r="X10">
        <f ca="1"/>
        <v>10</v>
      </c>
      <c r="Y10">
        <f ca="1"/>
        <v>1000</v>
      </c>
      <c r="Z10">
        <f ca="1"/>
        <v>10000</v>
      </c>
      <c r="AB10">
        <f ca="1"/>
        <v>500</v>
      </c>
      <c r="AC10">
        <f ca="1"/>
        <v>500</v>
      </c>
      <c r="AJ10" t="str">
        <v>E</v>
      </c>
    </row>
    <row r="11" spans="1:37" x14ac:dyDescent="0.25">
      <c r="A11" s="10">
        <v>6</v>
      </c>
      <c r="B11" s="11">
        <v>600</v>
      </c>
      <c r="C11" s="11">
        <v>6000</v>
      </c>
      <c r="H11">
        <v>7</v>
      </c>
      <c r="I11">
        <v>700</v>
      </c>
      <c r="N11">
        <v>7</v>
      </c>
      <c r="O11">
        <v>700</v>
      </c>
      <c r="Q11">
        <v>12</v>
      </c>
      <c r="R11">
        <v>1200</v>
      </c>
      <c r="T11">
        <v>6</v>
      </c>
      <c r="U11">
        <v>600</v>
      </c>
      <c r="V11">
        <v>12000</v>
      </c>
      <c r="AB11">
        <f ca="1"/>
        <v>600</v>
      </c>
      <c r="AC11">
        <f ca="1"/>
        <v>600</v>
      </c>
      <c r="AJ11" t="str">
        <v>F</v>
      </c>
    </row>
    <row r="12" spans="1:37" x14ac:dyDescent="0.25">
      <c r="A12" s="10">
        <v>7</v>
      </c>
      <c r="B12" s="11">
        <v>700</v>
      </c>
      <c r="C12" s="11">
        <v>7000</v>
      </c>
      <c r="H12">
        <v>8</v>
      </c>
      <c r="I12">
        <v>800</v>
      </c>
      <c r="N12">
        <v>8</v>
      </c>
      <c r="O12">
        <v>800</v>
      </c>
      <c r="AB12">
        <f ca="1"/>
        <v>700</v>
      </c>
      <c r="AC12">
        <f ca="1"/>
        <v>700</v>
      </c>
    </row>
    <row r="13" spans="1:37" x14ac:dyDescent="0.25">
      <c r="A13" s="10">
        <v>8</v>
      </c>
      <c r="B13" s="11">
        <v>800</v>
      </c>
      <c r="C13" s="11">
        <v>8000</v>
      </c>
      <c r="H13">
        <v>9</v>
      </c>
      <c r="I13">
        <v>900</v>
      </c>
      <c r="N13">
        <v>9</v>
      </c>
      <c r="O13">
        <v>900</v>
      </c>
      <c r="AB13">
        <f ca="1"/>
        <v>800</v>
      </c>
      <c r="AC13">
        <f ca="1"/>
        <v>800</v>
      </c>
    </row>
    <row r="14" spans="1:37" x14ac:dyDescent="0.25">
      <c r="A14" s="10">
        <v>9</v>
      </c>
      <c r="B14" s="11">
        <v>900</v>
      </c>
      <c r="C14" s="11">
        <v>9000</v>
      </c>
      <c r="H14">
        <v>10</v>
      </c>
      <c r="I14">
        <v>1000</v>
      </c>
      <c r="N14">
        <v>10</v>
      </c>
      <c r="O14">
        <v>1000</v>
      </c>
      <c r="AB14">
        <f ca="1"/>
        <v>900</v>
      </c>
      <c r="AC14">
        <f ca="1"/>
        <v>900</v>
      </c>
    </row>
    <row r="15" spans="1:37" x14ac:dyDescent="0.25">
      <c r="A15" s="10">
        <v>10</v>
      </c>
      <c r="B15" s="11">
        <v>1000</v>
      </c>
      <c r="C15" s="11">
        <v>10000</v>
      </c>
      <c r="H15">
        <v>11</v>
      </c>
      <c r="I15">
        <v>1100</v>
      </c>
      <c r="N15">
        <v>11</v>
      </c>
      <c r="O15">
        <v>1100</v>
      </c>
      <c r="AB15">
        <f ca="1"/>
        <v>1000</v>
      </c>
      <c r="AC15">
        <f ca="1"/>
        <v>1000</v>
      </c>
    </row>
    <row r="16" spans="1:37" x14ac:dyDescent="0.25">
      <c r="A16" s="10">
        <v>11</v>
      </c>
      <c r="B16" s="11">
        <v>1100</v>
      </c>
      <c r="C16" s="11">
        <v>11000</v>
      </c>
      <c r="H16">
        <v>12</v>
      </c>
      <c r="I16">
        <v>1200</v>
      </c>
      <c r="N16">
        <v>12</v>
      </c>
      <c r="O16">
        <v>1200</v>
      </c>
      <c r="AB16">
        <f ca="1"/>
        <v>1100</v>
      </c>
      <c r="AC16">
        <f ca="1"/>
        <v>1100</v>
      </c>
    </row>
    <row r="17" spans="1:37" x14ac:dyDescent="0.25">
      <c r="A17" s="10">
        <v>12</v>
      </c>
      <c r="B17" s="11">
        <v>1200</v>
      </c>
      <c r="C17" s="11">
        <v>12000</v>
      </c>
      <c r="AB17">
        <f ca="1"/>
        <v>1200</v>
      </c>
      <c r="AC17">
        <f ca="1"/>
        <v>1200</v>
      </c>
    </row>
    <row r="20" spans="1:37" x14ac:dyDescent="0.25">
      <c r="E20" s="7" t="s">
        <v>8</v>
      </c>
      <c r="F20" s="6"/>
      <c r="G20" s="6"/>
      <c r="H20" s="6"/>
      <c r="I20" s="6"/>
      <c r="J20" s="6"/>
      <c r="K20" s="7"/>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spans="1:37" x14ac:dyDescent="0.25">
      <c r="E21" cm="1">
        <f t="array" ref="E21:F23">SLICE($A$6:$C$17,2,4,1,2)</f>
        <v>2</v>
      </c>
      <c r="F21">
        <v>200</v>
      </c>
      <c r="H21" cm="1">
        <f t="array" ref="H21:I31">SLICE($A$6:$C$17,2,,1,2)</f>
        <v>2</v>
      </c>
      <c r="I21">
        <v>200</v>
      </c>
      <c r="K21" cm="1">
        <f t="array" ref="K21:L23">M($A$6:$C$17,"[2:4,1:2]")</f>
        <v>2</v>
      </c>
      <c r="L21">
        <v>200</v>
      </c>
      <c r="N21" cm="1">
        <f t="array" ref="N21:O31">M($A$6:$C$17,"[2:,1:2]")</f>
        <v>2</v>
      </c>
      <c r="O21">
        <v>200</v>
      </c>
      <c r="Q21" cm="1">
        <f t="array" ref="Q21:R26">VERTCAT($A$6:$B$8,$A$15:$B$17)</f>
        <v>1</v>
      </c>
      <c r="R21">
        <v>100</v>
      </c>
      <c r="T21" cm="1">
        <f t="array" ref="T21:V26">HORZCAT($A$6:$B$11,$C$12:$C$17)</f>
        <v>1</v>
      </c>
      <c r="U21">
        <v>100</v>
      </c>
      <c r="V21">
        <v>7000</v>
      </c>
      <c r="X21" cm="1">
        <f t="array" aca="1" ref="X21:Z25" ca="1">SAMPLE(A6:C17,5)</f>
        <v>1</v>
      </c>
      <c r="Y21">
        <f ca="1"/>
        <v>100</v>
      </c>
      <c r="Z21">
        <f ca="1"/>
        <v>1000</v>
      </c>
      <c r="AB21" cm="1">
        <f t="array" aca="1" ref="AB21:AC32" ca="1">SAMPLE($A$6:$C$17,2,2,TRUE)</f>
        <v>1</v>
      </c>
      <c r="AC21">
        <f ca="1"/>
        <v>100</v>
      </c>
      <c r="AF21" t="str" cm="1">
        <f t="array" ref="AF21:AH21">_xludf.SPLIT("A-B-C","-")</f>
        <v>A</v>
      </c>
      <c r="AG21" t="str">
        <v>B</v>
      </c>
      <c r="AH21" t="str">
        <v>C</v>
      </c>
      <c r="AJ21" t="str" cm="1">
        <f t="array" ref="AJ21:AJ26">TEXTTOCHAR("ABCDEF")</f>
        <v>A</v>
      </c>
    </row>
    <row r="22" spans="1:37" x14ac:dyDescent="0.25">
      <c r="E22">
        <v>3</v>
      </c>
      <c r="F22">
        <v>300</v>
      </c>
      <c r="H22">
        <v>3</v>
      </c>
      <c r="I22">
        <v>300</v>
      </c>
      <c r="K22">
        <v>3</v>
      </c>
      <c r="L22">
        <v>300</v>
      </c>
      <c r="N22">
        <v>3</v>
      </c>
      <c r="O22">
        <v>300</v>
      </c>
      <c r="Q22">
        <v>2</v>
      </c>
      <c r="R22">
        <v>200</v>
      </c>
      <c r="T22">
        <v>2</v>
      </c>
      <c r="U22">
        <v>200</v>
      </c>
      <c r="V22">
        <v>8000</v>
      </c>
      <c r="X22">
        <f ca="1"/>
        <v>12</v>
      </c>
      <c r="Y22">
        <f ca="1"/>
        <v>1200</v>
      </c>
      <c r="Z22">
        <f ca="1"/>
        <v>12000</v>
      </c>
      <c r="AB22">
        <f ca="1"/>
        <v>2</v>
      </c>
      <c r="AC22">
        <f ca="1"/>
        <v>200</v>
      </c>
      <c r="AJ22" t="str">
        <v>B</v>
      </c>
    </row>
    <row r="23" spans="1:37" x14ac:dyDescent="0.25">
      <c r="E23">
        <v>4</v>
      </c>
      <c r="F23">
        <v>400</v>
      </c>
      <c r="H23">
        <v>4</v>
      </c>
      <c r="I23">
        <v>400</v>
      </c>
      <c r="K23">
        <v>4</v>
      </c>
      <c r="L23">
        <v>400</v>
      </c>
      <c r="N23">
        <v>4</v>
      </c>
      <c r="O23">
        <v>400</v>
      </c>
      <c r="Q23">
        <v>3</v>
      </c>
      <c r="R23">
        <v>300</v>
      </c>
      <c r="T23">
        <v>3</v>
      </c>
      <c r="U23">
        <v>300</v>
      </c>
      <c r="V23">
        <v>9000</v>
      </c>
      <c r="X23">
        <f ca="1"/>
        <v>11</v>
      </c>
      <c r="Y23">
        <f ca="1"/>
        <v>1100</v>
      </c>
      <c r="Z23">
        <f ca="1"/>
        <v>11000</v>
      </c>
      <c r="AB23">
        <f ca="1"/>
        <v>3</v>
      </c>
      <c r="AC23">
        <f ca="1"/>
        <v>300</v>
      </c>
      <c r="AJ23" t="str">
        <v>C</v>
      </c>
    </row>
    <row r="24" spans="1:37" x14ac:dyDescent="0.25">
      <c r="H24">
        <v>5</v>
      </c>
      <c r="I24">
        <v>500</v>
      </c>
      <c r="N24">
        <v>5</v>
      </c>
      <c r="O24">
        <v>500</v>
      </c>
      <c r="Q24">
        <v>10</v>
      </c>
      <c r="R24">
        <v>1000</v>
      </c>
      <c r="T24">
        <v>4</v>
      </c>
      <c r="U24">
        <v>400</v>
      </c>
      <c r="V24">
        <v>10000</v>
      </c>
      <c r="X24">
        <f ca="1"/>
        <v>4</v>
      </c>
      <c r="Y24">
        <f ca="1"/>
        <v>400</v>
      </c>
      <c r="Z24">
        <f ca="1"/>
        <v>4000</v>
      </c>
      <c r="AB24">
        <f ca="1"/>
        <v>4</v>
      </c>
      <c r="AC24">
        <f ca="1"/>
        <v>400</v>
      </c>
      <c r="AJ24" t="str">
        <v>D</v>
      </c>
    </row>
    <row r="25" spans="1:37" x14ac:dyDescent="0.25">
      <c r="H25">
        <v>6</v>
      </c>
      <c r="I25">
        <v>600</v>
      </c>
      <c r="N25">
        <v>6</v>
      </c>
      <c r="O25">
        <v>600</v>
      </c>
      <c r="Q25">
        <v>11</v>
      </c>
      <c r="R25">
        <v>1100</v>
      </c>
      <c r="T25">
        <v>5</v>
      </c>
      <c r="U25">
        <v>500</v>
      </c>
      <c r="V25">
        <v>11000</v>
      </c>
      <c r="X25">
        <f ca="1"/>
        <v>6</v>
      </c>
      <c r="Y25">
        <f ca="1"/>
        <v>600</v>
      </c>
      <c r="Z25">
        <f ca="1"/>
        <v>6000</v>
      </c>
      <c r="AB25">
        <f ca="1"/>
        <v>5</v>
      </c>
      <c r="AC25">
        <f ca="1"/>
        <v>500</v>
      </c>
      <c r="AJ25" t="str">
        <v>E</v>
      </c>
    </row>
    <row r="26" spans="1:37" x14ac:dyDescent="0.25">
      <c r="H26">
        <v>7</v>
      </c>
      <c r="I26">
        <v>700</v>
      </c>
      <c r="N26">
        <v>7</v>
      </c>
      <c r="O26">
        <v>700</v>
      </c>
      <c r="Q26">
        <v>12</v>
      </c>
      <c r="R26">
        <v>1200</v>
      </c>
      <c r="T26">
        <v>6</v>
      </c>
      <c r="U26">
        <v>600</v>
      </c>
      <c r="V26">
        <v>12000</v>
      </c>
      <c r="AB26">
        <f ca="1"/>
        <v>6</v>
      </c>
      <c r="AC26">
        <f ca="1"/>
        <v>600</v>
      </c>
      <c r="AJ26" t="str">
        <v>F</v>
      </c>
    </row>
    <row r="27" spans="1:37" x14ac:dyDescent="0.25">
      <c r="H27">
        <v>8</v>
      </c>
      <c r="I27">
        <v>800</v>
      </c>
      <c r="N27">
        <v>8</v>
      </c>
      <c r="O27">
        <v>800</v>
      </c>
      <c r="AB27">
        <f ca="1"/>
        <v>7</v>
      </c>
      <c r="AC27">
        <f ca="1"/>
        <v>700</v>
      </c>
    </row>
    <row r="28" spans="1:37" x14ac:dyDescent="0.25">
      <c r="H28">
        <v>9</v>
      </c>
      <c r="I28">
        <v>900</v>
      </c>
      <c r="N28">
        <v>9</v>
      </c>
      <c r="O28">
        <v>900</v>
      </c>
      <c r="AB28">
        <f ca="1"/>
        <v>8</v>
      </c>
      <c r="AC28">
        <f ca="1"/>
        <v>800</v>
      </c>
    </row>
    <row r="29" spans="1:37" x14ac:dyDescent="0.25">
      <c r="H29">
        <v>10</v>
      </c>
      <c r="I29">
        <v>1000</v>
      </c>
      <c r="N29">
        <v>10</v>
      </c>
      <c r="O29">
        <v>1000</v>
      </c>
      <c r="AB29">
        <f ca="1"/>
        <v>9</v>
      </c>
      <c r="AC29">
        <f ca="1"/>
        <v>900</v>
      </c>
    </row>
    <row r="30" spans="1:37" x14ac:dyDescent="0.25">
      <c r="H30">
        <v>11</v>
      </c>
      <c r="I30">
        <v>1100</v>
      </c>
      <c r="N30">
        <v>11</v>
      </c>
      <c r="O30">
        <v>1100</v>
      </c>
      <c r="AB30">
        <f ca="1"/>
        <v>10</v>
      </c>
      <c r="AC30">
        <f ca="1"/>
        <v>1000</v>
      </c>
    </row>
    <row r="31" spans="1:37" x14ac:dyDescent="0.25">
      <c r="H31">
        <v>12</v>
      </c>
      <c r="I31">
        <v>1200</v>
      </c>
      <c r="N31">
        <v>12</v>
      </c>
      <c r="O31">
        <v>1200</v>
      </c>
      <c r="AB31">
        <f ca="1"/>
        <v>11</v>
      </c>
      <c r="AC31">
        <f ca="1"/>
        <v>1100</v>
      </c>
    </row>
    <row r="32" spans="1:37" x14ac:dyDescent="0.25">
      <c r="AB32">
        <f ca="1"/>
        <v>12</v>
      </c>
      <c r="AC32">
        <f ca="1"/>
        <v>1200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FA3B-3932-0343-A170-6ECBA7142B27}">
  <sheetPr codeName="Planilha2">
    <tabColor theme="9" tint="0.59999389629810485"/>
  </sheetPr>
  <dimension ref="A1:Q30"/>
  <sheetViews>
    <sheetView workbookViewId="0">
      <selection activeCell="G26" sqref="G26"/>
    </sheetView>
  </sheetViews>
  <sheetFormatPr defaultColWidth="11.42578125" defaultRowHeight="15" x14ac:dyDescent="0.25"/>
  <cols>
    <col min="7" max="7" width="12" bestFit="1" customWidth="1"/>
    <col min="9" max="10" width="12" bestFit="1" customWidth="1"/>
  </cols>
  <sheetData>
    <row r="1" spans="1:12" ht="21" x14ac:dyDescent="0.35">
      <c r="A1" s="3" t="s">
        <v>159</v>
      </c>
    </row>
    <row r="3" spans="1:12" x14ac:dyDescent="0.25">
      <c r="A3" s="5" t="s">
        <v>157</v>
      </c>
      <c r="B3" s="5" t="s">
        <v>1</v>
      </c>
      <c r="C3" s="5" t="s">
        <v>2</v>
      </c>
      <c r="D3" s="5" t="s">
        <v>3</v>
      </c>
      <c r="E3" s="5" t="s">
        <v>13</v>
      </c>
      <c r="G3" s="44" t="s">
        <v>158</v>
      </c>
    </row>
    <row r="4" spans="1:12" x14ac:dyDescent="0.25">
      <c r="A4" s="10">
        <v>1</v>
      </c>
      <c r="B4" s="10">
        <v>1</v>
      </c>
      <c r="C4" s="11">
        <v>100</v>
      </c>
      <c r="D4" s="11">
        <v>10</v>
      </c>
      <c r="E4" s="12">
        <f ca="1">10+B4+2*C4+3*D4 + RAND()</f>
        <v>241.37853242887405</v>
      </c>
      <c r="G4" s="1" t="s">
        <v>3</v>
      </c>
      <c r="H4" s="1" t="s">
        <v>2</v>
      </c>
      <c r="I4" s="1" t="s">
        <v>1</v>
      </c>
      <c r="J4" s="1" t="s">
        <v>157</v>
      </c>
    </row>
    <row r="5" spans="1:12" x14ac:dyDescent="0.25">
      <c r="A5" s="10">
        <v>1</v>
      </c>
      <c r="B5" s="10">
        <v>20</v>
      </c>
      <c r="C5" s="11">
        <v>200</v>
      </c>
      <c r="D5" s="11">
        <v>15</v>
      </c>
      <c r="E5" s="12">
        <f t="shared" ref="E5:E15" ca="1" si="0">10+B5+2*C5+3*D5 + RAND()</f>
        <v>475.46218974248234</v>
      </c>
      <c r="G5" s="42" cm="1">
        <f t="array" aca="1" ref="G5:K9" ca="1">LINEST($E$4:$E$15,$A$4:$D$15,FALSE,TRUE)</f>
        <v>3.0045971701009906</v>
      </c>
      <c r="H5" s="42">
        <f ca="1"/>
        <v>1.9999613278496531</v>
      </c>
      <c r="I5" s="42">
        <f ca="1"/>
        <v>0.99902556046038848</v>
      </c>
      <c r="J5" s="42">
        <f ca="1"/>
        <v>10.418273473824762</v>
      </c>
      <c r="K5" s="42">
        <f ca="1"/>
        <v>0</v>
      </c>
    </row>
    <row r="6" spans="1:12" x14ac:dyDescent="0.25">
      <c r="A6" s="10">
        <v>1</v>
      </c>
      <c r="B6" s="10">
        <v>3</v>
      </c>
      <c r="C6" s="11">
        <v>300</v>
      </c>
      <c r="D6" s="11">
        <v>24</v>
      </c>
      <c r="E6" s="12">
        <f t="shared" ca="1" si="0"/>
        <v>685.6707029650521</v>
      </c>
      <c r="G6" s="45">
        <f ca="1"/>
        <v>1.4868423395025003E-3</v>
      </c>
      <c r="H6" s="45">
        <f ca="1"/>
        <v>1.6691530511754653E-4</v>
      </c>
      <c r="I6" s="45">
        <f ca="1"/>
        <v>1.5279747546103606E-3</v>
      </c>
      <c r="J6" s="45">
        <f ca="1"/>
        <v>0.12839773683076258</v>
      </c>
      <c r="K6" s="45" t="e">
        <f ca="1"/>
        <v>#N/A</v>
      </c>
    </row>
    <row r="7" spans="1:12" x14ac:dyDescent="0.25">
      <c r="A7" s="10">
        <v>1</v>
      </c>
      <c r="B7" s="10">
        <v>40</v>
      </c>
      <c r="C7" s="11">
        <v>400</v>
      </c>
      <c r="D7" s="11">
        <v>80</v>
      </c>
      <c r="E7" s="12">
        <f t="shared" ca="1" si="0"/>
        <v>1090.6598459217259</v>
      </c>
      <c r="G7" s="43">
        <f ca="1"/>
        <v>0.99999999304204834</v>
      </c>
      <c r="H7" s="43">
        <f ca="1"/>
        <v>0.16687734076571481</v>
      </c>
      <c r="I7" s="43" t="e">
        <f ca="1"/>
        <v>#N/A</v>
      </c>
      <c r="J7" s="43" t="e">
        <f ca="1"/>
        <v>#N/A</v>
      </c>
      <c r="K7" s="43" t="e">
        <f ca="1"/>
        <v>#N/A</v>
      </c>
    </row>
    <row r="8" spans="1:12" x14ac:dyDescent="0.25">
      <c r="A8" s="10">
        <v>1</v>
      </c>
      <c r="B8" s="10">
        <v>5</v>
      </c>
      <c r="C8" s="11">
        <v>500</v>
      </c>
      <c r="D8" s="11">
        <v>99</v>
      </c>
      <c r="E8" s="12">
        <f t="shared" ca="1" si="0"/>
        <v>1312.9721663628013</v>
      </c>
      <c r="G8" s="43">
        <f ca="1"/>
        <v>287440914.20505613</v>
      </c>
      <c r="H8" s="43">
        <f ca="1"/>
        <v>8</v>
      </c>
      <c r="I8" s="43" t="e">
        <f ca="1"/>
        <v>#N/A</v>
      </c>
      <c r="J8" s="43" t="e">
        <f ca="1"/>
        <v>#N/A</v>
      </c>
      <c r="K8" s="43" t="e">
        <f ca="1"/>
        <v>#N/A</v>
      </c>
    </row>
    <row r="9" spans="1:12" x14ac:dyDescent="0.25">
      <c r="A9" s="10">
        <v>1</v>
      </c>
      <c r="B9" s="10">
        <v>6</v>
      </c>
      <c r="C9" s="11">
        <v>600</v>
      </c>
      <c r="D9" s="11">
        <v>101</v>
      </c>
      <c r="E9" s="12">
        <f t="shared" ca="1" si="0"/>
        <v>1519.7301798389005</v>
      </c>
      <c r="G9" s="43">
        <f ca="1"/>
        <v>32018672.194246303</v>
      </c>
      <c r="H9" s="43">
        <f ca="1"/>
        <v>0.22278437488829203</v>
      </c>
      <c r="I9" s="43" t="e">
        <f ca="1"/>
        <v>#N/A</v>
      </c>
      <c r="J9" s="43" t="e">
        <f ca="1"/>
        <v>#N/A</v>
      </c>
      <c r="K9" s="43" t="e">
        <f ca="1"/>
        <v>#N/A</v>
      </c>
    </row>
    <row r="10" spans="1:12" x14ac:dyDescent="0.25">
      <c r="A10" s="10">
        <v>1</v>
      </c>
      <c r="B10" s="10">
        <v>2</v>
      </c>
      <c r="C10" s="11">
        <v>700</v>
      </c>
      <c r="D10" s="11">
        <v>78</v>
      </c>
      <c r="E10" s="12">
        <f t="shared" ca="1" si="0"/>
        <v>1646.7437861238384</v>
      </c>
    </row>
    <row r="11" spans="1:12" x14ac:dyDescent="0.25">
      <c r="A11" s="10">
        <v>1</v>
      </c>
      <c r="B11" s="10">
        <v>8</v>
      </c>
      <c r="C11" s="11">
        <v>800</v>
      </c>
      <c r="D11" s="11">
        <v>50</v>
      </c>
      <c r="E11" s="12">
        <f t="shared" ca="1" si="0"/>
        <v>1768.841004294025</v>
      </c>
    </row>
    <row r="12" spans="1:12" x14ac:dyDescent="0.25">
      <c r="A12" s="10">
        <v>1</v>
      </c>
      <c r="B12" s="10">
        <v>9</v>
      </c>
      <c r="C12" s="11">
        <v>900</v>
      </c>
      <c r="D12" s="11">
        <v>27</v>
      </c>
      <c r="E12" s="12">
        <f t="shared" ca="1" si="0"/>
        <v>1900.2098186420271</v>
      </c>
      <c r="G12" s="1" t="s">
        <v>157</v>
      </c>
      <c r="H12" s="1" t="s">
        <v>1</v>
      </c>
      <c r="I12" s="1" t="s">
        <v>2</v>
      </c>
      <c r="J12" s="1" t="s">
        <v>3</v>
      </c>
      <c r="L12" s="7" t="s">
        <v>105</v>
      </c>
    </row>
    <row r="13" spans="1:12" x14ac:dyDescent="0.25">
      <c r="A13" s="10">
        <v>1</v>
      </c>
      <c r="B13" s="10">
        <v>100</v>
      </c>
      <c r="C13" s="11">
        <v>1000</v>
      </c>
      <c r="D13" s="11">
        <v>30</v>
      </c>
      <c r="E13" s="12">
        <f t="shared" ca="1" si="0"/>
        <v>2200.3328137007138</v>
      </c>
      <c r="G13" s="41" cm="1">
        <f t="array" aca="1" ref="G13:J13" ca="1">TRANSPOSE( OLS_COEFF( E4:E15, SLICE(A4:E15,,,MATCH(G12:J12,A3:E3)) ) )</f>
        <v>10.418273473820136</v>
      </c>
      <c r="H13" s="41">
        <f ca="1"/>
        <v>0.99902556046040303</v>
      </c>
      <c r="I13" s="41">
        <f ca="1"/>
        <v>1.9999613278496553</v>
      </c>
      <c r="J13" s="41">
        <f ca="1"/>
        <v>3.0045971701010075</v>
      </c>
      <c r="L13" s="40" cm="1">
        <f t="array" aca="1" ref="L13:L16" ca="1">_xlfn.LAMBDA(_xlpm.y,_xlpm.X,MMULT(MINVERSE(MMULT(TRANSPOSE(_xlpm.X),_xlpm.X)),MMULT(TRANSPOSE(_xlpm.X),_xlpm.y)))(E4:E15,A4:D15)</f>
        <v>10.418273473820136</v>
      </c>
    </row>
    <row r="14" spans="1:12" x14ac:dyDescent="0.25">
      <c r="A14" s="10">
        <v>1</v>
      </c>
      <c r="B14" s="10">
        <v>11</v>
      </c>
      <c r="C14" s="11">
        <v>1100</v>
      </c>
      <c r="D14" s="11">
        <v>10</v>
      </c>
      <c r="E14" s="12">
        <f t="shared" ca="1" si="0"/>
        <v>2251.4578061722223</v>
      </c>
      <c r="L14" s="40">
        <f ca="1"/>
        <v>0.99902556046040303</v>
      </c>
    </row>
    <row r="15" spans="1:12" x14ac:dyDescent="0.25">
      <c r="A15" s="10">
        <v>1</v>
      </c>
      <c r="B15" s="10">
        <v>120</v>
      </c>
      <c r="C15" s="11">
        <v>1200</v>
      </c>
      <c r="D15" s="11">
        <v>18</v>
      </c>
      <c r="E15" s="12">
        <f t="shared" ca="1" si="0"/>
        <v>2584.4337660648953</v>
      </c>
      <c r="L15" s="40">
        <f ca="1"/>
        <v>1.9999613278496553</v>
      </c>
    </row>
    <row r="16" spans="1:12" x14ac:dyDescent="0.25">
      <c r="L16" s="40">
        <f ca="1"/>
        <v>3.0045971701010075</v>
      </c>
    </row>
    <row r="18" spans="1:17" x14ac:dyDescent="0.25">
      <c r="A18" s="7" t="s">
        <v>106</v>
      </c>
      <c r="B18" s="6"/>
      <c r="D18" s="7" t="s">
        <v>107</v>
      </c>
      <c r="E18" s="6"/>
      <c r="G18" s="7" t="s">
        <v>153</v>
      </c>
      <c r="H18" s="6"/>
      <c r="I18" s="6"/>
      <c r="J18" s="6"/>
      <c r="K18" s="6"/>
      <c r="L18" s="6"/>
      <c r="M18" s="6"/>
      <c r="N18" s="6"/>
      <c r="P18" s="7" t="s">
        <v>151</v>
      </c>
      <c r="Q18" s="6"/>
    </row>
    <row r="19" spans="1:17" x14ac:dyDescent="0.25">
      <c r="A19" s="38" cm="1">
        <f t="array" aca="1" ref="A19:A30" ca="1">_xlfn.LAMBDA(_xlpm.y,_xlpm.X,_xlop.coeff,_xlfn.LET(_xlpm.bbeta, IF(_xlfn.ISOMITTED(_xlpm.coeff), OLS_COEFF(_xlpm.y,_xlpm.X), _xlpm.coeff), MMULT(_xlpm.X,_xlpm.bbeta)))($E$4:$E$15,$A$4:$D$15)</f>
        <v>241.45940352025616</v>
      </c>
      <c r="B19" cm="1">
        <f t="array" aca="1" ref="B19:B30" ca="1">OLS_FITTED($E$4:$E$15,$A$4:$D$15)</f>
        <v>241.45940352025616</v>
      </c>
      <c r="D19" s="38" cm="1">
        <f t="array" aca="1" ref="D19:D30" ca="1">_xlfn.LAMBDA(_xlpm.y,_xlpm.X,_xlop.coeff,_xlfn.LET(_xlpm.bbeta, IF(_xlfn.ISOMITTED(_xlpm.coeff), OLS_COEFF(_xlpm.y,_xlpm.X), _xlpm.coeff), _xlpm.y - MMULT(_xlpm.X,_xlpm.bbeta)))($E$4:$E$15,$A$4:$D$15)</f>
        <v>-8.0871091382107352E-2</v>
      </c>
      <c r="E19" cm="1">
        <f t="array" aca="1" ref="E19:E30" ca="1">OLS_RESIDUALS($E$4:$E$15,$A$4:$D$15)</f>
        <v>-8.0871091382107352E-2</v>
      </c>
      <c r="G19" s="38" cm="1">
        <f t="array" aca="1" ref="G19:J22" ca="1">_xlfn.LAMBDA(_xlpm.y,_xlpm.X,_xlop.coeff,_xlfn.LET(_xlpm.bbeta, IF(_xlfn.ISOMITTED(_xlpm.coeff), OLS_COEFF(_xlpm.y,_xlpm.X), _xlpm.coeff),_xlpm.XX,MINVERSE(MMULT(TRANSPOSE(_xlpm.X),_xlpm.X)), ( SUM(OLS_RESIDUALS(_xlpm.y,_xlpm.X,_xlpm.bbeta)^2) / (ROWS(_xlpm.X) - COLUMNS(_xlpm.X) ) ) *_xlpm.XX))($E$4:$E$15,$A$4:$D$15)</f>
        <v>1.6485978823260979E-2</v>
      </c>
      <c r="H19" s="38">
        <f ca="1"/>
        <v>3.2923968279165494E-6</v>
      </c>
      <c r="I19" s="38">
        <f ca="1"/>
        <v>-1.4218563381631884E-5</v>
      </c>
      <c r="J19" s="38">
        <f ca="1"/>
        <v>-1.1097589227018604E-4</v>
      </c>
      <c r="K19" s="31" cm="1">
        <f t="array" aca="1" ref="K19:N22" ca="1">OLS_VARCOV(E4:E15,A4:D15)</f>
        <v>1.6485978823260979E-2</v>
      </c>
      <c r="L19" s="31">
        <f ca="1"/>
        <v>3.2923968279165494E-6</v>
      </c>
      <c r="M19" s="31">
        <f ca="1"/>
        <v>-1.4218563381631884E-5</v>
      </c>
      <c r="N19" s="31">
        <f ca="1"/>
        <v>-1.1097589227018604E-4</v>
      </c>
      <c r="P19" s="39" cm="1">
        <f t="array" aca="1" ref="P19:P22" ca="1">_xlfn.LAMBDA(_xlpm.y,_xlpm.X,_xlop.coeff,_xlfn.LET(_xlpm.bbeta, IF(_xlfn.ISOMITTED(_xlpm.coeff), OLS_COEFF(_xlpm.y,_xlpm.X), _xlpm.coeff), DIAG(SQRT(OLS_VARCOV(_xlpm.y,_xlpm.X,_xlpm.coeff))) ))($E$4:$E$15,$A$4:$D$15)</f>
        <v>0.12839773683075953</v>
      </c>
      <c r="Q19" s="46" cm="1">
        <f t="array" aca="1" ref="Q19:Q22" ca="1">OLS_COEFF_STDEV($E$4:$E$15,$A$4:$D$15)</f>
        <v>0.12839773683075953</v>
      </c>
    </row>
    <row r="20" spans="1:17" x14ac:dyDescent="0.25">
      <c r="A20" s="38">
        <f ca="1"/>
        <v>475.4600078044744</v>
      </c>
      <c r="B20">
        <f ca="1"/>
        <v>475.4600078044744</v>
      </c>
      <c r="D20" s="38">
        <f ca="1"/>
        <v>2.1819380079364237E-3</v>
      </c>
      <c r="E20">
        <f ca="1"/>
        <v>2.1819380079364237E-3</v>
      </c>
      <c r="G20" s="38">
        <f ca="1"/>
        <v>3.2923968279165503E-6</v>
      </c>
      <c r="H20" s="38">
        <f ca="1"/>
        <v>2.3347068507264815E-6</v>
      </c>
      <c r="I20" s="38">
        <f ca="1"/>
        <v>-1.3727721140973225E-7</v>
      </c>
      <c r="J20" s="38">
        <f ca="1"/>
        <v>5.0271911545167255E-7</v>
      </c>
      <c r="K20" s="31">
        <f ca="1"/>
        <v>3.2923968279165503E-6</v>
      </c>
      <c r="L20" s="31">
        <f ca="1"/>
        <v>2.3347068507264815E-6</v>
      </c>
      <c r="M20" s="31">
        <f ca="1"/>
        <v>-1.3727721140973225E-7</v>
      </c>
      <c r="N20" s="31">
        <f ca="1"/>
        <v>5.0271911545167255E-7</v>
      </c>
      <c r="P20" s="39">
        <f ca="1"/>
        <v>1.5279747546103246E-3</v>
      </c>
      <c r="Q20" s="46">
        <f ca="1"/>
        <v>1.5279747546103246E-3</v>
      </c>
    </row>
    <row r="21" spans="1:17" x14ac:dyDescent="0.25">
      <c r="A21" s="38">
        <f ca="1"/>
        <v>685.51408059252219</v>
      </c>
      <c r="B21">
        <f ca="1"/>
        <v>685.51408059252219</v>
      </c>
      <c r="D21" s="38">
        <f ca="1"/>
        <v>0.15662237252990963</v>
      </c>
      <c r="E21">
        <f ca="1"/>
        <v>0.15662237252990963</v>
      </c>
      <c r="G21" s="38">
        <f ca="1"/>
        <v>-1.4218563381631879E-5</v>
      </c>
      <c r="H21" s="38">
        <f ca="1"/>
        <v>-1.3727721140973225E-7</v>
      </c>
      <c r="I21" s="38">
        <f ca="1"/>
        <v>2.7860719082482332E-8</v>
      </c>
      <c r="J21" s="38">
        <f ca="1"/>
        <v>-3.8298054531671764E-9</v>
      </c>
      <c r="K21" s="31">
        <f ca="1"/>
        <v>-1.4218563381631879E-5</v>
      </c>
      <c r="L21" s="31">
        <f ca="1"/>
        <v>-1.3727721140973225E-7</v>
      </c>
      <c r="M21" s="31">
        <f ca="1"/>
        <v>2.7860719082482332E-8</v>
      </c>
      <c r="N21" s="31">
        <f ca="1"/>
        <v>-3.8298054531671764E-9</v>
      </c>
      <c r="P21" s="39">
        <f ca="1"/>
        <v>1.6691530511754257E-4</v>
      </c>
      <c r="Q21" s="46">
        <f ca="1"/>
        <v>1.6691530511754257E-4</v>
      </c>
    </row>
    <row r="22" spans="1:17" x14ac:dyDescent="0.25">
      <c r="A22" s="38">
        <f ca="1"/>
        <v>1090.7316006401791</v>
      </c>
      <c r="B22">
        <f ca="1"/>
        <v>1090.7316006401791</v>
      </c>
      <c r="D22" s="38">
        <f ca="1"/>
        <v>-7.1754718453121313E-2</v>
      </c>
      <c r="E22">
        <f ca="1"/>
        <v>-7.1754718453121313E-2</v>
      </c>
      <c r="G22" s="38">
        <f ca="1"/>
        <v>-1.1097589227018601E-4</v>
      </c>
      <c r="H22" s="38">
        <f ca="1"/>
        <v>5.0271911545167244E-7</v>
      </c>
      <c r="I22" s="38">
        <f ca="1"/>
        <v>-3.8298054531671276E-9</v>
      </c>
      <c r="J22" s="38">
        <f ca="1"/>
        <v>2.2107001425371639E-6</v>
      </c>
      <c r="K22" s="31">
        <f ca="1"/>
        <v>-1.1097589227018601E-4</v>
      </c>
      <c r="L22" s="31">
        <f ca="1"/>
        <v>5.0271911545167244E-7</v>
      </c>
      <c r="M22" s="31">
        <f ca="1"/>
        <v>-3.8298054531671276E-9</v>
      </c>
      <c r="N22" s="31">
        <f ca="1"/>
        <v>2.2107001425371639E-6</v>
      </c>
      <c r="P22" s="39">
        <f ca="1"/>
        <v>1.4868423395024651E-3</v>
      </c>
      <c r="Q22" s="46">
        <f ca="1"/>
        <v>1.4868423395024651E-3</v>
      </c>
    </row>
    <row r="23" spans="1:17" x14ac:dyDescent="0.25">
      <c r="A23" s="38">
        <f ca="1"/>
        <v>1312.8491850409496</v>
      </c>
      <c r="B23">
        <f ca="1"/>
        <v>1312.8491850409496</v>
      </c>
      <c r="D23" s="38">
        <f ca="1"/>
        <v>0.12298132185173927</v>
      </c>
      <c r="E23">
        <f ca="1"/>
        <v>0.12298132185173927</v>
      </c>
    </row>
    <row r="24" spans="1:17" x14ac:dyDescent="0.25">
      <c r="A24" s="38">
        <f ca="1"/>
        <v>1519.8535377265775</v>
      </c>
      <c r="B24">
        <f ca="1"/>
        <v>1519.8535377265775</v>
      </c>
      <c r="D24" s="38">
        <f ca="1"/>
        <v>-0.12335788767700251</v>
      </c>
      <c r="E24">
        <f ca="1"/>
        <v>-0.12335788767700251</v>
      </c>
    </row>
    <row r="25" spans="1:17" x14ac:dyDescent="0.25">
      <c r="A25" s="38">
        <f ca="1"/>
        <v>1646.7478333573783</v>
      </c>
      <c r="B25">
        <f ca="1"/>
        <v>1646.7478333573783</v>
      </c>
      <c r="D25" s="38">
        <f ca="1"/>
        <v>-4.047233539949957E-3</v>
      </c>
      <c r="E25">
        <f ca="1"/>
        <v>-4.047233539949957E-3</v>
      </c>
    </row>
    <row r="26" spans="1:17" x14ac:dyDescent="0.25">
      <c r="A26" s="38">
        <f ca="1"/>
        <v>1768.609398742278</v>
      </c>
      <c r="B26">
        <f ca="1"/>
        <v>1768.609398742278</v>
      </c>
      <c r="D26" s="38">
        <f ca="1"/>
        <v>0.23160555174695219</v>
      </c>
      <c r="E26">
        <f ca="1"/>
        <v>0.23160555174695219</v>
      </c>
    </row>
    <row r="27" spans="1:17" x14ac:dyDescent="0.25">
      <c r="A27" s="38">
        <f ca="1"/>
        <v>1900.4988221753808</v>
      </c>
      <c r="B27">
        <f ca="1"/>
        <v>1900.4988221753808</v>
      </c>
      <c r="D27" s="38">
        <f ca="1"/>
        <v>-0.2890035333537071</v>
      </c>
      <c r="E27">
        <f ca="1"/>
        <v>-0.2890035333537071</v>
      </c>
    </row>
    <row r="28" spans="1:17" x14ac:dyDescent="0.25">
      <c r="A28" s="38">
        <f ca="1"/>
        <v>2200.4200724725461</v>
      </c>
      <c r="B28">
        <f ca="1"/>
        <v>2200.4200724725461</v>
      </c>
      <c r="D28" s="38">
        <f ca="1"/>
        <v>-8.725877183223929E-2</v>
      </c>
      <c r="E28">
        <f ca="1"/>
        <v>-8.725877183223929E-2</v>
      </c>
    </row>
    <row r="29" spans="1:17" x14ac:dyDescent="0.25">
      <c r="A29" s="38">
        <f ca="1"/>
        <v>2251.4109869745153</v>
      </c>
      <c r="B29">
        <f ca="1"/>
        <v>2251.4109869745153</v>
      </c>
      <c r="D29" s="38">
        <f ca="1"/>
        <v>4.6819197707009153E-2</v>
      </c>
      <c r="E29">
        <f ca="1"/>
        <v>4.6819197707009153E-2</v>
      </c>
    </row>
    <row r="30" spans="1:17" x14ac:dyDescent="0.25">
      <c r="A30" s="38">
        <f ca="1"/>
        <v>2584.3376832104732</v>
      </c>
      <c r="B30">
        <f ca="1"/>
        <v>2584.3376832104732</v>
      </c>
      <c r="D30" s="38">
        <f ca="1"/>
        <v>9.6082854422093078E-2</v>
      </c>
      <c r="E30">
        <f ca="1"/>
        <v>9.6082854422093078E-2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74DA9-BB91-4799-B509-ADCAA62A4B42}">
  <sheetPr>
    <tabColor theme="9" tint="0.59999389629810485"/>
  </sheetPr>
  <dimension ref="A1:X297"/>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10.42578125" bestFit="1" customWidth="1"/>
    <col min="9" max="9" width="10.5703125" bestFit="1" customWidth="1"/>
    <col min="10" max="10" width="10.42578125" customWidth="1"/>
    <col min="11" max="11" width="10.5703125" bestFit="1" customWidth="1"/>
    <col min="13" max="15" width="9" style="16" customWidth="1"/>
    <col min="16" max="24" width="8.85546875" style="16"/>
  </cols>
  <sheetData>
    <row r="1" spans="1:24" x14ac:dyDescent="0.3">
      <c r="A1" s="17" t="s">
        <v>214</v>
      </c>
      <c r="M1" s="15"/>
      <c r="N1" s="15"/>
      <c r="O1" s="15"/>
      <c r="P1" s="15"/>
      <c r="Q1" s="15"/>
      <c r="R1" s="15"/>
      <c r="S1" s="15"/>
      <c r="T1" s="15"/>
      <c r="U1" s="15"/>
      <c r="V1" s="15"/>
      <c r="W1" s="15"/>
      <c r="X1" s="15"/>
    </row>
    <row r="2" spans="1:24" x14ac:dyDescent="0.3">
      <c r="A2" s="18" t="s">
        <v>215</v>
      </c>
      <c r="M2" s="15"/>
      <c r="N2" s="15"/>
      <c r="O2" s="15"/>
      <c r="P2" s="15"/>
      <c r="Q2" s="15"/>
      <c r="R2" s="15"/>
      <c r="S2" s="15"/>
      <c r="T2" s="15"/>
      <c r="U2" s="15"/>
      <c r="V2" s="15"/>
      <c r="W2" s="15"/>
      <c r="X2" s="15"/>
    </row>
    <row r="4" spans="1:24" ht="15.75" x14ac:dyDescent="0.25">
      <c r="A4" s="2" t="s">
        <v>15</v>
      </c>
      <c r="B4" s="2" t="s">
        <v>16</v>
      </c>
    </row>
    <row r="5" spans="1:24" ht="15.75" x14ac:dyDescent="0.25">
      <c r="A5" s="24" t="s">
        <v>180</v>
      </c>
      <c r="B5" s="25" t="s">
        <v>182</v>
      </c>
    </row>
    <row r="6" spans="1:24" ht="31.5" x14ac:dyDescent="0.25">
      <c r="A6" s="24" t="s">
        <v>217</v>
      </c>
      <c r="B6" s="25" t="s">
        <v>218</v>
      </c>
    </row>
    <row r="7" spans="1:24" ht="47.25" x14ac:dyDescent="0.25">
      <c r="A7" s="24" t="s">
        <v>221</v>
      </c>
      <c r="B7" s="25" t="s">
        <v>222</v>
      </c>
      <c r="D7" s="1" t="s">
        <v>17</v>
      </c>
      <c r="G7" s="14" t="s">
        <v>180</v>
      </c>
      <c r="H7" s="14" t="s">
        <v>217</v>
      </c>
      <c r="I7" s="14" t="s">
        <v>221</v>
      </c>
      <c r="K7" s="14" t="s">
        <v>221</v>
      </c>
      <c r="M7" s="16" t="s">
        <v>216</v>
      </c>
      <c r="O7" s="16" t="s">
        <v>225</v>
      </c>
      <c r="P7" s="16" t="s">
        <v>226</v>
      </c>
    </row>
    <row r="8" spans="1:24" x14ac:dyDescent="0.3">
      <c r="D8" t="s">
        <v>219</v>
      </c>
      <c r="F8" s="54">
        <v>37622</v>
      </c>
      <c r="G8" s="57">
        <v>100.45</v>
      </c>
      <c r="H8" s="59">
        <v>1600</v>
      </c>
      <c r="I8" s="59" t="s">
        <v>224</v>
      </c>
      <c r="K8" s="59" t="s">
        <v>223</v>
      </c>
      <c r="M8" s="58" cm="1">
        <f t="array" ref="M8:M237">_xlfn.LAMBDA(_xlpm.values,_xlpm.lambda,_xlop.trendCycle,
_xlfn.LET(
_xlpm.trendCycle,
IF( _xlfn.ISOMITTED(_xlpm.trendCycle), "t", LOWER(_xlpm.trendCycle) ),
_xlpm.ident,
EYE(LENGTH(_xlpm.values)),
_xlpm.pentad0,
VERTCAT( VERTCAT( {1;5;6}, 6 * ONES(LENGTH(_xlpm.values) - 6,1)), {6;5;1} ),
_xlpm.pentad1,
VERTCAT( VERTCAT( {-2;-4}, -4 * ONES(LENGTH(_xlpm.values) - 5,1)), {-4;-2} ),
_xlpm.pentad2,
ONES(LENGTH(_xlpm.values) - 2,1),
_xlpm.pentad,
_xlfn.LAMBDA(_xlpm.matrix0,_xlpm.matrix1,_xlpm.matrix2,
_xlfn.MAKEARRAY( LENGTH(_xlpm.matrix0), LENGTH(_xlpm.matrix0),
_xlfn.LAMBDA(_xlpm.row,_xlpm.col,
IF( _xlpm.row = _xlpm.col, INDEX(_xlpm.matrix0,_xlpm.row,1), IF( OR(_xlpm.row=_xlpm.col+1, _xlpm.col=_xlpm.row+1), INDEX(_xlpm.matrix1, MIN(_xlpm.row,_xlpm.col),1), IF( OR(_xlpm.row=_xlpm.col+2, _xlpm.col=_xlpm.row+2), INDEX(_xlpm.matrix2, MIN(_xlpm.row,_xlpm.col),1), 0 ) ) ) )  )
)(_xlpm.pentad0,_xlpm.pentad1,_xlpm.pentad2),
_xlpm.trend,
MMULT( MINVERSE( _xlpm.lambda * _xlpm.pentad + _xlpm.ident), _xlpm.values),
IF(_xlpm.trendCycle = "t", _xlpm.trend, IF(_xlpm.trendCycle = "c", _xlpm.values - _xlpm.trend, "#trendCycle must be either ""t"" or ""c""") )
)
)($G$8:$G$237,$H$8,$I$8)</f>
        <v>99.436846900816306</v>
      </c>
      <c r="N8" s="58"/>
      <c r="O8" s="58" cm="1">
        <f t="array" ref="O8:O237">HPFILTER($G$8:$G$237,$H$8,$I$8)</f>
        <v>99.436846900816306</v>
      </c>
      <c r="P8" s="16" cm="1">
        <f t="array" ref="P8:P237">HPFILTER($G$8:$G$237,$H$8,$K$8)</f>
        <v>1.0131530991836968</v>
      </c>
    </row>
    <row r="9" spans="1:24" x14ac:dyDescent="0.3">
      <c r="D9" t="s">
        <v>220</v>
      </c>
      <c r="F9" s="54">
        <v>37653</v>
      </c>
      <c r="G9" s="57">
        <v>101.95</v>
      </c>
      <c r="M9" s="58">
        <v>99.778505732491766</v>
      </c>
      <c r="N9" s="58"/>
      <c r="O9" s="58">
        <v>99.778505732491766</v>
      </c>
      <c r="P9" s="16">
        <v>2.1714942675082369</v>
      </c>
    </row>
    <row r="10" spans="1:24" x14ac:dyDescent="0.3">
      <c r="D10" t="s">
        <v>170</v>
      </c>
      <c r="F10" s="54">
        <v>37681</v>
      </c>
      <c r="G10" s="57">
        <v>102.03</v>
      </c>
      <c r="M10" s="58">
        <v>100.12079778485426</v>
      </c>
      <c r="N10" s="58"/>
      <c r="O10" s="58">
        <v>100.12079778485426</v>
      </c>
      <c r="P10" s="16">
        <v>1.90920221514574</v>
      </c>
    </row>
    <row r="11" spans="1:24" ht="18.75" customHeight="1" x14ac:dyDescent="0.3">
      <c r="D11" s="62"/>
      <c r="F11" s="54">
        <v>37712</v>
      </c>
      <c r="G11" s="57">
        <v>100.92</v>
      </c>
      <c r="M11" s="58">
        <v>100.46571346250781</v>
      </c>
      <c r="N11" s="58"/>
      <c r="O11" s="58">
        <v>100.46571346250781</v>
      </c>
      <c r="P11" s="16">
        <v>0.4542865374921945</v>
      </c>
    </row>
    <row r="12" spans="1:24" x14ac:dyDescent="0.3">
      <c r="D12" s="62"/>
      <c r="F12" s="54">
        <v>37742</v>
      </c>
      <c r="G12" s="57">
        <v>99.89</v>
      </c>
      <c r="M12" s="58">
        <v>100.81643642144117</v>
      </c>
      <c r="N12" s="58"/>
      <c r="O12" s="58">
        <v>100.81643642144117</v>
      </c>
      <c r="P12" s="16">
        <v>-0.92643642144116711</v>
      </c>
    </row>
    <row r="13" spans="1:24" x14ac:dyDescent="0.3">
      <c r="D13" s="51"/>
      <c r="F13" s="54">
        <v>37773</v>
      </c>
      <c r="G13" s="57">
        <v>100.28</v>
      </c>
      <c r="M13" s="58">
        <v>101.17643424672869</v>
      </c>
      <c r="N13" s="58"/>
      <c r="O13" s="58">
        <v>101.17643424672869</v>
      </c>
      <c r="P13" s="16">
        <v>-0.89643424672868832</v>
      </c>
    </row>
    <row r="14" spans="1:24" x14ac:dyDescent="0.3">
      <c r="F14" s="54">
        <v>37803</v>
      </c>
      <c r="G14" s="57">
        <v>99.07</v>
      </c>
      <c r="M14" s="58">
        <v>101.54859550068154</v>
      </c>
      <c r="N14" s="58"/>
      <c r="O14" s="58">
        <v>101.54859550068154</v>
      </c>
      <c r="P14" s="16">
        <v>-2.4785955006815499</v>
      </c>
    </row>
    <row r="15" spans="1:24" x14ac:dyDescent="0.3">
      <c r="F15" s="54">
        <v>37834</v>
      </c>
      <c r="G15" s="57">
        <v>99.73</v>
      </c>
      <c r="M15" s="58">
        <v>101.93524847420672</v>
      </c>
      <c r="N15" s="58"/>
      <c r="O15" s="58">
        <v>101.93524847420672</v>
      </c>
      <c r="P15" s="16">
        <v>-2.2052484742067122</v>
      </c>
    </row>
    <row r="16" spans="1:24" x14ac:dyDescent="0.3">
      <c r="F16" s="54">
        <v>37865</v>
      </c>
      <c r="G16" s="57">
        <v>101.71</v>
      </c>
      <c r="M16" s="58">
        <v>102.33717233602304</v>
      </c>
      <c r="N16" s="58"/>
      <c r="O16" s="58">
        <v>102.33717233602304</v>
      </c>
      <c r="P16" s="16">
        <v>-0.627172336023051</v>
      </c>
    </row>
    <row r="17" spans="6:16" x14ac:dyDescent="0.3">
      <c r="F17" s="54">
        <v>37895</v>
      </c>
      <c r="G17" s="57">
        <v>101.88</v>
      </c>
      <c r="M17" s="58">
        <v>102.75376797455331</v>
      </c>
      <c r="N17" s="58"/>
      <c r="O17" s="58">
        <v>102.75376797455331</v>
      </c>
      <c r="P17" s="16">
        <v>-0.87376797455331712</v>
      </c>
    </row>
    <row r="18" spans="6:16" x14ac:dyDescent="0.3">
      <c r="F18" s="54">
        <v>37926</v>
      </c>
      <c r="G18" s="57">
        <v>101.97</v>
      </c>
      <c r="M18" s="58">
        <v>103.18404429550976</v>
      </c>
      <c r="N18" s="58"/>
      <c r="O18" s="58">
        <v>103.18404429550976</v>
      </c>
      <c r="P18" s="16">
        <v>-1.2140442955097654</v>
      </c>
    </row>
    <row r="19" spans="6:16" x14ac:dyDescent="0.3">
      <c r="F19" s="54">
        <v>37956</v>
      </c>
      <c r="G19" s="57">
        <v>101.58</v>
      </c>
      <c r="M19" s="58">
        <v>103.62646409962105</v>
      </c>
      <c r="N19" s="58"/>
      <c r="O19" s="58">
        <v>103.62646409962105</v>
      </c>
      <c r="P19" s="16">
        <v>-2.0464640996210477</v>
      </c>
    </row>
    <row r="20" spans="6:16" x14ac:dyDescent="0.3">
      <c r="F20" s="54">
        <v>37987</v>
      </c>
      <c r="G20" s="57">
        <v>103.57</v>
      </c>
      <c r="M20" s="58">
        <v>104.07873140993098</v>
      </c>
      <c r="N20" s="58"/>
      <c r="O20" s="58">
        <v>104.07873140993098</v>
      </c>
      <c r="P20" s="16">
        <v>-0.50873140993098787</v>
      </c>
    </row>
    <row r="21" spans="6:16" x14ac:dyDescent="0.3">
      <c r="F21" s="54">
        <v>38018</v>
      </c>
      <c r="G21" s="57">
        <v>104.49</v>
      </c>
      <c r="M21" s="58">
        <v>104.53727120942108</v>
      </c>
      <c r="N21" s="58"/>
      <c r="O21" s="58">
        <v>104.53727120942108</v>
      </c>
      <c r="P21" s="16">
        <v>-4.7271209421083427E-2</v>
      </c>
    </row>
    <row r="22" spans="6:16" x14ac:dyDescent="0.3">
      <c r="F22" s="54">
        <v>38047</v>
      </c>
      <c r="G22" s="57">
        <v>105.98</v>
      </c>
      <c r="M22" s="58">
        <v>104.998190523942</v>
      </c>
      <c r="N22" s="58"/>
      <c r="O22" s="58">
        <v>104.998190523942</v>
      </c>
      <c r="P22" s="16">
        <v>0.98180947605800384</v>
      </c>
    </row>
    <row r="23" spans="6:16" x14ac:dyDescent="0.3">
      <c r="F23" s="54">
        <v>38078</v>
      </c>
      <c r="G23" s="57">
        <v>106.41</v>
      </c>
      <c r="M23" s="58">
        <v>105.45756683483786</v>
      </c>
      <c r="N23" s="58"/>
      <c r="O23" s="58">
        <v>105.45756683483786</v>
      </c>
      <c r="P23" s="16">
        <v>0.95243316516213383</v>
      </c>
    </row>
    <row r="24" spans="6:16" x14ac:dyDescent="0.3">
      <c r="F24" s="54">
        <v>38108</v>
      </c>
      <c r="G24" s="57">
        <v>106.44</v>
      </c>
      <c r="M24" s="58">
        <v>105.91209125437609</v>
      </c>
      <c r="N24" s="58"/>
      <c r="O24" s="58">
        <v>105.91209125437609</v>
      </c>
      <c r="P24" s="16">
        <v>0.527908745623904</v>
      </c>
    </row>
    <row r="25" spans="6:16" x14ac:dyDescent="0.3">
      <c r="F25" s="54">
        <v>38139</v>
      </c>
      <c r="G25" s="57">
        <v>107.22</v>
      </c>
      <c r="M25" s="58">
        <v>106.35905016555165</v>
      </c>
      <c r="N25" s="58"/>
      <c r="O25" s="58">
        <v>106.35905016555165</v>
      </c>
      <c r="P25" s="16">
        <v>0.86094983444834838</v>
      </c>
    </row>
    <row r="26" spans="6:16" x14ac:dyDescent="0.3">
      <c r="F26" s="54">
        <v>38169</v>
      </c>
      <c r="G26" s="57">
        <v>107.82</v>
      </c>
      <c r="M26" s="58">
        <v>106.79605989432595</v>
      </c>
      <c r="N26" s="58"/>
      <c r="O26" s="58">
        <v>106.79605989432595</v>
      </c>
      <c r="P26" s="16">
        <v>1.0239401056740434</v>
      </c>
    </row>
    <row r="27" spans="6:16" x14ac:dyDescent="0.3">
      <c r="F27" s="54">
        <v>38200</v>
      </c>
      <c r="G27" s="57">
        <v>108.19</v>
      </c>
      <c r="M27" s="58">
        <v>107.22127486030696</v>
      </c>
      <c r="N27" s="58"/>
      <c r="O27" s="58">
        <v>107.22127486030696</v>
      </c>
      <c r="P27" s="16">
        <v>0.96872513969303498</v>
      </c>
    </row>
    <row r="28" spans="6:16" x14ac:dyDescent="0.3">
      <c r="F28" s="54">
        <v>38231</v>
      </c>
      <c r="G28" s="57">
        <v>109.46</v>
      </c>
      <c r="M28" s="58">
        <v>107.63348944566813</v>
      </c>
      <c r="N28" s="58"/>
      <c r="O28" s="58">
        <v>107.63348944566813</v>
      </c>
      <c r="P28" s="16">
        <v>1.8265105543318612</v>
      </c>
    </row>
    <row r="29" spans="6:16" x14ac:dyDescent="0.3">
      <c r="F29" s="54">
        <v>38261</v>
      </c>
      <c r="G29" s="57">
        <v>108.73</v>
      </c>
      <c r="M29" s="58">
        <v>108.03210348579594</v>
      </c>
      <c r="N29" s="58"/>
      <c r="O29" s="58">
        <v>108.03210348579594</v>
      </c>
      <c r="P29" s="16">
        <v>0.69789651420406074</v>
      </c>
    </row>
    <row r="30" spans="6:16" x14ac:dyDescent="0.3">
      <c r="F30" s="54">
        <v>38292</v>
      </c>
      <c r="G30" s="57">
        <v>109.62</v>
      </c>
      <c r="M30" s="58">
        <v>108.41765838517246</v>
      </c>
      <c r="N30" s="58"/>
      <c r="O30" s="58">
        <v>108.41765838517246</v>
      </c>
      <c r="P30" s="16">
        <v>1.2023416148275459</v>
      </c>
    </row>
    <row r="31" spans="6:16" x14ac:dyDescent="0.3">
      <c r="F31" s="54">
        <v>38322</v>
      </c>
      <c r="G31" s="57">
        <v>108.79</v>
      </c>
      <c r="M31" s="58">
        <v>108.79113173360183</v>
      </c>
      <c r="N31" s="58"/>
      <c r="O31" s="58">
        <v>108.79113173360183</v>
      </c>
      <c r="P31" s="16">
        <v>-1.1317336018237256E-3</v>
      </c>
    </row>
    <row r="32" spans="6:16" x14ac:dyDescent="0.3">
      <c r="F32" s="54">
        <v>38353</v>
      </c>
      <c r="G32" s="57">
        <v>109.62</v>
      </c>
      <c r="M32" s="58">
        <v>109.15425258439663</v>
      </c>
      <c r="N32" s="58"/>
      <c r="O32" s="58">
        <v>109.15425258439663</v>
      </c>
      <c r="P32" s="16">
        <v>0.46574741560337429</v>
      </c>
    </row>
    <row r="33" spans="6:16" x14ac:dyDescent="0.3">
      <c r="F33" s="54">
        <v>38384</v>
      </c>
      <c r="G33" s="57">
        <v>110.14</v>
      </c>
      <c r="M33" s="58">
        <v>109.50874928353706</v>
      </c>
      <c r="N33" s="58"/>
      <c r="O33" s="58">
        <v>109.50874928353706</v>
      </c>
      <c r="P33" s="16">
        <v>0.63125071646294373</v>
      </c>
    </row>
    <row r="34" spans="6:16" x14ac:dyDescent="0.3">
      <c r="F34" s="54">
        <v>38412</v>
      </c>
      <c r="G34" s="57">
        <v>110.43</v>
      </c>
      <c r="M34" s="58">
        <v>109.85664126913728</v>
      </c>
      <c r="N34" s="58"/>
      <c r="O34" s="58">
        <v>109.85664126913728</v>
      </c>
      <c r="P34" s="16">
        <v>0.57335873086272215</v>
      </c>
    </row>
    <row r="35" spans="6:16" x14ac:dyDescent="0.3">
      <c r="F35" s="54">
        <v>38443</v>
      </c>
      <c r="G35" s="57">
        <v>110.95</v>
      </c>
      <c r="M35" s="58">
        <v>110.20034251100934</v>
      </c>
      <c r="N35" s="58"/>
      <c r="O35" s="58">
        <v>110.20034251100934</v>
      </c>
      <c r="P35" s="16">
        <v>0.74965748899066398</v>
      </c>
    </row>
    <row r="36" spans="6:16" x14ac:dyDescent="0.3">
      <c r="F36" s="54">
        <v>38473</v>
      </c>
      <c r="G36" s="57">
        <v>110.99</v>
      </c>
      <c r="M36" s="58">
        <v>110.54262532817241</v>
      </c>
      <c r="N36" s="58"/>
      <c r="O36" s="58">
        <v>110.54262532817241</v>
      </c>
      <c r="P36" s="16">
        <v>0.44737467182758905</v>
      </c>
    </row>
    <row r="37" spans="6:16" x14ac:dyDescent="0.3">
      <c r="F37" s="54">
        <v>38504</v>
      </c>
      <c r="G37" s="57">
        <v>110.63</v>
      </c>
      <c r="M37" s="58">
        <v>110.88673057557597</v>
      </c>
      <c r="N37" s="58"/>
      <c r="O37" s="58">
        <v>110.88673057557597</v>
      </c>
      <c r="P37" s="16">
        <v>-0.2567305755759719</v>
      </c>
    </row>
    <row r="38" spans="6:16" x14ac:dyDescent="0.3">
      <c r="F38" s="54">
        <v>38534</v>
      </c>
      <c r="G38" s="57">
        <v>110.63</v>
      </c>
      <c r="M38" s="58">
        <v>111.23617871733977</v>
      </c>
      <c r="N38" s="58"/>
      <c r="O38" s="58">
        <v>111.23617871733977</v>
      </c>
      <c r="P38" s="16">
        <v>-0.60617871733977324</v>
      </c>
    </row>
    <row r="39" spans="6:16" x14ac:dyDescent="0.3">
      <c r="F39" s="54">
        <v>38565</v>
      </c>
      <c r="G39" s="57">
        <v>111.29</v>
      </c>
      <c r="M39" s="58">
        <v>111.59432976097314</v>
      </c>
      <c r="N39" s="58"/>
      <c r="O39" s="58">
        <v>111.59432976097314</v>
      </c>
      <c r="P39" s="16">
        <v>-0.30432976097313258</v>
      </c>
    </row>
    <row r="40" spans="6:16" x14ac:dyDescent="0.3">
      <c r="F40" s="54">
        <v>38596</v>
      </c>
      <c r="G40" s="57">
        <v>110.86</v>
      </c>
      <c r="M40" s="58">
        <v>111.96416485228801</v>
      </c>
      <c r="N40" s="58"/>
      <c r="O40" s="58">
        <v>111.96416485228801</v>
      </c>
      <c r="P40" s="16">
        <v>-1.1041648522880081</v>
      </c>
    </row>
    <row r="41" spans="6:16" x14ac:dyDescent="0.3">
      <c r="F41" s="54">
        <v>38626</v>
      </c>
      <c r="G41" s="57">
        <v>111.05</v>
      </c>
      <c r="M41" s="58">
        <v>112.34847493099501</v>
      </c>
      <c r="N41" s="58"/>
      <c r="O41" s="58">
        <v>112.34847493099501</v>
      </c>
      <c r="P41" s="16">
        <v>-1.2984749309950132</v>
      </c>
    </row>
    <row r="42" spans="6:16" x14ac:dyDescent="0.3">
      <c r="F42" s="54">
        <v>38657</v>
      </c>
      <c r="G42" s="57">
        <v>111.81</v>
      </c>
      <c r="M42" s="58">
        <v>112.74936083377223</v>
      </c>
      <c r="N42" s="58"/>
      <c r="O42" s="58">
        <v>112.74936083377223</v>
      </c>
      <c r="P42" s="16">
        <v>-0.93936083377222701</v>
      </c>
    </row>
    <row r="43" spans="6:16" x14ac:dyDescent="0.3">
      <c r="F43" s="54">
        <v>38687</v>
      </c>
      <c r="G43" s="57">
        <v>112.32</v>
      </c>
      <c r="M43" s="58">
        <v>113.16811185046606</v>
      </c>
      <c r="N43" s="58"/>
      <c r="O43" s="58">
        <v>113.16811185046606</v>
      </c>
      <c r="P43" s="16">
        <v>-0.84811185046606852</v>
      </c>
    </row>
    <row r="44" spans="6:16" x14ac:dyDescent="0.3">
      <c r="F44" s="54">
        <v>38718</v>
      </c>
      <c r="G44" s="57">
        <v>113.38</v>
      </c>
      <c r="M44" s="58">
        <v>113.60543017040166</v>
      </c>
      <c r="N44" s="58"/>
      <c r="O44" s="58">
        <v>113.60543017040166</v>
      </c>
      <c r="P44" s="16">
        <v>-0.22543017040166546</v>
      </c>
    </row>
    <row r="45" spans="6:16" x14ac:dyDescent="0.3">
      <c r="F45" s="54">
        <v>38749</v>
      </c>
      <c r="G45" s="57">
        <v>113.61</v>
      </c>
      <c r="M45" s="58">
        <v>114.06148791299742</v>
      </c>
      <c r="N45" s="58"/>
      <c r="O45" s="58">
        <v>114.06148791299742</v>
      </c>
      <c r="P45" s="16">
        <v>-0.45148791299742186</v>
      </c>
    </row>
    <row r="46" spans="6:16" x14ac:dyDescent="0.3">
      <c r="F46" s="54">
        <v>38777</v>
      </c>
      <c r="G46" s="57">
        <v>113.55</v>
      </c>
      <c r="M46" s="58">
        <v>114.53631630381561</v>
      </c>
      <c r="N46" s="58"/>
      <c r="O46" s="58">
        <v>114.53631630381561</v>
      </c>
      <c r="P46" s="16">
        <v>-0.98631630381561308</v>
      </c>
    </row>
    <row r="47" spans="6:16" x14ac:dyDescent="0.3">
      <c r="F47" s="54">
        <v>38808</v>
      </c>
      <c r="G47" s="57">
        <v>114.23</v>
      </c>
      <c r="M47" s="58">
        <v>115.02966438847253</v>
      </c>
      <c r="N47" s="58"/>
      <c r="O47" s="58">
        <v>115.02966438847253</v>
      </c>
      <c r="P47" s="16">
        <v>-0.79966438847252164</v>
      </c>
    </row>
    <row r="48" spans="6:16" x14ac:dyDescent="0.3">
      <c r="F48" s="54">
        <v>38838</v>
      </c>
      <c r="G48" s="57">
        <v>115.66</v>
      </c>
      <c r="M48" s="58">
        <v>115.54066476489501</v>
      </c>
      <c r="N48" s="58"/>
      <c r="O48" s="58">
        <v>115.54066476489501</v>
      </c>
      <c r="P48" s="16">
        <v>0.11933523510498389</v>
      </c>
    </row>
    <row r="49" spans="6:16" x14ac:dyDescent="0.3">
      <c r="F49" s="54">
        <v>38869</v>
      </c>
      <c r="G49" s="57">
        <v>114.72</v>
      </c>
      <c r="M49" s="58">
        <v>116.06795024076641</v>
      </c>
      <c r="N49" s="58"/>
      <c r="O49" s="58">
        <v>116.06795024076641</v>
      </c>
      <c r="P49" s="16">
        <v>-1.3479502407664086</v>
      </c>
    </row>
    <row r="50" spans="6:16" x14ac:dyDescent="0.3">
      <c r="F50" s="54">
        <v>38899</v>
      </c>
      <c r="G50" s="57">
        <v>116.94</v>
      </c>
      <c r="M50" s="58">
        <v>116.61022820829227</v>
      </c>
      <c r="N50" s="58"/>
      <c r="O50" s="58">
        <v>116.61022820829227</v>
      </c>
      <c r="P50" s="16">
        <v>0.32977179170772786</v>
      </c>
    </row>
    <row r="51" spans="6:16" x14ac:dyDescent="0.3">
      <c r="F51" s="54">
        <v>38930</v>
      </c>
      <c r="G51" s="57">
        <v>116.62</v>
      </c>
      <c r="M51" s="58">
        <v>117.16536359077821</v>
      </c>
      <c r="N51" s="58"/>
      <c r="O51" s="58">
        <v>117.16536359077821</v>
      </c>
      <c r="P51" s="16">
        <v>-0.54536359077820862</v>
      </c>
    </row>
    <row r="52" spans="6:16" x14ac:dyDescent="0.3">
      <c r="F52" s="54">
        <v>38961</v>
      </c>
      <c r="G52" s="57">
        <v>116.82</v>
      </c>
      <c r="M52" s="58">
        <v>117.73142741889913</v>
      </c>
      <c r="N52" s="58"/>
      <c r="O52" s="58">
        <v>117.73142741889913</v>
      </c>
      <c r="P52" s="16">
        <v>-0.91142741889913736</v>
      </c>
    </row>
    <row r="53" spans="6:16" x14ac:dyDescent="0.3">
      <c r="F53" s="54">
        <v>38991</v>
      </c>
      <c r="G53" s="57">
        <v>118.07</v>
      </c>
      <c r="M53" s="58">
        <v>118.30614987108561</v>
      </c>
      <c r="N53" s="58"/>
      <c r="O53" s="58">
        <v>118.30614987108561</v>
      </c>
      <c r="P53" s="16">
        <v>-0.23614987108561536</v>
      </c>
    </row>
    <row r="54" spans="6:16" x14ac:dyDescent="0.3">
      <c r="F54" s="54">
        <v>39022</v>
      </c>
      <c r="G54" s="57">
        <v>118.87</v>
      </c>
      <c r="M54" s="58">
        <v>118.88669148363186</v>
      </c>
      <c r="N54" s="58"/>
      <c r="O54" s="58">
        <v>118.88669148363186</v>
      </c>
      <c r="P54" s="16">
        <v>-1.6691483631859683E-2</v>
      </c>
    </row>
    <row r="55" spans="6:16" x14ac:dyDescent="0.3">
      <c r="F55" s="54">
        <v>39052</v>
      </c>
      <c r="G55" s="57">
        <v>119.87</v>
      </c>
      <c r="M55" s="58">
        <v>119.47006519916222</v>
      </c>
      <c r="N55" s="58"/>
      <c r="O55" s="58">
        <v>119.47006519916222</v>
      </c>
      <c r="P55" s="16">
        <v>0.39993480083778365</v>
      </c>
    </row>
    <row r="56" spans="6:16" x14ac:dyDescent="0.3">
      <c r="F56" s="54">
        <v>39083</v>
      </c>
      <c r="G56" s="57">
        <v>119.66</v>
      </c>
      <c r="M56" s="58">
        <v>120.05327352812397</v>
      </c>
      <c r="N56" s="58"/>
      <c r="O56" s="58">
        <v>120.05327352812397</v>
      </c>
      <c r="P56" s="16">
        <v>-0.3932735281239701</v>
      </c>
    </row>
    <row r="57" spans="6:16" x14ac:dyDescent="0.3">
      <c r="F57" s="54">
        <v>39114</v>
      </c>
      <c r="G57" s="57">
        <v>120.17</v>
      </c>
      <c r="M57" s="58">
        <v>120.63356894021486</v>
      </c>
      <c r="N57" s="58"/>
      <c r="O57" s="58">
        <v>120.63356894021486</v>
      </c>
      <c r="P57" s="16">
        <v>-0.46356894021485573</v>
      </c>
    </row>
    <row r="58" spans="6:16" x14ac:dyDescent="0.3">
      <c r="F58" s="54">
        <v>39142</v>
      </c>
      <c r="G58" s="57">
        <v>119.4</v>
      </c>
      <c r="M58" s="58">
        <v>121.20795810917768</v>
      </c>
      <c r="N58" s="58"/>
      <c r="O58" s="58">
        <v>121.20795810917768</v>
      </c>
      <c r="P58" s="16">
        <v>-1.807958109177676</v>
      </c>
    </row>
    <row r="59" spans="6:16" x14ac:dyDescent="0.3">
      <c r="F59" s="54">
        <v>39173</v>
      </c>
      <c r="G59" s="57">
        <v>121.18</v>
      </c>
      <c r="M59" s="58">
        <v>121.77315797816721</v>
      </c>
      <c r="N59" s="58"/>
      <c r="O59" s="58">
        <v>121.77315797816721</v>
      </c>
      <c r="P59" s="16">
        <v>-0.59315797816719851</v>
      </c>
    </row>
    <row r="60" spans="6:16" x14ac:dyDescent="0.3">
      <c r="F60" s="54">
        <v>39203</v>
      </c>
      <c r="G60" s="57">
        <v>122.38</v>
      </c>
      <c r="M60" s="58">
        <v>122.32475551652027</v>
      </c>
      <c r="N60" s="58"/>
      <c r="O60" s="58">
        <v>122.32475551652027</v>
      </c>
      <c r="P60" s="16">
        <v>5.5244483479725659E-2</v>
      </c>
    </row>
    <row r="61" spans="6:16" x14ac:dyDescent="0.3">
      <c r="F61" s="54">
        <v>39234</v>
      </c>
      <c r="G61" s="57">
        <v>123.41</v>
      </c>
      <c r="M61" s="58">
        <v>122.85796696983728</v>
      </c>
      <c r="N61" s="58"/>
      <c r="O61" s="58">
        <v>122.85796696983728</v>
      </c>
      <c r="P61" s="16">
        <v>0.55203303016271832</v>
      </c>
    </row>
    <row r="62" spans="6:16" x14ac:dyDescent="0.3">
      <c r="F62" s="54">
        <v>39264</v>
      </c>
      <c r="G62" s="57">
        <v>124.23</v>
      </c>
      <c r="M62" s="58">
        <v>123.36804311152036</v>
      </c>
      <c r="N62" s="58"/>
      <c r="O62" s="58">
        <v>123.36804311152036</v>
      </c>
      <c r="P62" s="16">
        <v>0.86195688847963936</v>
      </c>
    </row>
    <row r="63" spans="6:16" x14ac:dyDescent="0.3">
      <c r="F63" s="54">
        <v>39295</v>
      </c>
      <c r="G63" s="57">
        <v>124.34</v>
      </c>
      <c r="M63" s="58">
        <v>123.85057973561665</v>
      </c>
      <c r="N63" s="58"/>
      <c r="O63" s="58">
        <v>123.85057973561665</v>
      </c>
      <c r="P63" s="16">
        <v>0.48942026438335517</v>
      </c>
    </row>
    <row r="64" spans="6:16" x14ac:dyDescent="0.3">
      <c r="F64" s="54">
        <v>39326</v>
      </c>
      <c r="G64" s="57">
        <v>125.35</v>
      </c>
      <c r="M64" s="58">
        <v>124.30171135922731</v>
      </c>
      <c r="N64" s="58"/>
      <c r="O64" s="58">
        <v>124.30171135922731</v>
      </c>
      <c r="P64" s="16">
        <v>1.0482886407726824</v>
      </c>
    </row>
    <row r="65" spans="6:16" x14ac:dyDescent="0.3">
      <c r="F65" s="54">
        <v>39356</v>
      </c>
      <c r="G65" s="57">
        <v>126.32</v>
      </c>
      <c r="M65" s="58">
        <v>124.7178783871197</v>
      </c>
      <c r="N65" s="58"/>
      <c r="O65" s="58">
        <v>124.7178783871197</v>
      </c>
      <c r="P65" s="16">
        <v>1.6021216128802962</v>
      </c>
    </row>
    <row r="66" spans="6:16" x14ac:dyDescent="0.3">
      <c r="F66" s="54">
        <v>39387</v>
      </c>
      <c r="G66" s="57">
        <v>126.17</v>
      </c>
      <c r="M66" s="58">
        <v>125.09617640446112</v>
      </c>
      <c r="N66" s="58"/>
      <c r="O66" s="58">
        <v>125.09617640446112</v>
      </c>
      <c r="P66" s="16">
        <v>1.0738235955388831</v>
      </c>
    </row>
    <row r="67" spans="6:16" x14ac:dyDescent="0.3">
      <c r="F67" s="54">
        <v>39417</v>
      </c>
      <c r="G67" s="57">
        <v>126.96</v>
      </c>
      <c r="M67" s="58">
        <v>125.43470232242747</v>
      </c>
      <c r="N67" s="58"/>
      <c r="O67" s="58">
        <v>125.43470232242747</v>
      </c>
      <c r="P67" s="16">
        <v>1.5252976775725244</v>
      </c>
    </row>
    <row r="68" spans="6:16" x14ac:dyDescent="0.3">
      <c r="F68" s="54">
        <v>39448</v>
      </c>
      <c r="G68" s="57">
        <v>127.22</v>
      </c>
      <c r="M68" s="58">
        <v>125.73222419194119</v>
      </c>
      <c r="N68" s="58"/>
      <c r="O68" s="58">
        <v>125.73222419194119</v>
      </c>
      <c r="P68" s="16">
        <v>1.4877758080588137</v>
      </c>
    </row>
    <row r="69" spans="6:16" x14ac:dyDescent="0.3">
      <c r="F69" s="54">
        <v>39479</v>
      </c>
      <c r="G69" s="57">
        <v>126.83</v>
      </c>
      <c r="M69" s="58">
        <v>125.98846337497385</v>
      </c>
      <c r="N69" s="58"/>
      <c r="O69" s="58">
        <v>125.98846337497385</v>
      </c>
      <c r="P69" s="16">
        <v>0.84153662502615134</v>
      </c>
    </row>
    <row r="70" spans="6:16" x14ac:dyDescent="0.3">
      <c r="F70" s="54">
        <v>39508</v>
      </c>
      <c r="G70" s="57">
        <v>126.44</v>
      </c>
      <c r="M70" s="58">
        <v>126.20407109337651</v>
      </c>
      <c r="N70" s="58"/>
      <c r="O70" s="58">
        <v>126.20407109337651</v>
      </c>
      <c r="P70" s="16">
        <v>0.23592890662348509</v>
      </c>
    </row>
    <row r="71" spans="6:16" x14ac:dyDescent="0.3">
      <c r="F71" s="54">
        <v>39539</v>
      </c>
      <c r="G71" s="57">
        <v>127.7</v>
      </c>
      <c r="M71" s="58">
        <v>126.38022452939107</v>
      </c>
      <c r="N71" s="58"/>
      <c r="O71" s="58">
        <v>126.38022452939107</v>
      </c>
      <c r="P71" s="16">
        <v>1.3197754706089313</v>
      </c>
    </row>
    <row r="72" spans="6:16" x14ac:dyDescent="0.3">
      <c r="F72" s="54">
        <v>39569</v>
      </c>
      <c r="G72" s="57">
        <v>129.4</v>
      </c>
      <c r="M72" s="58">
        <v>126.51824832082593</v>
      </c>
      <c r="N72" s="58"/>
      <c r="O72" s="58">
        <v>126.51824832082593</v>
      </c>
      <c r="P72" s="16">
        <v>2.8817516791740729</v>
      </c>
    </row>
    <row r="73" spans="6:16" x14ac:dyDescent="0.3">
      <c r="F73" s="54">
        <v>39600</v>
      </c>
      <c r="G73" s="57">
        <v>131.19</v>
      </c>
      <c r="M73" s="58">
        <v>126.62029196515856</v>
      </c>
      <c r="N73" s="58"/>
      <c r="O73" s="58">
        <v>126.62029196515856</v>
      </c>
      <c r="P73" s="16">
        <v>4.5697080348414403</v>
      </c>
    </row>
    <row r="74" spans="6:16" x14ac:dyDescent="0.3">
      <c r="F74" s="54">
        <v>39630</v>
      </c>
      <c r="G74" s="57">
        <v>130.93</v>
      </c>
      <c r="M74" s="58">
        <v>126.69030605466614</v>
      </c>
      <c r="N74" s="58"/>
      <c r="O74" s="58">
        <v>126.69030605466614</v>
      </c>
      <c r="P74" s="16">
        <v>4.2396939453338689</v>
      </c>
    </row>
    <row r="75" spans="6:16" x14ac:dyDescent="0.3">
      <c r="F75" s="54">
        <v>39661</v>
      </c>
      <c r="G75" s="57">
        <v>130.99</v>
      </c>
      <c r="M75" s="58">
        <v>126.7350972491473</v>
      </c>
      <c r="N75" s="58"/>
      <c r="O75" s="58">
        <v>126.7350972491473</v>
      </c>
      <c r="P75" s="16">
        <v>4.2549027508527075</v>
      </c>
    </row>
    <row r="76" spans="6:16" x14ac:dyDescent="0.3">
      <c r="F76" s="54">
        <v>39692</v>
      </c>
      <c r="G76" s="57">
        <v>130.93</v>
      </c>
      <c r="M76" s="58">
        <v>126.76412201711685</v>
      </c>
      <c r="N76" s="58"/>
      <c r="O76" s="58">
        <v>126.76412201711685</v>
      </c>
      <c r="P76" s="16">
        <v>4.1658779828831598</v>
      </c>
    </row>
    <row r="77" spans="6:16" x14ac:dyDescent="0.3">
      <c r="F77" s="54">
        <v>39722</v>
      </c>
      <c r="G77" s="57">
        <v>128.19</v>
      </c>
      <c r="M77" s="58">
        <v>126.78949614130859</v>
      </c>
      <c r="N77" s="58"/>
      <c r="O77" s="58">
        <v>126.78949614130859</v>
      </c>
      <c r="P77" s="16">
        <v>1.4005038586914083</v>
      </c>
    </row>
    <row r="78" spans="6:16" x14ac:dyDescent="0.3">
      <c r="F78" s="54">
        <v>39753</v>
      </c>
      <c r="G78" s="57">
        <v>124.95</v>
      </c>
      <c r="M78" s="58">
        <v>126.82593907819594</v>
      </c>
      <c r="N78" s="58"/>
      <c r="O78" s="58">
        <v>126.82593907819594</v>
      </c>
      <c r="P78" s="16">
        <v>-1.8759390781959411</v>
      </c>
    </row>
    <row r="79" spans="6:16" x14ac:dyDescent="0.3">
      <c r="F79" s="54">
        <v>39783</v>
      </c>
      <c r="G79" s="57">
        <v>120.93</v>
      </c>
      <c r="M79" s="58">
        <v>126.88904559916357</v>
      </c>
      <c r="N79" s="58"/>
      <c r="O79" s="58">
        <v>126.88904559916357</v>
      </c>
      <c r="P79" s="16">
        <v>-5.9590455991635594</v>
      </c>
    </row>
    <row r="80" spans="6:16" x14ac:dyDescent="0.3">
      <c r="F80" s="54">
        <v>39814</v>
      </c>
      <c r="G80" s="57">
        <v>120.82</v>
      </c>
      <c r="M80" s="58">
        <v>126.99323801367291</v>
      </c>
      <c r="N80" s="58"/>
      <c r="O80" s="58">
        <v>126.99323801367291</v>
      </c>
      <c r="P80" s="16">
        <v>-6.1732380136729148</v>
      </c>
    </row>
    <row r="81" spans="6:16" x14ac:dyDescent="0.3">
      <c r="F81" s="54">
        <v>39845</v>
      </c>
      <c r="G81" s="57">
        <v>122.19</v>
      </c>
      <c r="M81" s="58">
        <v>127.14921422768508</v>
      </c>
      <c r="N81" s="58"/>
      <c r="O81" s="58">
        <v>127.14921422768508</v>
      </c>
      <c r="P81" s="16">
        <v>-4.9592142276850808</v>
      </c>
    </row>
    <row r="82" spans="6:16" x14ac:dyDescent="0.3">
      <c r="F82" s="54">
        <v>39873</v>
      </c>
      <c r="G82" s="57">
        <v>122.97</v>
      </c>
      <c r="M82" s="58">
        <v>127.36381387340319</v>
      </c>
      <c r="N82" s="58"/>
      <c r="O82" s="58">
        <v>127.36381387340319</v>
      </c>
      <c r="P82" s="16">
        <v>-4.3938138734031895</v>
      </c>
    </row>
    <row r="83" spans="6:16" x14ac:dyDescent="0.3">
      <c r="F83" s="54">
        <v>39904</v>
      </c>
      <c r="G83" s="57">
        <v>123.64</v>
      </c>
      <c r="M83" s="58">
        <v>127.64077707413762</v>
      </c>
      <c r="N83" s="58"/>
      <c r="O83" s="58">
        <v>127.64077707413762</v>
      </c>
      <c r="P83" s="16">
        <v>-4.0007770741376163</v>
      </c>
    </row>
    <row r="84" spans="6:16" x14ac:dyDescent="0.3">
      <c r="F84" s="54">
        <v>39934</v>
      </c>
      <c r="G84" s="57">
        <v>124.87</v>
      </c>
      <c r="M84" s="58">
        <v>127.98109781952773</v>
      </c>
      <c r="N84" s="58"/>
      <c r="O84" s="58">
        <v>127.98109781952773</v>
      </c>
      <c r="P84" s="16">
        <v>-3.1110978195277283</v>
      </c>
    </row>
    <row r="85" spans="6:16" x14ac:dyDescent="0.3">
      <c r="F85" s="54">
        <v>39965</v>
      </c>
      <c r="G85" s="57">
        <v>125.93</v>
      </c>
      <c r="M85" s="58">
        <v>128.38326961354201</v>
      </c>
      <c r="N85" s="58"/>
      <c r="O85" s="58">
        <v>128.38326961354201</v>
      </c>
      <c r="P85" s="16">
        <v>-2.4532696135420053</v>
      </c>
    </row>
    <row r="86" spans="6:16" x14ac:dyDescent="0.3">
      <c r="F86" s="54">
        <v>39995</v>
      </c>
      <c r="G86" s="57">
        <v>126.29</v>
      </c>
      <c r="M86" s="58">
        <v>128.84384152401157</v>
      </c>
      <c r="N86" s="58"/>
      <c r="O86" s="58">
        <v>128.84384152401157</v>
      </c>
      <c r="P86" s="16">
        <v>-2.5538415240115597</v>
      </c>
    </row>
    <row r="87" spans="6:16" x14ac:dyDescent="0.3">
      <c r="F87" s="54">
        <v>40026</v>
      </c>
      <c r="G87" s="57">
        <v>128.09</v>
      </c>
      <c r="M87" s="58">
        <v>129.35782932525862</v>
      </c>
      <c r="N87" s="58"/>
      <c r="O87" s="58">
        <v>129.35782932525862</v>
      </c>
      <c r="P87" s="16">
        <v>-1.2678293252586172</v>
      </c>
    </row>
    <row r="88" spans="6:16" x14ac:dyDescent="0.3">
      <c r="F88" s="54">
        <v>40057</v>
      </c>
      <c r="G88" s="57">
        <v>129.12</v>
      </c>
      <c r="M88" s="58">
        <v>129.91865264065356</v>
      </c>
      <c r="N88" s="58"/>
      <c r="O88" s="58">
        <v>129.91865264065356</v>
      </c>
      <c r="P88" s="16">
        <v>-0.79865264065355746</v>
      </c>
    </row>
    <row r="89" spans="6:16" x14ac:dyDescent="0.3">
      <c r="F89" s="54">
        <v>40087</v>
      </c>
      <c r="G89" s="57">
        <v>129.79</v>
      </c>
      <c r="M89" s="58">
        <v>130.51893870023824</v>
      </c>
      <c r="N89" s="58"/>
      <c r="O89" s="58">
        <v>130.51893870023824</v>
      </c>
      <c r="P89" s="16">
        <v>-0.72893870023824547</v>
      </c>
    </row>
    <row r="90" spans="6:16" x14ac:dyDescent="0.3">
      <c r="F90" s="54">
        <v>40118</v>
      </c>
      <c r="G90" s="57">
        <v>130.02000000000001</v>
      </c>
      <c r="M90" s="58">
        <v>131.15081557615329</v>
      </c>
      <c r="N90" s="58"/>
      <c r="O90" s="58">
        <v>131.15081557615329</v>
      </c>
      <c r="P90" s="16">
        <v>-1.1308155761532817</v>
      </c>
    </row>
    <row r="91" spans="6:16" x14ac:dyDescent="0.3">
      <c r="F91" s="54">
        <v>40148</v>
      </c>
      <c r="G91" s="57">
        <v>131.30000000000001</v>
      </c>
      <c r="M91" s="58">
        <v>131.80595575385303</v>
      </c>
      <c r="N91" s="58"/>
      <c r="O91" s="58">
        <v>131.80595575385303</v>
      </c>
      <c r="P91" s="16">
        <v>-0.50595575385301572</v>
      </c>
    </row>
    <row r="92" spans="6:16" x14ac:dyDescent="0.3">
      <c r="F92" s="54">
        <v>40179</v>
      </c>
      <c r="G92" s="57">
        <v>133.47</v>
      </c>
      <c r="M92" s="58">
        <v>132.475324959056</v>
      </c>
      <c r="N92" s="58"/>
      <c r="O92" s="58">
        <v>132.475324959056</v>
      </c>
      <c r="P92" s="16">
        <v>0.99467504094400283</v>
      </c>
    </row>
    <row r="93" spans="6:16" x14ac:dyDescent="0.3">
      <c r="F93" s="54">
        <v>40210</v>
      </c>
      <c r="G93" s="57">
        <v>135.16999999999999</v>
      </c>
      <c r="M93" s="58">
        <v>133.14957269513411</v>
      </c>
      <c r="N93" s="58"/>
      <c r="O93" s="58">
        <v>133.14957269513411</v>
      </c>
      <c r="P93" s="16">
        <v>2.0204273048658763</v>
      </c>
    </row>
    <row r="94" spans="6:16" x14ac:dyDescent="0.3">
      <c r="F94" s="54">
        <v>40238</v>
      </c>
      <c r="G94" s="57">
        <v>136.59</v>
      </c>
      <c r="M94" s="58">
        <v>133.81997013736111</v>
      </c>
      <c r="N94" s="58"/>
      <c r="O94" s="58">
        <v>133.81997013736111</v>
      </c>
      <c r="P94" s="16">
        <v>2.7700298626388928</v>
      </c>
    </row>
    <row r="95" spans="6:16" x14ac:dyDescent="0.3">
      <c r="F95" s="54">
        <v>40269</v>
      </c>
      <c r="G95" s="57">
        <v>137.05000000000001</v>
      </c>
      <c r="M95" s="58">
        <v>134.47905122807515</v>
      </c>
      <c r="N95" s="58"/>
      <c r="O95" s="58">
        <v>134.47905122807515</v>
      </c>
      <c r="P95" s="16">
        <v>2.5709487719248614</v>
      </c>
    </row>
    <row r="96" spans="6:16" x14ac:dyDescent="0.3">
      <c r="F96" s="54">
        <v>40299</v>
      </c>
      <c r="G96" s="57">
        <v>136.49</v>
      </c>
      <c r="M96" s="58">
        <v>135.12108117827924</v>
      </c>
      <c r="N96" s="58"/>
      <c r="O96" s="58">
        <v>135.12108117827924</v>
      </c>
      <c r="P96" s="16">
        <v>1.3689188217207686</v>
      </c>
    </row>
    <row r="97" spans="6:16" x14ac:dyDescent="0.3">
      <c r="F97" s="54">
        <v>40330</v>
      </c>
      <c r="G97" s="57">
        <v>136.22999999999999</v>
      </c>
      <c r="M97" s="58">
        <v>135.74193204195879</v>
      </c>
      <c r="N97" s="58"/>
      <c r="O97" s="58">
        <v>135.74193204195879</v>
      </c>
      <c r="P97" s="16">
        <v>0.48806795804119929</v>
      </c>
    </row>
    <row r="98" spans="6:16" x14ac:dyDescent="0.3">
      <c r="F98" s="54">
        <v>40360</v>
      </c>
      <c r="G98" s="57">
        <v>136.93</v>
      </c>
      <c r="M98" s="58">
        <v>136.33833144736329</v>
      </c>
      <c r="N98" s="58"/>
      <c r="O98" s="58">
        <v>136.33833144736329</v>
      </c>
      <c r="P98" s="16">
        <v>0.59166855263671891</v>
      </c>
    </row>
    <row r="99" spans="6:16" x14ac:dyDescent="0.3">
      <c r="F99" s="54">
        <v>40391</v>
      </c>
      <c r="G99" s="57">
        <v>137.66999999999999</v>
      </c>
      <c r="M99" s="58">
        <v>136.90731206521437</v>
      </c>
      <c r="N99" s="58"/>
      <c r="O99" s="58">
        <v>136.90731206521437</v>
      </c>
      <c r="P99" s="16">
        <v>0.76268793478561747</v>
      </c>
    </row>
    <row r="100" spans="6:16" x14ac:dyDescent="0.3">
      <c r="F100" s="54">
        <v>40422</v>
      </c>
      <c r="G100" s="57">
        <v>139.41</v>
      </c>
      <c r="M100" s="58">
        <v>137.44627635908066</v>
      </c>
      <c r="N100" s="58"/>
      <c r="O100" s="58">
        <v>137.44627635908066</v>
      </c>
      <c r="P100" s="16">
        <v>1.9637236409193406</v>
      </c>
    </row>
    <row r="101" spans="6:16" x14ac:dyDescent="0.3">
      <c r="F101" s="54">
        <v>40452</v>
      </c>
      <c r="G101" s="57">
        <v>138.72</v>
      </c>
      <c r="M101" s="58">
        <v>137.95310347248957</v>
      </c>
      <c r="N101" s="58"/>
      <c r="O101" s="58">
        <v>137.95310347248957</v>
      </c>
      <c r="P101" s="16">
        <v>0.76689652751042559</v>
      </c>
    </row>
    <row r="102" spans="6:16" x14ac:dyDescent="0.3">
      <c r="F102" s="54">
        <v>40483</v>
      </c>
      <c r="G102" s="57">
        <v>140.09</v>
      </c>
      <c r="M102" s="58">
        <v>138.42689987624411</v>
      </c>
      <c r="N102" s="58"/>
      <c r="O102" s="58">
        <v>138.42689987624411</v>
      </c>
      <c r="P102" s="16">
        <v>1.6631001237558962</v>
      </c>
    </row>
    <row r="103" spans="6:16" x14ac:dyDescent="0.3">
      <c r="F103" s="54">
        <v>40513</v>
      </c>
      <c r="G103" s="57">
        <v>138.29</v>
      </c>
      <c r="M103" s="58">
        <v>138.86725135147694</v>
      </c>
      <c r="N103" s="58"/>
      <c r="O103" s="58">
        <v>138.86725135147694</v>
      </c>
      <c r="P103" s="16">
        <v>-0.57725135147694573</v>
      </c>
    </row>
    <row r="104" spans="6:16" x14ac:dyDescent="0.3">
      <c r="F104" s="54">
        <v>40544</v>
      </c>
      <c r="G104" s="57">
        <v>140.13999999999999</v>
      </c>
      <c r="M104" s="58">
        <v>139.27478311689774</v>
      </c>
      <c r="N104" s="58"/>
      <c r="O104" s="58">
        <v>139.27478311689774</v>
      </c>
      <c r="P104" s="16">
        <v>0.86521688310224931</v>
      </c>
    </row>
    <row r="105" spans="6:16" x14ac:dyDescent="0.3">
      <c r="F105" s="54">
        <v>40575</v>
      </c>
      <c r="G105" s="57">
        <v>140.72</v>
      </c>
      <c r="M105" s="58">
        <v>139.64975960912238</v>
      </c>
      <c r="N105" s="58"/>
      <c r="O105" s="58">
        <v>139.64975960912238</v>
      </c>
      <c r="P105" s="16">
        <v>1.0702403908776148</v>
      </c>
    </row>
    <row r="106" spans="6:16" x14ac:dyDescent="0.3">
      <c r="F106" s="54">
        <v>40603</v>
      </c>
      <c r="G106" s="57">
        <v>141.1</v>
      </c>
      <c r="M106" s="58">
        <v>139.99298602531749</v>
      </c>
      <c r="N106" s="58"/>
      <c r="O106" s="58">
        <v>139.99298602531749</v>
      </c>
      <c r="P106" s="16">
        <v>1.1070139746825021</v>
      </c>
    </row>
    <row r="107" spans="6:16" x14ac:dyDescent="0.3">
      <c r="F107" s="54">
        <v>40634</v>
      </c>
      <c r="G107" s="57">
        <v>140.84</v>
      </c>
      <c r="M107" s="58">
        <v>140.30593646289492</v>
      </c>
      <c r="N107" s="58"/>
      <c r="O107" s="58">
        <v>140.30593646289492</v>
      </c>
      <c r="P107" s="16">
        <v>0.5340635371050837</v>
      </c>
    </row>
    <row r="108" spans="6:16" x14ac:dyDescent="0.3">
      <c r="F108" s="54">
        <v>40664</v>
      </c>
      <c r="G108" s="57">
        <v>141.27000000000001</v>
      </c>
      <c r="M108" s="58">
        <v>140.59077690300066</v>
      </c>
      <c r="N108" s="58"/>
      <c r="O108" s="58">
        <v>140.59077690300066</v>
      </c>
      <c r="P108" s="16">
        <v>0.67922309699935113</v>
      </c>
    </row>
    <row r="109" spans="6:16" x14ac:dyDescent="0.3">
      <c r="F109" s="54">
        <v>40695</v>
      </c>
      <c r="G109" s="57">
        <v>142.22</v>
      </c>
      <c r="M109" s="58">
        <v>140.85000711649124</v>
      </c>
      <c r="N109" s="58"/>
      <c r="O109" s="58">
        <v>140.85000711649124</v>
      </c>
      <c r="P109" s="16">
        <v>1.3699928835087576</v>
      </c>
    </row>
    <row r="110" spans="6:16" x14ac:dyDescent="0.3">
      <c r="F110" s="54">
        <v>40725</v>
      </c>
      <c r="G110" s="57">
        <v>142.25</v>
      </c>
      <c r="M110" s="58">
        <v>141.08655138865819</v>
      </c>
      <c r="N110" s="58"/>
      <c r="O110" s="58">
        <v>141.08655138865819</v>
      </c>
      <c r="P110" s="16">
        <v>1.1634486113418063</v>
      </c>
    </row>
    <row r="111" spans="6:16" x14ac:dyDescent="0.3">
      <c r="F111" s="54">
        <v>40756</v>
      </c>
      <c r="G111" s="57">
        <v>141.96</v>
      </c>
      <c r="M111" s="58">
        <v>141.30419025034615</v>
      </c>
      <c r="N111" s="58"/>
      <c r="O111" s="58">
        <v>141.30419025034615</v>
      </c>
      <c r="P111" s="16">
        <v>0.65580974965385508</v>
      </c>
    </row>
    <row r="112" spans="6:16" x14ac:dyDescent="0.3">
      <c r="F112" s="54">
        <v>40787</v>
      </c>
      <c r="G112" s="57">
        <v>141.79</v>
      </c>
      <c r="M112" s="58">
        <v>141.50743138778193</v>
      </c>
      <c r="N112" s="58"/>
      <c r="O112" s="58">
        <v>141.50743138778193</v>
      </c>
      <c r="P112" s="16">
        <v>0.28256861221805707</v>
      </c>
    </row>
    <row r="113" spans="6:16" x14ac:dyDescent="0.3">
      <c r="F113" s="54">
        <v>40817</v>
      </c>
      <c r="G113" s="57">
        <v>141.58000000000001</v>
      </c>
      <c r="M113" s="58">
        <v>141.70119236828478</v>
      </c>
      <c r="N113" s="58"/>
      <c r="O113" s="58">
        <v>141.70119236828478</v>
      </c>
      <c r="P113" s="16">
        <v>-0.12119236828476687</v>
      </c>
    </row>
    <row r="114" spans="6:16" x14ac:dyDescent="0.3">
      <c r="F114" s="54">
        <v>40848</v>
      </c>
      <c r="G114" s="57">
        <v>142.25</v>
      </c>
      <c r="M114" s="58">
        <v>141.89056736455754</v>
      </c>
      <c r="N114" s="58"/>
      <c r="O114" s="58">
        <v>141.89056736455754</v>
      </c>
      <c r="P114" s="16">
        <v>0.35943263544245951</v>
      </c>
    </row>
    <row r="115" spans="6:16" x14ac:dyDescent="0.3">
      <c r="F115" s="54">
        <v>40878</v>
      </c>
      <c r="G115" s="57">
        <v>140.44999999999999</v>
      </c>
      <c r="M115" s="58">
        <v>142.08057480407277</v>
      </c>
      <c r="N115" s="58"/>
      <c r="O115" s="58">
        <v>142.08057480407277</v>
      </c>
      <c r="P115" s="16">
        <v>-1.6305748040727792</v>
      </c>
    </row>
    <row r="116" spans="6:16" x14ac:dyDescent="0.3">
      <c r="F116" s="54">
        <v>40909</v>
      </c>
      <c r="G116" s="57">
        <v>138.87</v>
      </c>
      <c r="M116" s="58">
        <v>142.27645775970004</v>
      </c>
      <c r="N116" s="58"/>
      <c r="O116" s="58">
        <v>142.27645775970004</v>
      </c>
      <c r="P116" s="16">
        <v>-3.4064577597000323</v>
      </c>
    </row>
    <row r="117" spans="6:16" x14ac:dyDescent="0.3">
      <c r="F117" s="54">
        <v>40940</v>
      </c>
      <c r="G117" s="57">
        <v>140.49</v>
      </c>
      <c r="M117" s="58">
        <v>142.482440195056</v>
      </c>
      <c r="N117" s="58"/>
      <c r="O117" s="58">
        <v>142.482440195056</v>
      </c>
      <c r="P117" s="16">
        <v>-1.9924401950559911</v>
      </c>
    </row>
    <row r="118" spans="6:16" x14ac:dyDescent="0.3">
      <c r="F118" s="54">
        <v>40969</v>
      </c>
      <c r="G118" s="57">
        <v>140.06</v>
      </c>
      <c r="M118" s="58">
        <v>142.70061703765853</v>
      </c>
      <c r="N118" s="58"/>
      <c r="O118" s="58">
        <v>142.70061703765853</v>
      </c>
      <c r="P118" s="16">
        <v>-2.6406170376585294</v>
      </c>
    </row>
    <row r="119" spans="6:16" x14ac:dyDescent="0.3">
      <c r="F119" s="54">
        <v>41000</v>
      </c>
      <c r="G119" s="57">
        <v>141.04</v>
      </c>
      <c r="M119" s="58">
        <v>142.93183793990289</v>
      </c>
      <c r="N119" s="58"/>
      <c r="O119" s="58">
        <v>142.93183793990289</v>
      </c>
      <c r="P119" s="16">
        <v>-1.8918379399028993</v>
      </c>
    </row>
    <row r="120" spans="6:16" x14ac:dyDescent="0.3">
      <c r="F120" s="54">
        <v>41030</v>
      </c>
      <c r="G120" s="57">
        <v>142.66999999999999</v>
      </c>
      <c r="M120" s="58">
        <v>143.17530216853615</v>
      </c>
      <c r="N120" s="58"/>
      <c r="O120" s="58">
        <v>143.17530216853615</v>
      </c>
      <c r="P120" s="16">
        <v>-0.50530216853616139</v>
      </c>
    </row>
    <row r="121" spans="6:16" x14ac:dyDescent="0.3">
      <c r="F121" s="54">
        <v>41061</v>
      </c>
      <c r="G121" s="57">
        <v>143.56</v>
      </c>
      <c r="M121" s="58">
        <v>143.4290265915925</v>
      </c>
      <c r="N121" s="58"/>
      <c r="O121" s="58">
        <v>143.4290265915925</v>
      </c>
      <c r="P121" s="16">
        <v>0.13097340840749894</v>
      </c>
    </row>
    <row r="122" spans="6:16" x14ac:dyDescent="0.3">
      <c r="F122" s="54">
        <v>41091</v>
      </c>
      <c r="G122" s="57">
        <v>144.03</v>
      </c>
      <c r="M122" s="58">
        <v>143.6907122632511</v>
      </c>
      <c r="N122" s="58"/>
      <c r="O122" s="58">
        <v>143.6907122632511</v>
      </c>
      <c r="P122" s="16">
        <v>0.33928773674890067</v>
      </c>
    </row>
    <row r="123" spans="6:16" x14ac:dyDescent="0.3">
      <c r="F123" s="54">
        <v>41122</v>
      </c>
      <c r="G123" s="57">
        <v>144.35</v>
      </c>
      <c r="M123" s="58">
        <v>143.95814209607136</v>
      </c>
      <c r="N123" s="58"/>
      <c r="O123" s="58">
        <v>143.95814209607136</v>
      </c>
      <c r="P123" s="16">
        <v>0.39185790392863851</v>
      </c>
    </row>
    <row r="124" spans="6:16" x14ac:dyDescent="0.3">
      <c r="F124" s="54">
        <v>41153</v>
      </c>
      <c r="G124" s="57">
        <v>143.71</v>
      </c>
      <c r="M124" s="58">
        <v>144.22931105744766</v>
      </c>
      <c r="N124" s="58"/>
      <c r="O124" s="58">
        <v>144.22931105744766</v>
      </c>
      <c r="P124" s="16">
        <v>-0.51931105744765205</v>
      </c>
    </row>
    <row r="125" spans="6:16" x14ac:dyDescent="0.3">
      <c r="F125" s="54">
        <v>41183</v>
      </c>
      <c r="G125" s="57">
        <v>144.86000000000001</v>
      </c>
      <c r="M125" s="58">
        <v>144.50245902596535</v>
      </c>
      <c r="N125" s="58"/>
      <c r="O125" s="58">
        <v>144.50245902596535</v>
      </c>
      <c r="P125" s="16">
        <v>0.3575409740346629</v>
      </c>
    </row>
    <row r="126" spans="6:16" x14ac:dyDescent="0.3">
      <c r="F126" s="54">
        <v>41214</v>
      </c>
      <c r="G126" s="57">
        <v>144.58000000000001</v>
      </c>
      <c r="M126" s="58">
        <v>144.77550131079826</v>
      </c>
      <c r="N126" s="58"/>
      <c r="O126" s="58">
        <v>144.77550131079826</v>
      </c>
      <c r="P126" s="16">
        <v>-0.19550131079824951</v>
      </c>
    </row>
    <row r="127" spans="6:16" x14ac:dyDescent="0.3">
      <c r="F127" s="54">
        <v>41244</v>
      </c>
      <c r="G127" s="57">
        <v>144.16</v>
      </c>
      <c r="M127" s="58">
        <v>145.04657668422865</v>
      </c>
      <c r="N127" s="58"/>
      <c r="O127" s="58">
        <v>145.04657668422865</v>
      </c>
      <c r="P127" s="16">
        <v>-0.88657668422865754</v>
      </c>
    </row>
    <row r="128" spans="6:16" x14ac:dyDescent="0.3">
      <c r="F128" s="54">
        <v>41275</v>
      </c>
      <c r="G128" s="57">
        <v>144.99</v>
      </c>
      <c r="M128" s="58">
        <v>145.31370173021986</v>
      </c>
      <c r="N128" s="58"/>
      <c r="O128" s="58">
        <v>145.31370173021986</v>
      </c>
      <c r="P128" s="16">
        <v>-0.32370173021985238</v>
      </c>
    </row>
    <row r="129" spans="6:16" x14ac:dyDescent="0.3">
      <c r="F129" s="54">
        <v>41306</v>
      </c>
      <c r="G129" s="57">
        <v>143.77000000000001</v>
      </c>
      <c r="M129" s="58">
        <v>145.57433892230776</v>
      </c>
      <c r="N129" s="58"/>
      <c r="O129" s="58">
        <v>145.57433892230776</v>
      </c>
      <c r="P129" s="16">
        <v>-1.8043389223077497</v>
      </c>
    </row>
    <row r="130" spans="6:16" x14ac:dyDescent="0.3">
      <c r="F130" s="54">
        <v>41334</v>
      </c>
      <c r="G130" s="57">
        <v>144.94999999999999</v>
      </c>
      <c r="M130" s="58">
        <v>145.82574842044656</v>
      </c>
      <c r="N130" s="58"/>
      <c r="O130" s="58">
        <v>145.82574842044656</v>
      </c>
      <c r="P130" s="16">
        <v>-0.87574842044656975</v>
      </c>
    </row>
    <row r="131" spans="6:16" x14ac:dyDescent="0.3">
      <c r="F131" s="54">
        <v>41365</v>
      </c>
      <c r="G131" s="57">
        <v>146.24</v>
      </c>
      <c r="M131" s="58">
        <v>146.06406267276415</v>
      </c>
      <c r="N131" s="58"/>
      <c r="O131" s="58">
        <v>146.06406267276415</v>
      </c>
      <c r="P131" s="16">
        <v>0.17593732723585731</v>
      </c>
    </row>
    <row r="132" spans="6:16" x14ac:dyDescent="0.3">
      <c r="F132" s="54">
        <v>41395</v>
      </c>
      <c r="G132" s="57">
        <v>146.83000000000001</v>
      </c>
      <c r="M132" s="58">
        <v>146.28486678462571</v>
      </c>
      <c r="N132" s="58"/>
      <c r="O132" s="58">
        <v>146.28486678462571</v>
      </c>
      <c r="P132" s="16">
        <v>0.5451332153743067</v>
      </c>
    </row>
    <row r="133" spans="6:16" x14ac:dyDescent="0.3">
      <c r="F133" s="54">
        <v>41426</v>
      </c>
      <c r="G133" s="57">
        <v>146.35</v>
      </c>
      <c r="M133" s="58">
        <v>146.48385582222588</v>
      </c>
      <c r="N133" s="58"/>
      <c r="O133" s="58">
        <v>146.48385582222588</v>
      </c>
      <c r="P133" s="16">
        <v>-0.13385582222588255</v>
      </c>
    </row>
    <row r="134" spans="6:16" x14ac:dyDescent="0.3">
      <c r="F134" s="54">
        <v>41456</v>
      </c>
      <c r="G134" s="57">
        <v>147.19</v>
      </c>
      <c r="M134" s="58">
        <v>146.65706556001851</v>
      </c>
      <c r="N134" s="58"/>
      <c r="O134" s="58">
        <v>146.65706556001851</v>
      </c>
      <c r="P134" s="16">
        <v>0.53293443998148859</v>
      </c>
    </row>
    <row r="135" spans="6:16" x14ac:dyDescent="0.3">
      <c r="F135" s="54">
        <v>41487</v>
      </c>
      <c r="G135" s="57">
        <v>147.11000000000001</v>
      </c>
      <c r="M135" s="58">
        <v>146.8004481125696</v>
      </c>
      <c r="N135" s="58"/>
      <c r="O135" s="58">
        <v>146.8004481125696</v>
      </c>
      <c r="P135" s="16">
        <v>0.30955188743041617</v>
      </c>
    </row>
    <row r="136" spans="6:16" x14ac:dyDescent="0.3">
      <c r="F136" s="54">
        <v>41518</v>
      </c>
      <c r="G136" s="57">
        <v>148.13999999999999</v>
      </c>
      <c r="M136" s="58">
        <v>146.91028867846939</v>
      </c>
      <c r="N136" s="58"/>
      <c r="O136" s="58">
        <v>146.91028867846939</v>
      </c>
      <c r="P136" s="16">
        <v>1.2297113215306013</v>
      </c>
    </row>
    <row r="137" spans="6:16" x14ac:dyDescent="0.3">
      <c r="F137" s="54">
        <v>41548</v>
      </c>
      <c r="G137" s="57">
        <v>147.99</v>
      </c>
      <c r="M137" s="58">
        <v>146.98306592623734</v>
      </c>
      <c r="N137" s="58"/>
      <c r="O137" s="58">
        <v>146.98306592623734</v>
      </c>
      <c r="P137" s="16">
        <v>1.0069340737626646</v>
      </c>
    </row>
    <row r="138" spans="6:16" x14ac:dyDescent="0.3">
      <c r="F138" s="54">
        <v>41579</v>
      </c>
      <c r="G138" s="57">
        <v>148.34</v>
      </c>
      <c r="M138" s="58">
        <v>147.01602709396968</v>
      </c>
      <c r="N138" s="58"/>
      <c r="O138" s="58">
        <v>147.01602709396968</v>
      </c>
      <c r="P138" s="16">
        <v>1.3239729060303205</v>
      </c>
    </row>
    <row r="139" spans="6:16" x14ac:dyDescent="0.3">
      <c r="F139" s="54">
        <v>41609</v>
      </c>
      <c r="G139" s="57">
        <v>148.61000000000001</v>
      </c>
      <c r="M139" s="58">
        <v>147.00704875355828</v>
      </c>
      <c r="N139" s="58"/>
      <c r="O139" s="58">
        <v>147.00704875355828</v>
      </c>
      <c r="P139" s="16">
        <v>1.6029512464417337</v>
      </c>
    </row>
    <row r="140" spans="6:16" x14ac:dyDescent="0.3">
      <c r="F140" s="54">
        <v>41640</v>
      </c>
      <c r="G140" s="57">
        <v>148.27000000000001</v>
      </c>
      <c r="M140" s="58">
        <v>146.95483495996115</v>
      </c>
      <c r="N140" s="58"/>
      <c r="O140" s="58">
        <v>146.95483495996115</v>
      </c>
      <c r="P140" s="16">
        <v>1.3151650400388633</v>
      </c>
    </row>
    <row r="141" spans="6:16" x14ac:dyDescent="0.3">
      <c r="F141" s="54">
        <v>41671</v>
      </c>
      <c r="G141" s="57">
        <v>147.85</v>
      </c>
      <c r="M141" s="58">
        <v>146.85909161266596</v>
      </c>
      <c r="N141" s="58"/>
      <c r="O141" s="58">
        <v>146.85909161266596</v>
      </c>
      <c r="P141" s="16">
        <v>0.99090838733403075</v>
      </c>
    </row>
    <row r="142" spans="6:16" x14ac:dyDescent="0.3">
      <c r="F142" s="54">
        <v>41699</v>
      </c>
      <c r="G142" s="57">
        <v>147.88999999999999</v>
      </c>
      <c r="M142" s="58">
        <v>146.72034658930906</v>
      </c>
      <c r="N142" s="58"/>
      <c r="O142" s="58">
        <v>146.72034658930906</v>
      </c>
      <c r="P142" s="16">
        <v>1.1696534106909269</v>
      </c>
    </row>
    <row r="143" spans="6:16" x14ac:dyDescent="0.3">
      <c r="F143" s="54">
        <v>41730</v>
      </c>
      <c r="G143" s="57">
        <v>146.88</v>
      </c>
      <c r="M143" s="58">
        <v>146.53974708527008</v>
      </c>
      <c r="N143" s="58"/>
      <c r="O143" s="58">
        <v>146.53974708527008</v>
      </c>
      <c r="P143" s="16">
        <v>0.34025291472991626</v>
      </c>
    </row>
    <row r="144" spans="6:16" x14ac:dyDescent="0.3">
      <c r="F144" s="54">
        <v>41760</v>
      </c>
      <c r="G144" s="57">
        <v>146.30000000000001</v>
      </c>
      <c r="M144" s="58">
        <v>146.31917132931011</v>
      </c>
      <c r="N144" s="58"/>
      <c r="O144" s="58">
        <v>146.31917132931011</v>
      </c>
      <c r="P144" s="16">
        <v>-1.9171329310097462E-2</v>
      </c>
    </row>
    <row r="145" spans="6:16" x14ac:dyDescent="0.3">
      <c r="F145" s="54">
        <v>41791</v>
      </c>
      <c r="G145" s="57">
        <v>143.61000000000001</v>
      </c>
      <c r="M145" s="58">
        <v>146.06071020826127</v>
      </c>
      <c r="N145" s="58"/>
      <c r="O145" s="58">
        <v>146.06071020826127</v>
      </c>
      <c r="P145" s="16">
        <v>-2.4507102082612562</v>
      </c>
    </row>
    <row r="146" spans="6:16" x14ac:dyDescent="0.3">
      <c r="F146" s="54">
        <v>41821</v>
      </c>
      <c r="G146" s="57">
        <v>144.81</v>
      </c>
      <c r="M146" s="58">
        <v>145.76644262687537</v>
      </c>
      <c r="N146" s="58"/>
      <c r="O146" s="58">
        <v>145.76644262687537</v>
      </c>
      <c r="P146" s="16">
        <v>-0.95644262687537207</v>
      </c>
    </row>
    <row r="147" spans="6:16" x14ac:dyDescent="0.3">
      <c r="F147" s="54">
        <v>41852</v>
      </c>
      <c r="G147" s="57">
        <v>145.58000000000001</v>
      </c>
      <c r="M147" s="58">
        <v>145.43691579602358</v>
      </c>
      <c r="N147" s="58"/>
      <c r="O147" s="58">
        <v>145.43691579602358</v>
      </c>
      <c r="P147" s="16">
        <v>0.14308420397642863</v>
      </c>
    </row>
    <row r="148" spans="6:16" x14ac:dyDescent="0.3">
      <c r="F148" s="54">
        <v>41883</v>
      </c>
      <c r="G148" s="57">
        <v>146.24</v>
      </c>
      <c r="M148" s="58">
        <v>145.07207914993617</v>
      </c>
      <c r="N148" s="58"/>
      <c r="O148" s="58">
        <v>145.07207914993617</v>
      </c>
      <c r="P148" s="16">
        <v>1.1679208500638367</v>
      </c>
    </row>
    <row r="149" spans="6:16" x14ac:dyDescent="0.3">
      <c r="F149" s="54">
        <v>41913</v>
      </c>
      <c r="G149" s="57">
        <v>145.41999999999999</v>
      </c>
      <c r="M149" s="58">
        <v>144.67197155046949</v>
      </c>
      <c r="N149" s="58"/>
      <c r="O149" s="58">
        <v>144.67197155046949</v>
      </c>
      <c r="P149" s="16">
        <v>0.7480284495304943</v>
      </c>
    </row>
    <row r="150" spans="6:16" x14ac:dyDescent="0.3">
      <c r="F150" s="54">
        <v>41944</v>
      </c>
      <c r="G150" s="57">
        <v>145.56</v>
      </c>
      <c r="M150" s="58">
        <v>144.23736181001226</v>
      </c>
      <c r="N150" s="58"/>
      <c r="O150" s="58">
        <v>144.23736181001226</v>
      </c>
      <c r="P150" s="16">
        <v>1.3226381899877424</v>
      </c>
    </row>
    <row r="151" spans="6:16" x14ac:dyDescent="0.3">
      <c r="F151" s="54">
        <v>41974</v>
      </c>
      <c r="G151" s="57">
        <v>146.21</v>
      </c>
      <c r="M151" s="58">
        <v>143.76948625873348</v>
      </c>
      <c r="N151" s="58"/>
      <c r="O151" s="58">
        <v>143.76948625873348</v>
      </c>
      <c r="P151" s="16">
        <v>2.4405137412665283</v>
      </c>
    </row>
    <row r="152" spans="6:16" x14ac:dyDescent="0.3">
      <c r="F152" s="54">
        <v>42005</v>
      </c>
      <c r="G152" s="57">
        <v>144.96</v>
      </c>
      <c r="M152" s="58">
        <v>143.27040787567151</v>
      </c>
      <c r="N152" s="58"/>
      <c r="O152" s="58">
        <v>143.27040787567151</v>
      </c>
      <c r="P152" s="16">
        <v>1.6895921243284988</v>
      </c>
    </row>
    <row r="153" spans="6:16" x14ac:dyDescent="0.3">
      <c r="F153" s="54">
        <v>42036</v>
      </c>
      <c r="G153" s="57">
        <v>143.97999999999999</v>
      </c>
      <c r="M153" s="58">
        <v>142.7437149609523</v>
      </c>
      <c r="N153" s="58"/>
      <c r="O153" s="58">
        <v>142.7437149609523</v>
      </c>
      <c r="P153" s="16">
        <v>1.2362850390476865</v>
      </c>
    </row>
    <row r="154" spans="6:16" x14ac:dyDescent="0.3">
      <c r="F154" s="54">
        <v>42064</v>
      </c>
      <c r="G154" s="57">
        <v>143.72999999999999</v>
      </c>
      <c r="M154" s="58">
        <v>142.19405180977992</v>
      </c>
      <c r="N154" s="58"/>
      <c r="O154" s="58">
        <v>142.19405180977992</v>
      </c>
      <c r="P154" s="16">
        <v>1.5359481902200685</v>
      </c>
    </row>
    <row r="155" spans="6:16" x14ac:dyDescent="0.3">
      <c r="F155" s="54">
        <v>42095</v>
      </c>
      <c r="G155" s="57">
        <v>142.38</v>
      </c>
      <c r="M155" s="58">
        <v>141.62683539550764</v>
      </c>
      <c r="N155" s="58"/>
      <c r="O155" s="58">
        <v>141.62683539550764</v>
      </c>
      <c r="P155" s="16">
        <v>0.75316460449235478</v>
      </c>
    </row>
    <row r="156" spans="6:16" x14ac:dyDescent="0.3">
      <c r="F156" s="54">
        <v>42125</v>
      </c>
      <c r="G156" s="57">
        <v>141.08000000000001</v>
      </c>
      <c r="M156" s="58">
        <v>141.04844265910805</v>
      </c>
      <c r="N156" s="58"/>
      <c r="O156" s="58">
        <v>141.04844265910805</v>
      </c>
      <c r="P156" s="16">
        <v>3.1557340891964714E-2</v>
      </c>
    </row>
    <row r="157" spans="6:16" x14ac:dyDescent="0.3">
      <c r="F157" s="54">
        <v>42156</v>
      </c>
      <c r="G157" s="57">
        <v>139.58000000000001</v>
      </c>
      <c r="M157" s="58">
        <v>140.46572126943113</v>
      </c>
      <c r="N157" s="58"/>
      <c r="O157" s="58">
        <v>140.46572126943113</v>
      </c>
      <c r="P157" s="16">
        <v>-0.88572126943111584</v>
      </c>
    </row>
    <row r="158" spans="6:16" x14ac:dyDescent="0.3">
      <c r="F158" s="54">
        <v>42186</v>
      </c>
      <c r="G158" s="57">
        <v>138.66999999999999</v>
      </c>
      <c r="M158" s="58">
        <v>139.88553861866538</v>
      </c>
      <c r="N158" s="58"/>
      <c r="O158" s="58">
        <v>139.88553861866538</v>
      </c>
      <c r="P158" s="16">
        <v>-1.2155386186653914</v>
      </c>
    </row>
    <row r="159" spans="6:16" x14ac:dyDescent="0.3">
      <c r="F159" s="54">
        <v>42217</v>
      </c>
      <c r="G159" s="57">
        <v>138.93</v>
      </c>
      <c r="M159" s="58">
        <v>139.31420852320562</v>
      </c>
      <c r="N159" s="58"/>
      <c r="O159" s="58">
        <v>139.31420852320562</v>
      </c>
      <c r="P159" s="16">
        <v>-0.38420852320561494</v>
      </c>
    </row>
    <row r="160" spans="6:16" x14ac:dyDescent="0.3">
      <c r="F160" s="54">
        <v>42248</v>
      </c>
      <c r="G160" s="57">
        <v>137.57</v>
      </c>
      <c r="M160" s="58">
        <v>138.75728508781037</v>
      </c>
      <c r="N160" s="58"/>
      <c r="O160" s="58">
        <v>138.75728508781037</v>
      </c>
      <c r="P160" s="16">
        <v>-1.1872850878103804</v>
      </c>
    </row>
    <row r="161" spans="6:16" x14ac:dyDescent="0.3">
      <c r="F161" s="54">
        <v>42278</v>
      </c>
      <c r="G161" s="57">
        <v>138.51</v>
      </c>
      <c r="M161" s="58">
        <v>138.22008228691064</v>
      </c>
      <c r="N161" s="58"/>
      <c r="O161" s="58">
        <v>138.22008228691064</v>
      </c>
      <c r="P161" s="16">
        <v>0.28991771308935199</v>
      </c>
    </row>
    <row r="162" spans="6:16" x14ac:dyDescent="0.3">
      <c r="F162" s="54">
        <v>42309</v>
      </c>
      <c r="G162" s="57">
        <v>136.68</v>
      </c>
      <c r="M162" s="58">
        <v>137.70717204175784</v>
      </c>
      <c r="N162" s="58"/>
      <c r="O162" s="58">
        <v>137.70717204175784</v>
      </c>
      <c r="P162" s="16">
        <v>-1.0271720417578365</v>
      </c>
    </row>
    <row r="163" spans="6:16" x14ac:dyDescent="0.3">
      <c r="F163" s="54">
        <v>42339</v>
      </c>
      <c r="G163" s="57">
        <v>136.31</v>
      </c>
      <c r="M163" s="58">
        <v>137.22330747217381</v>
      </c>
      <c r="N163" s="58"/>
      <c r="O163" s="58">
        <v>137.22330747217381</v>
      </c>
      <c r="P163" s="16">
        <v>-0.91330747217381258</v>
      </c>
    </row>
    <row r="164" spans="6:16" x14ac:dyDescent="0.3">
      <c r="F164" s="54">
        <v>42370</v>
      </c>
      <c r="G164" s="57">
        <v>135.52000000000001</v>
      </c>
      <c r="M164" s="58">
        <v>136.77259971545482</v>
      </c>
      <c r="N164" s="58"/>
      <c r="O164" s="58">
        <v>136.77259971545482</v>
      </c>
      <c r="P164" s="16">
        <v>-1.2525997154548065</v>
      </c>
    </row>
    <row r="165" spans="6:16" x14ac:dyDescent="0.3">
      <c r="F165" s="54">
        <v>42401</v>
      </c>
      <c r="G165" s="57">
        <v>135.51</v>
      </c>
      <c r="M165" s="58">
        <v>136.35858909172651</v>
      </c>
      <c r="N165" s="58"/>
      <c r="O165" s="58">
        <v>136.35858909172651</v>
      </c>
      <c r="P165" s="16">
        <v>-0.84858909172652375</v>
      </c>
    </row>
    <row r="166" spans="6:16" x14ac:dyDescent="0.3">
      <c r="F166" s="54">
        <v>42430</v>
      </c>
      <c r="G166" s="57">
        <v>134.61000000000001</v>
      </c>
      <c r="M166" s="58">
        <v>135.98403304629281</v>
      </c>
      <c r="N166" s="58"/>
      <c r="O166" s="58">
        <v>135.98403304629281</v>
      </c>
      <c r="P166" s="16">
        <v>-1.3740330462927943</v>
      </c>
    </row>
    <row r="167" spans="6:16" x14ac:dyDescent="0.3">
      <c r="F167" s="54">
        <v>42461</v>
      </c>
      <c r="G167" s="57">
        <v>134.72999999999999</v>
      </c>
      <c r="M167" s="58">
        <v>135.65115865627442</v>
      </c>
      <c r="N167" s="58"/>
      <c r="O167" s="58">
        <v>135.65115865627442</v>
      </c>
      <c r="P167" s="16">
        <v>-0.92115865627442872</v>
      </c>
    </row>
    <row r="168" spans="6:16" x14ac:dyDescent="0.3">
      <c r="F168" s="54">
        <v>42491</v>
      </c>
      <c r="G168" s="57">
        <v>134.29</v>
      </c>
      <c r="M168" s="58">
        <v>135.36133422813913</v>
      </c>
      <c r="N168" s="58"/>
      <c r="O168" s="58">
        <v>135.36133422813913</v>
      </c>
      <c r="P168" s="16">
        <v>-1.0713342281391363</v>
      </c>
    </row>
    <row r="169" spans="6:16" x14ac:dyDescent="0.3">
      <c r="F169" s="54">
        <v>42522</v>
      </c>
      <c r="G169" s="57">
        <v>134.84</v>
      </c>
      <c r="M169" s="58">
        <v>135.11535234419418</v>
      </c>
      <c r="N169" s="58"/>
      <c r="O169" s="58">
        <v>135.11535234419418</v>
      </c>
      <c r="P169" s="16">
        <v>-0.2753523441941752</v>
      </c>
    </row>
    <row r="170" spans="6:16" x14ac:dyDescent="0.3">
      <c r="F170" s="54">
        <v>42552</v>
      </c>
      <c r="G170" s="57">
        <v>134.61000000000001</v>
      </c>
      <c r="M170" s="58">
        <v>134.91333600285404</v>
      </c>
      <c r="N170" s="58"/>
      <c r="O170" s="58">
        <v>134.91333600285404</v>
      </c>
      <c r="P170" s="16">
        <v>-0.3033360028540244</v>
      </c>
    </row>
    <row r="171" spans="6:16" x14ac:dyDescent="0.3">
      <c r="F171" s="54">
        <v>42583</v>
      </c>
      <c r="G171" s="57">
        <v>134</v>
      </c>
      <c r="M171" s="58">
        <v>134.75523610731841</v>
      </c>
      <c r="N171" s="58"/>
      <c r="O171" s="58">
        <v>134.75523610731841</v>
      </c>
      <c r="P171" s="16">
        <v>-0.75523610731841018</v>
      </c>
    </row>
    <row r="172" spans="6:16" x14ac:dyDescent="0.3">
      <c r="F172" s="54">
        <v>42614</v>
      </c>
      <c r="G172" s="57">
        <v>133.75</v>
      </c>
      <c r="M172" s="58">
        <v>134.64081397578468</v>
      </c>
      <c r="N172" s="58"/>
      <c r="O172" s="58">
        <v>134.64081397578468</v>
      </c>
      <c r="P172" s="16">
        <v>-0.89081397578468113</v>
      </c>
    </row>
    <row r="173" spans="6:16" x14ac:dyDescent="0.3">
      <c r="F173" s="54">
        <v>42644</v>
      </c>
      <c r="G173" s="57">
        <v>133.30000000000001</v>
      </c>
      <c r="M173" s="58">
        <v>134.56935890388357</v>
      </c>
      <c r="N173" s="58"/>
      <c r="O173" s="58">
        <v>134.56935890388357</v>
      </c>
      <c r="P173" s="16">
        <v>-1.2693589038835569</v>
      </c>
    </row>
    <row r="174" spans="6:16" x14ac:dyDescent="0.3">
      <c r="F174" s="54">
        <v>42675</v>
      </c>
      <c r="G174" s="57">
        <v>133.02000000000001</v>
      </c>
      <c r="M174" s="58">
        <v>134.5396034285109</v>
      </c>
      <c r="N174" s="58"/>
      <c r="O174" s="58">
        <v>134.5396034285109</v>
      </c>
      <c r="P174" s="16">
        <v>-1.5196034285108908</v>
      </c>
    </row>
    <row r="175" spans="6:16" x14ac:dyDescent="0.3">
      <c r="F175" s="54">
        <v>42705</v>
      </c>
      <c r="G175" s="57">
        <v>132.36000000000001</v>
      </c>
      <c r="M175" s="58">
        <v>134.54948673724715</v>
      </c>
      <c r="N175" s="58"/>
      <c r="O175" s="58">
        <v>134.54948673724715</v>
      </c>
      <c r="P175" s="16">
        <v>-2.1894867372471367</v>
      </c>
    </row>
    <row r="176" spans="6:16" x14ac:dyDescent="0.3">
      <c r="F176" s="54">
        <v>42736</v>
      </c>
      <c r="G176" s="57">
        <v>133.37</v>
      </c>
      <c r="M176" s="58">
        <v>134.5959982655306</v>
      </c>
      <c r="N176" s="58"/>
      <c r="O176" s="58">
        <v>134.5959982655306</v>
      </c>
      <c r="P176" s="16">
        <v>-1.2259982655305919</v>
      </c>
    </row>
    <row r="177" spans="6:16" x14ac:dyDescent="0.3">
      <c r="F177" s="54">
        <v>42767</v>
      </c>
      <c r="G177" s="57">
        <v>135.4</v>
      </c>
      <c r="M177" s="58">
        <v>134.67475901958849</v>
      </c>
      <c r="N177" s="58"/>
      <c r="O177" s="58">
        <v>134.67475901958849</v>
      </c>
      <c r="P177" s="16">
        <v>0.72524098041151319</v>
      </c>
    </row>
    <row r="178" spans="6:16" x14ac:dyDescent="0.3">
      <c r="F178" s="54">
        <v>42795</v>
      </c>
      <c r="G178" s="57">
        <v>135.65</v>
      </c>
      <c r="M178" s="58">
        <v>134.78062375673238</v>
      </c>
      <c r="N178" s="58"/>
      <c r="O178" s="58">
        <v>134.78062375673238</v>
      </c>
      <c r="P178" s="16">
        <v>0.86937624326762375</v>
      </c>
    </row>
    <row r="179" spans="6:16" x14ac:dyDescent="0.3">
      <c r="F179" s="54">
        <v>42826</v>
      </c>
      <c r="G179" s="57">
        <v>135.77000000000001</v>
      </c>
      <c r="M179" s="58">
        <v>134.90890050988614</v>
      </c>
      <c r="N179" s="58"/>
      <c r="O179" s="58">
        <v>134.90890050988614</v>
      </c>
      <c r="P179" s="16">
        <v>0.86109949011387243</v>
      </c>
    </row>
    <row r="180" spans="6:16" x14ac:dyDescent="0.3">
      <c r="F180" s="54">
        <v>42856</v>
      </c>
      <c r="G180" s="57">
        <v>135.16999999999999</v>
      </c>
      <c r="M180" s="58">
        <v>135.05544067212591</v>
      </c>
      <c r="N180" s="58"/>
      <c r="O180" s="58">
        <v>135.05544067212591</v>
      </c>
      <c r="P180" s="16">
        <v>0.11455932787407619</v>
      </c>
    </row>
    <row r="181" spans="6:16" x14ac:dyDescent="0.3">
      <c r="F181" s="54">
        <v>42887</v>
      </c>
      <c r="G181" s="57">
        <v>136.04</v>
      </c>
      <c r="M181" s="58">
        <v>135.21663382370937</v>
      </c>
      <c r="N181" s="58"/>
      <c r="O181" s="58">
        <v>135.21663382370937</v>
      </c>
      <c r="P181" s="16">
        <v>0.82336617629061948</v>
      </c>
    </row>
    <row r="182" spans="6:16" x14ac:dyDescent="0.3">
      <c r="F182" s="54">
        <v>42917</v>
      </c>
      <c r="G182" s="57">
        <v>136.49</v>
      </c>
      <c r="M182" s="58">
        <v>135.38894114447399</v>
      </c>
      <c r="N182" s="58"/>
      <c r="O182" s="58">
        <v>135.38894114447399</v>
      </c>
      <c r="P182" s="16">
        <v>1.1010588555260199</v>
      </c>
    </row>
    <row r="183" spans="6:16" x14ac:dyDescent="0.3">
      <c r="F183" s="54">
        <v>42948</v>
      </c>
      <c r="G183" s="57">
        <v>135.81</v>
      </c>
      <c r="M183" s="58">
        <v>135.5693384181171</v>
      </c>
      <c r="N183" s="58"/>
      <c r="O183" s="58">
        <v>135.5693384181171</v>
      </c>
      <c r="P183" s="16">
        <v>0.24066158188290387</v>
      </c>
    </row>
    <row r="184" spans="6:16" x14ac:dyDescent="0.3">
      <c r="F184" s="54">
        <v>42979</v>
      </c>
      <c r="G184" s="57">
        <v>135.49</v>
      </c>
      <c r="M184" s="58">
        <v>135.75548959012107</v>
      </c>
      <c r="N184" s="58"/>
      <c r="O184" s="58">
        <v>135.75548959012107</v>
      </c>
      <c r="P184" s="16">
        <v>-0.26548959012106366</v>
      </c>
    </row>
    <row r="185" spans="6:16" x14ac:dyDescent="0.3">
      <c r="F185" s="54">
        <v>43009</v>
      </c>
      <c r="G185" s="57">
        <v>135.77000000000001</v>
      </c>
      <c r="M185" s="58">
        <v>135.94520901945683</v>
      </c>
      <c r="N185" s="58"/>
      <c r="O185" s="58">
        <v>135.94520901945683</v>
      </c>
      <c r="P185" s="16">
        <v>-0.17520901945681544</v>
      </c>
    </row>
    <row r="186" spans="6:16" x14ac:dyDescent="0.3">
      <c r="F186" s="54">
        <v>43040</v>
      </c>
      <c r="G186" s="57">
        <v>135.57</v>
      </c>
      <c r="M186" s="58">
        <v>136.13614513410121</v>
      </c>
      <c r="N186" s="58"/>
      <c r="O186" s="58">
        <v>136.13614513410121</v>
      </c>
      <c r="P186" s="16">
        <v>-0.56614513410121958</v>
      </c>
    </row>
    <row r="187" spans="6:16" x14ac:dyDescent="0.3">
      <c r="F187" s="54">
        <v>43070</v>
      </c>
      <c r="G187" s="57">
        <v>137.43</v>
      </c>
      <c r="M187" s="58">
        <v>136.32583685639446</v>
      </c>
      <c r="N187" s="58"/>
      <c r="O187" s="58">
        <v>136.32583685639446</v>
      </c>
      <c r="P187" s="16">
        <v>1.1041631436055468</v>
      </c>
    </row>
    <row r="188" spans="6:16" x14ac:dyDescent="0.3">
      <c r="F188" s="54">
        <v>43101</v>
      </c>
      <c r="G188" s="57">
        <v>136.85</v>
      </c>
      <c r="M188" s="58">
        <v>136.5114692679675</v>
      </c>
      <c r="N188" s="58"/>
      <c r="O188" s="58">
        <v>136.5114692679675</v>
      </c>
      <c r="P188" s="16">
        <v>0.33853073203249551</v>
      </c>
    </row>
    <row r="189" spans="6:16" x14ac:dyDescent="0.3">
      <c r="F189" s="54">
        <v>43132</v>
      </c>
      <c r="G189" s="57">
        <v>136.63999999999999</v>
      </c>
      <c r="M189" s="58">
        <v>136.69091755241629</v>
      </c>
      <c r="N189" s="58"/>
      <c r="O189" s="58">
        <v>136.69091755241629</v>
      </c>
      <c r="P189" s="16">
        <v>-5.0917552416308354E-2</v>
      </c>
    </row>
    <row r="190" spans="6:16" x14ac:dyDescent="0.3">
      <c r="F190" s="54">
        <v>43160</v>
      </c>
      <c r="G190" s="57">
        <v>137.26</v>
      </c>
      <c r="M190" s="58">
        <v>136.862268475044</v>
      </c>
      <c r="N190" s="58"/>
      <c r="O190" s="58">
        <v>136.862268475044</v>
      </c>
      <c r="P190" s="16">
        <v>0.39773152495598652</v>
      </c>
    </row>
    <row r="191" spans="6:16" x14ac:dyDescent="0.3">
      <c r="F191" s="54">
        <v>43191</v>
      </c>
      <c r="G191" s="57">
        <v>138.36000000000001</v>
      </c>
      <c r="M191" s="58">
        <v>137.02357697768394</v>
      </c>
      <c r="N191" s="58"/>
      <c r="O191" s="58">
        <v>137.02357697768394</v>
      </c>
      <c r="P191" s="16">
        <v>1.3364230223160689</v>
      </c>
    </row>
    <row r="192" spans="6:16" x14ac:dyDescent="0.3">
      <c r="F192" s="54">
        <v>43221</v>
      </c>
      <c r="G192" s="57">
        <v>133.38999999999999</v>
      </c>
      <c r="M192" s="58">
        <v>137.17314658437212</v>
      </c>
      <c r="N192" s="58"/>
      <c r="O192" s="58">
        <v>137.17314658437212</v>
      </c>
      <c r="P192" s="16">
        <v>-3.7831465843721332</v>
      </c>
    </row>
    <row r="193" spans="6:16" x14ac:dyDescent="0.3">
      <c r="F193" s="54">
        <v>43252</v>
      </c>
      <c r="G193" s="57">
        <v>137.44</v>
      </c>
      <c r="M193" s="58">
        <v>137.31011608353387</v>
      </c>
      <c r="N193" s="58"/>
      <c r="O193" s="58">
        <v>137.31011608353387</v>
      </c>
      <c r="P193" s="16">
        <v>0.1298839164661274</v>
      </c>
    </row>
    <row r="194" spans="6:16" x14ac:dyDescent="0.3">
      <c r="F194" s="54">
        <v>43282</v>
      </c>
      <c r="G194" s="57">
        <v>138.04</v>
      </c>
      <c r="M194" s="58">
        <v>137.43125979697902</v>
      </c>
      <c r="N194" s="58"/>
      <c r="O194" s="58">
        <v>137.43125979697902</v>
      </c>
      <c r="P194" s="16">
        <v>0.60874020302097165</v>
      </c>
    </row>
    <row r="195" spans="6:16" x14ac:dyDescent="0.3">
      <c r="F195" s="54">
        <v>43313</v>
      </c>
      <c r="G195" s="57">
        <v>139.32</v>
      </c>
      <c r="M195" s="58">
        <v>137.53343322396535</v>
      </c>
      <c r="N195" s="58"/>
      <c r="O195" s="58">
        <v>137.53343322396535</v>
      </c>
      <c r="P195" s="16">
        <v>1.7865667760346469</v>
      </c>
    </row>
    <row r="196" spans="6:16" x14ac:dyDescent="0.3">
      <c r="F196" s="54">
        <v>43344</v>
      </c>
      <c r="G196" s="57">
        <v>137.99</v>
      </c>
      <c r="M196" s="58">
        <v>137.61387232637784</v>
      </c>
      <c r="N196" s="58"/>
      <c r="O196" s="58">
        <v>137.61387232637784</v>
      </c>
      <c r="P196" s="16">
        <v>0.37612767362216459</v>
      </c>
    </row>
    <row r="197" spans="6:16" x14ac:dyDescent="0.3">
      <c r="F197" s="54">
        <v>43374</v>
      </c>
      <c r="G197" s="57">
        <v>138.06</v>
      </c>
      <c r="M197" s="58">
        <v>137.67092967033608</v>
      </c>
      <c r="N197" s="58"/>
      <c r="O197" s="58">
        <v>137.67092967033608</v>
      </c>
      <c r="P197" s="16">
        <v>0.38907032966392308</v>
      </c>
    </row>
    <row r="198" spans="6:16" x14ac:dyDescent="0.3">
      <c r="F198" s="54">
        <v>43405</v>
      </c>
      <c r="G198" s="57">
        <v>137.86000000000001</v>
      </c>
      <c r="M198" s="58">
        <v>137.70319290175598</v>
      </c>
      <c r="N198" s="58"/>
      <c r="O198" s="58">
        <v>137.70319290175598</v>
      </c>
      <c r="P198" s="16">
        <v>0.15680709824403039</v>
      </c>
    </row>
    <row r="199" spans="6:16" x14ac:dyDescent="0.3">
      <c r="F199" s="54">
        <v>43435</v>
      </c>
      <c r="G199" s="57">
        <v>138.53</v>
      </c>
      <c r="M199" s="58">
        <v>137.70949283550925</v>
      </c>
      <c r="N199" s="58"/>
      <c r="O199" s="58">
        <v>137.70949283550925</v>
      </c>
      <c r="P199" s="16">
        <v>0.82050716449074912</v>
      </c>
    </row>
    <row r="200" spans="6:16" x14ac:dyDescent="0.3">
      <c r="F200" s="54">
        <v>43466</v>
      </c>
      <c r="G200" s="57">
        <v>138.47999999999999</v>
      </c>
      <c r="M200" s="58">
        <v>137.68875829090416</v>
      </c>
      <c r="N200" s="58"/>
      <c r="O200" s="58">
        <v>137.68875829090416</v>
      </c>
      <c r="P200" s="16">
        <v>0.79124170909582858</v>
      </c>
    </row>
    <row r="201" spans="6:16" x14ac:dyDescent="0.3">
      <c r="F201" s="54">
        <v>43497</v>
      </c>
      <c r="G201" s="57">
        <v>137.38</v>
      </c>
      <c r="M201" s="58">
        <v>137.64043090422678</v>
      </c>
      <c r="N201" s="58"/>
      <c r="O201" s="58">
        <v>137.64043090422678</v>
      </c>
      <c r="P201" s="16">
        <v>-0.26043090422678006</v>
      </c>
    </row>
    <row r="202" spans="6:16" x14ac:dyDescent="0.3">
      <c r="F202" s="54">
        <v>43525</v>
      </c>
      <c r="G202" s="57">
        <v>138.41999999999999</v>
      </c>
      <c r="M202" s="58">
        <v>137.56444683783155</v>
      </c>
      <c r="N202" s="58"/>
      <c r="O202" s="58">
        <v>137.56444683783155</v>
      </c>
      <c r="P202" s="16">
        <v>0.8555531621684338</v>
      </c>
    </row>
    <row r="203" spans="6:16" x14ac:dyDescent="0.3">
      <c r="F203" s="54">
        <v>43556</v>
      </c>
      <c r="G203" s="57">
        <v>138.09</v>
      </c>
      <c r="M203" s="58">
        <v>137.46057948475763</v>
      </c>
      <c r="N203" s="58"/>
      <c r="O203" s="58">
        <v>137.46057948475763</v>
      </c>
      <c r="P203" s="16">
        <v>0.62942051524237286</v>
      </c>
    </row>
    <row r="204" spans="6:16" x14ac:dyDescent="0.3">
      <c r="F204" s="54">
        <v>43586</v>
      </c>
      <c r="G204" s="57">
        <v>138.96</v>
      </c>
      <c r="M204" s="58">
        <v>137.32913695877053</v>
      </c>
      <c r="N204" s="58"/>
      <c r="O204" s="58">
        <v>137.32913695877053</v>
      </c>
      <c r="P204" s="16">
        <v>1.6308630412294747</v>
      </c>
    </row>
    <row r="205" spans="6:16" x14ac:dyDescent="0.3">
      <c r="F205" s="54">
        <v>43617</v>
      </c>
      <c r="G205" s="57">
        <v>138.99</v>
      </c>
      <c r="M205" s="58">
        <v>137.17082076145817</v>
      </c>
      <c r="N205" s="58"/>
      <c r="O205" s="58">
        <v>137.17082076145817</v>
      </c>
      <c r="P205" s="16">
        <v>1.8191792385418353</v>
      </c>
    </row>
    <row r="206" spans="6:16" x14ac:dyDescent="0.3">
      <c r="F206" s="54">
        <v>43647</v>
      </c>
      <c r="G206" s="57">
        <v>138.56</v>
      </c>
      <c r="M206" s="58">
        <v>136.98735168380844</v>
      </c>
      <c r="N206" s="58"/>
      <c r="O206" s="58">
        <v>136.98735168380844</v>
      </c>
      <c r="P206" s="16">
        <v>1.572648316191561</v>
      </c>
    </row>
    <row r="207" spans="6:16" x14ac:dyDescent="0.3">
      <c r="F207" s="54">
        <v>43678</v>
      </c>
      <c r="G207" s="57">
        <v>138.59</v>
      </c>
      <c r="M207" s="58">
        <v>136.78158750383395</v>
      </c>
      <c r="N207" s="58"/>
      <c r="O207" s="58">
        <v>136.78158750383395</v>
      </c>
      <c r="P207" s="16">
        <v>1.8084124961660564</v>
      </c>
    </row>
    <row r="208" spans="6:16" x14ac:dyDescent="0.3">
      <c r="F208" s="54">
        <v>43709</v>
      </c>
      <c r="G208" s="57">
        <v>139.09</v>
      </c>
      <c r="M208" s="58">
        <v>136.55736890474466</v>
      </c>
      <c r="N208" s="58"/>
      <c r="O208" s="58">
        <v>136.55736890474466</v>
      </c>
      <c r="P208" s="16">
        <v>2.5326310952553399</v>
      </c>
    </row>
    <row r="209" spans="6:16" x14ac:dyDescent="0.3">
      <c r="F209" s="54">
        <v>43739</v>
      </c>
      <c r="G209" s="57">
        <v>139.96</v>
      </c>
      <c r="M209" s="58">
        <v>136.31966682756067</v>
      </c>
      <c r="N209" s="58"/>
      <c r="O209" s="58">
        <v>136.31966682756067</v>
      </c>
      <c r="P209" s="16">
        <v>3.6403331724393411</v>
      </c>
    </row>
    <row r="210" spans="6:16" x14ac:dyDescent="0.3">
      <c r="F210" s="54">
        <v>43770</v>
      </c>
      <c r="G210" s="57">
        <v>138.79</v>
      </c>
      <c r="M210" s="58">
        <v>136.07503510773651</v>
      </c>
      <c r="N210" s="58"/>
      <c r="O210" s="58">
        <v>136.07503510773651</v>
      </c>
      <c r="P210" s="16">
        <v>2.714964892263481</v>
      </c>
    </row>
    <row r="211" spans="6:16" x14ac:dyDescent="0.3">
      <c r="F211" s="54">
        <v>43800</v>
      </c>
      <c r="G211" s="57">
        <v>138.09</v>
      </c>
      <c r="M211" s="58">
        <v>135.83230278895965</v>
      </c>
      <c r="N211" s="58"/>
      <c r="O211" s="58">
        <v>135.83230278895965</v>
      </c>
      <c r="P211" s="16">
        <v>2.2576972110403517</v>
      </c>
    </row>
    <row r="212" spans="6:16" x14ac:dyDescent="0.3">
      <c r="F212" s="54">
        <v>43831</v>
      </c>
      <c r="G212" s="57">
        <v>138.83000000000001</v>
      </c>
      <c r="M212" s="58">
        <v>135.6019957679749</v>
      </c>
      <c r="N212" s="58"/>
      <c r="O212" s="58">
        <v>135.6019957679749</v>
      </c>
      <c r="P212" s="16">
        <v>3.2280042320251141</v>
      </c>
    </row>
    <row r="213" spans="6:16" x14ac:dyDescent="0.3">
      <c r="F213" s="54">
        <v>43862</v>
      </c>
      <c r="G213" s="57">
        <v>139.36000000000001</v>
      </c>
      <c r="M213" s="58">
        <v>135.39605100228448</v>
      </c>
      <c r="N213" s="58"/>
      <c r="O213" s="58">
        <v>135.39605100228448</v>
      </c>
      <c r="P213" s="16">
        <v>3.9639489977155336</v>
      </c>
    </row>
    <row r="214" spans="6:16" x14ac:dyDescent="0.3">
      <c r="F214" s="54">
        <v>43891</v>
      </c>
      <c r="G214" s="57">
        <v>132.13</v>
      </c>
      <c r="M214" s="58">
        <v>135.22842295203517</v>
      </c>
      <c r="N214" s="58"/>
      <c r="O214" s="58">
        <v>135.22842295203517</v>
      </c>
      <c r="P214" s="16">
        <v>-3.0984229520351789</v>
      </c>
    </row>
    <row r="215" spans="6:16" x14ac:dyDescent="0.3">
      <c r="F215" s="54">
        <v>43922</v>
      </c>
      <c r="G215" s="57">
        <v>118.98</v>
      </c>
      <c r="M215" s="58">
        <v>135.11554354549739</v>
      </c>
      <c r="N215" s="58"/>
      <c r="O215" s="58">
        <v>135.11554354549739</v>
      </c>
      <c r="P215" s="16">
        <v>-16.135543545497384</v>
      </c>
    </row>
    <row r="216" spans="6:16" x14ac:dyDescent="0.3">
      <c r="F216" s="54">
        <v>43952</v>
      </c>
      <c r="G216" s="57">
        <v>121.47</v>
      </c>
      <c r="M216" s="58">
        <v>135.07190819659655</v>
      </c>
      <c r="N216" s="58"/>
      <c r="O216" s="58">
        <v>135.07190819659655</v>
      </c>
      <c r="P216" s="16">
        <v>-13.601908196596554</v>
      </c>
    </row>
    <row r="217" spans="6:16" x14ac:dyDescent="0.3">
      <c r="F217" s="54">
        <v>43983</v>
      </c>
      <c r="G217" s="57">
        <v>127.62</v>
      </c>
      <c r="M217" s="58">
        <v>135.10192760454217</v>
      </c>
      <c r="N217" s="58"/>
      <c r="O217" s="58">
        <v>135.10192760454217</v>
      </c>
      <c r="P217" s="16">
        <v>-7.4819276045421645</v>
      </c>
    </row>
    <row r="218" spans="6:16" x14ac:dyDescent="0.3">
      <c r="F218" s="54">
        <v>44013</v>
      </c>
      <c r="G218" s="57">
        <v>131.76</v>
      </c>
      <c r="M218" s="58">
        <v>135.20151127592072</v>
      </c>
      <c r="N218" s="58"/>
      <c r="O218" s="58">
        <v>135.20151127592072</v>
      </c>
      <c r="P218" s="16">
        <v>-3.4415112759207318</v>
      </c>
    </row>
    <row r="219" spans="6:16" x14ac:dyDescent="0.3">
      <c r="F219" s="54">
        <v>44044</v>
      </c>
      <c r="G219" s="57">
        <v>134.5</v>
      </c>
      <c r="M219" s="58">
        <v>135.36189251256616</v>
      </c>
      <c r="N219" s="58"/>
      <c r="O219" s="58">
        <v>135.36189251256616</v>
      </c>
      <c r="P219" s="16">
        <v>-0.86189251256615762</v>
      </c>
    </row>
    <row r="220" spans="6:16" x14ac:dyDescent="0.3">
      <c r="F220" s="54">
        <v>44075</v>
      </c>
      <c r="G220" s="57">
        <v>136.44</v>
      </c>
      <c r="M220" s="58">
        <v>135.57215367176465</v>
      </c>
      <c r="N220" s="58"/>
      <c r="O220" s="58">
        <v>135.57215367176465</v>
      </c>
      <c r="P220" s="16">
        <v>0.8678463282353448</v>
      </c>
    </row>
    <row r="221" spans="6:16" x14ac:dyDescent="0.3">
      <c r="F221" s="54">
        <v>44105</v>
      </c>
      <c r="G221" s="57">
        <v>138.36000000000001</v>
      </c>
      <c r="M221" s="58">
        <v>135.82083842798218</v>
      </c>
      <c r="N221" s="58"/>
      <c r="O221" s="58">
        <v>135.82083842798218</v>
      </c>
      <c r="P221" s="16">
        <v>2.5391615720178322</v>
      </c>
    </row>
    <row r="222" spans="6:16" x14ac:dyDescent="0.3">
      <c r="F222" s="54">
        <v>44136</v>
      </c>
      <c r="G222" s="57">
        <v>137.9</v>
      </c>
      <c r="M222" s="58">
        <v>136.09703285963965</v>
      </c>
      <c r="N222" s="58"/>
      <c r="O222" s="58">
        <v>136.09703285963965</v>
      </c>
      <c r="P222" s="16">
        <v>1.8029671403603516</v>
      </c>
    </row>
    <row r="223" spans="6:16" x14ac:dyDescent="0.3">
      <c r="F223" s="54">
        <v>44166</v>
      </c>
      <c r="G223" s="57">
        <v>138.19</v>
      </c>
      <c r="M223" s="58">
        <v>136.39141002114076</v>
      </c>
      <c r="N223" s="58"/>
      <c r="O223" s="58">
        <v>136.39141002114076</v>
      </c>
      <c r="P223" s="16">
        <v>1.7985899788592405</v>
      </c>
    </row>
    <row r="224" spans="6:16" x14ac:dyDescent="0.3">
      <c r="F224" s="54">
        <v>44197</v>
      </c>
      <c r="G224" s="57">
        <v>139.01</v>
      </c>
      <c r="M224" s="58">
        <v>136.69576982135166</v>
      </c>
      <c r="N224" s="58"/>
      <c r="O224" s="58">
        <v>136.69576982135166</v>
      </c>
      <c r="P224" s="16">
        <v>2.3142301786483301</v>
      </c>
    </row>
    <row r="225" spans="6:16" x14ac:dyDescent="0.3">
      <c r="F225" s="54">
        <v>44228</v>
      </c>
      <c r="G225" s="57">
        <v>141.1</v>
      </c>
      <c r="M225" s="58">
        <v>137.00303628787537</v>
      </c>
      <c r="N225" s="58"/>
      <c r="O225" s="58">
        <v>137.00303628787537</v>
      </c>
      <c r="P225" s="16">
        <v>4.0969637121246194</v>
      </c>
    </row>
    <row r="226" spans="6:16" x14ac:dyDescent="0.3">
      <c r="F226" s="54">
        <v>44256</v>
      </c>
      <c r="G226" s="57">
        <v>138.85</v>
      </c>
      <c r="M226" s="58">
        <v>137.30757984217672</v>
      </c>
      <c r="N226" s="58"/>
      <c r="O226" s="58">
        <v>137.30757984217672</v>
      </c>
      <c r="P226" s="16">
        <v>1.5424201578232726</v>
      </c>
    </row>
    <row r="227" spans="6:16" x14ac:dyDescent="0.3">
      <c r="F227" s="54">
        <v>44287</v>
      </c>
      <c r="G227" s="57">
        <v>139.22999999999999</v>
      </c>
      <c r="M227" s="58">
        <v>137.60633150804051</v>
      </c>
      <c r="N227" s="58"/>
      <c r="O227" s="58">
        <v>137.60633150804051</v>
      </c>
      <c r="P227" s="16">
        <v>1.6236684919594779</v>
      </c>
    </row>
    <row r="228" spans="6:16" x14ac:dyDescent="0.3">
      <c r="F228" s="54">
        <v>44317</v>
      </c>
      <c r="G228" s="57">
        <v>139.28</v>
      </c>
      <c r="M228" s="58">
        <v>137.8971863218504</v>
      </c>
      <c r="N228" s="58"/>
      <c r="O228" s="58">
        <v>137.8971863218504</v>
      </c>
      <c r="P228" s="16">
        <v>1.3828136781496028</v>
      </c>
    </row>
    <row r="229" spans="6:16" x14ac:dyDescent="0.3">
      <c r="F229" s="54">
        <v>44348</v>
      </c>
      <c r="G229" s="57">
        <v>139.53</v>
      </c>
      <c r="M229" s="58">
        <v>138.17905411279739</v>
      </c>
      <c r="N229" s="58"/>
      <c r="O229" s="58">
        <v>138.17905411279739</v>
      </c>
      <c r="P229" s="16">
        <v>1.350945887202613</v>
      </c>
    </row>
    <row r="230" spans="6:16" x14ac:dyDescent="0.3">
      <c r="F230" s="54">
        <v>44378</v>
      </c>
      <c r="G230" s="57">
        <v>139.36000000000001</v>
      </c>
      <c r="M230" s="58">
        <v>138.45170896862135</v>
      </c>
      <c r="N230" s="58"/>
      <c r="O230" s="58">
        <v>138.45170896862135</v>
      </c>
      <c r="P230" s="16">
        <v>0.90829103137866696</v>
      </c>
    </row>
    <row r="231" spans="6:16" x14ac:dyDescent="0.3">
      <c r="F231" s="54">
        <v>44409</v>
      </c>
      <c r="G231" s="57">
        <v>139.5</v>
      </c>
      <c r="M231" s="58">
        <v>138.71576931824166</v>
      </c>
      <c r="N231" s="58"/>
      <c r="O231" s="58">
        <v>138.71576931824166</v>
      </c>
      <c r="P231" s="16">
        <v>0.78423068175834487</v>
      </c>
    </row>
    <row r="232" spans="6:16" x14ac:dyDescent="0.3">
      <c r="F232" s="54">
        <v>44440</v>
      </c>
      <c r="G232" s="57">
        <v>138.69999999999999</v>
      </c>
      <c r="M232" s="58">
        <v>138.97242127247236</v>
      </c>
      <c r="N232" s="58"/>
      <c r="O232" s="58">
        <v>138.97242127247236</v>
      </c>
      <c r="P232" s="16">
        <v>-0.27242127247237136</v>
      </c>
    </row>
    <row r="233" spans="6:16" x14ac:dyDescent="0.3">
      <c r="F233" s="54">
        <v>44470</v>
      </c>
      <c r="G233" s="57">
        <v>138.77000000000001</v>
      </c>
      <c r="M233" s="58">
        <v>139.22334108630366</v>
      </c>
      <c r="N233" s="58"/>
      <c r="O233" s="58">
        <v>139.22334108630366</v>
      </c>
      <c r="P233" s="16">
        <v>-0.45334108630365222</v>
      </c>
    </row>
    <row r="234" spans="6:16" x14ac:dyDescent="0.3">
      <c r="F234" s="54">
        <v>44501</v>
      </c>
      <c r="G234" s="57">
        <v>139.4</v>
      </c>
      <c r="M234" s="58">
        <v>139.47003475143046</v>
      </c>
      <c r="N234" s="58"/>
      <c r="O234" s="58">
        <v>139.47003475143046</v>
      </c>
      <c r="P234" s="16">
        <v>-7.0034751430455344E-2</v>
      </c>
    </row>
    <row r="235" spans="6:16" x14ac:dyDescent="0.3">
      <c r="F235" s="54">
        <v>44531</v>
      </c>
      <c r="G235" s="57">
        <v>139.85</v>
      </c>
      <c r="M235" s="58">
        <v>139.71372492136877</v>
      </c>
      <c r="N235" s="58"/>
      <c r="O235" s="58">
        <v>139.71372492136877</v>
      </c>
      <c r="P235" s="16">
        <v>0.13627507863122901</v>
      </c>
    </row>
    <row r="236" spans="6:16" x14ac:dyDescent="0.3">
      <c r="F236" s="54">
        <v>44562</v>
      </c>
      <c r="G236" s="57">
        <v>138.83000000000001</v>
      </c>
      <c r="M236" s="58">
        <v>139.95559047791477</v>
      </c>
      <c r="N236" s="58"/>
      <c r="O236" s="58">
        <v>139.95559047791477</v>
      </c>
      <c r="P236" s="16">
        <v>-1.1255904779147556</v>
      </c>
    </row>
    <row r="237" spans="6:16" x14ac:dyDescent="0.3">
      <c r="F237" s="54">
        <v>44593</v>
      </c>
      <c r="G237" s="57">
        <v>139.30000000000001</v>
      </c>
      <c r="M237" s="58">
        <v>140.19689547478907</v>
      </c>
      <c r="N237" s="58"/>
      <c r="O237" s="58">
        <v>140.19689547478907</v>
      </c>
      <c r="P237" s="16">
        <v>-0.89689547478906206</v>
      </c>
    </row>
    <row r="238" spans="6:16" x14ac:dyDescent="0.3">
      <c r="M238" s="58"/>
      <c r="N238" s="58"/>
      <c r="O238" s="58"/>
    </row>
    <row r="239" spans="6:16" x14ac:dyDescent="0.3">
      <c r="M239" s="58"/>
      <c r="N239" s="58"/>
      <c r="O239" s="58"/>
    </row>
    <row r="240" spans="6:16" x14ac:dyDescent="0.3">
      <c r="M240" s="58"/>
      <c r="N240" s="58"/>
      <c r="O240" s="58"/>
    </row>
    <row r="241" spans="13:15" x14ac:dyDescent="0.3">
      <c r="M241" s="58"/>
      <c r="N241" s="58"/>
      <c r="O241" s="58"/>
    </row>
    <row r="242" spans="13:15" x14ac:dyDescent="0.3">
      <c r="M242" s="58"/>
      <c r="N242" s="58"/>
      <c r="O242" s="58"/>
    </row>
    <row r="243" spans="13:15" x14ac:dyDescent="0.3">
      <c r="M243" s="58"/>
      <c r="N243" s="58"/>
      <c r="O243" s="58"/>
    </row>
    <row r="244" spans="13:15" x14ac:dyDescent="0.3">
      <c r="M244" s="58"/>
      <c r="N244" s="58"/>
      <c r="O244" s="58"/>
    </row>
    <row r="245" spans="13:15" x14ac:dyDescent="0.3">
      <c r="M245" s="58"/>
      <c r="N245" s="58"/>
      <c r="O245" s="58"/>
    </row>
    <row r="246" spans="13:15" x14ac:dyDescent="0.3">
      <c r="M246" s="58"/>
      <c r="N246" s="58"/>
      <c r="O246" s="58"/>
    </row>
    <row r="247" spans="13:15" x14ac:dyDescent="0.3">
      <c r="M247" s="58"/>
      <c r="N247" s="58"/>
      <c r="O247" s="58"/>
    </row>
    <row r="248" spans="13:15" x14ac:dyDescent="0.3">
      <c r="M248" s="28"/>
      <c r="N248" s="28"/>
      <c r="O248" s="28"/>
    </row>
    <row r="249" spans="13:15" x14ac:dyDescent="0.3">
      <c r="M249" s="28"/>
      <c r="N249" s="28"/>
      <c r="O249" s="28"/>
    </row>
    <row r="250" spans="13:15" x14ac:dyDescent="0.3">
      <c r="M250" s="28"/>
      <c r="N250" s="28"/>
      <c r="O250" s="28"/>
    </row>
    <row r="251" spans="13:15" x14ac:dyDescent="0.3">
      <c r="M251" s="28"/>
      <c r="N251" s="28"/>
      <c r="O251" s="28"/>
    </row>
    <row r="252" spans="13:15" x14ac:dyDescent="0.3">
      <c r="M252" s="28"/>
      <c r="N252" s="28"/>
      <c r="O252" s="28"/>
    </row>
    <row r="253" spans="13:15" x14ac:dyDescent="0.3">
      <c r="M253" s="28"/>
      <c r="N253" s="28"/>
      <c r="O253" s="28"/>
    </row>
    <row r="254" spans="13:15" x14ac:dyDescent="0.3">
      <c r="M254" s="28"/>
      <c r="N254" s="28"/>
      <c r="O254" s="28"/>
    </row>
    <row r="255" spans="13:15" x14ac:dyDescent="0.3">
      <c r="M255" s="28"/>
      <c r="N255" s="28"/>
      <c r="O255" s="28"/>
    </row>
    <row r="256" spans="13:15" x14ac:dyDescent="0.3">
      <c r="M256" s="28"/>
      <c r="N256" s="28"/>
      <c r="O256" s="28"/>
    </row>
    <row r="257" spans="13:15" x14ac:dyDescent="0.3">
      <c r="M257" s="28"/>
      <c r="N257" s="28"/>
      <c r="O257" s="28"/>
    </row>
    <row r="258" spans="13:15" x14ac:dyDescent="0.3">
      <c r="M258" s="28"/>
      <c r="N258" s="28"/>
      <c r="O258" s="28"/>
    </row>
    <row r="259" spans="13:15" x14ac:dyDescent="0.3">
      <c r="M259" s="28"/>
      <c r="N259" s="28"/>
      <c r="O259" s="28"/>
    </row>
    <row r="260" spans="13:15" x14ac:dyDescent="0.3">
      <c r="M260" s="28"/>
      <c r="N260" s="28"/>
      <c r="O260" s="28"/>
    </row>
    <row r="261" spans="13:15" x14ac:dyDescent="0.3">
      <c r="M261" s="28"/>
      <c r="N261" s="28"/>
      <c r="O261" s="28"/>
    </row>
    <row r="262" spans="13:15" x14ac:dyDescent="0.3">
      <c r="M262" s="28"/>
      <c r="N262" s="28"/>
      <c r="O262" s="28"/>
    </row>
    <row r="263" spans="13:15" x14ac:dyDescent="0.3">
      <c r="M263" s="28"/>
      <c r="N263" s="28"/>
      <c r="O263" s="28"/>
    </row>
    <row r="264" spans="13:15" x14ac:dyDescent="0.3">
      <c r="M264" s="28"/>
      <c r="N264" s="28"/>
      <c r="O264" s="28"/>
    </row>
    <row r="265" spans="13:15" x14ac:dyDescent="0.3">
      <c r="M265" s="28"/>
      <c r="N265" s="28"/>
      <c r="O265" s="28"/>
    </row>
    <row r="266" spans="13:15" x14ac:dyDescent="0.3">
      <c r="M266" s="28"/>
      <c r="N266" s="28"/>
      <c r="O266" s="28"/>
    </row>
    <row r="267" spans="13:15" x14ac:dyDescent="0.3">
      <c r="M267" s="28"/>
      <c r="N267" s="28"/>
      <c r="O267" s="28"/>
    </row>
    <row r="268" spans="13:15" x14ac:dyDescent="0.3">
      <c r="M268" s="28"/>
      <c r="N268" s="28"/>
      <c r="O268" s="28"/>
    </row>
    <row r="269" spans="13:15" x14ac:dyDescent="0.3">
      <c r="M269" s="28"/>
      <c r="N269" s="28"/>
      <c r="O269" s="28"/>
    </row>
    <row r="270" spans="13:15" x14ac:dyDescent="0.3">
      <c r="M270" s="28"/>
      <c r="N270" s="28"/>
      <c r="O270" s="28"/>
    </row>
    <row r="271" spans="13:15" x14ac:dyDescent="0.3">
      <c r="M271" s="28"/>
      <c r="N271" s="28"/>
      <c r="O271" s="28"/>
    </row>
    <row r="272" spans="13:15" x14ac:dyDescent="0.3">
      <c r="M272" s="28"/>
      <c r="N272" s="28"/>
      <c r="O272" s="28"/>
    </row>
    <row r="273" spans="13:15" x14ac:dyDescent="0.3">
      <c r="M273" s="28"/>
      <c r="N273" s="28"/>
      <c r="O273" s="28"/>
    </row>
    <row r="274" spans="13:15" x14ac:dyDescent="0.3">
      <c r="M274" s="28"/>
      <c r="N274" s="28"/>
      <c r="O274" s="28"/>
    </row>
    <row r="275" spans="13:15" x14ac:dyDescent="0.3">
      <c r="M275" s="28"/>
      <c r="N275" s="28"/>
      <c r="O275" s="28"/>
    </row>
    <row r="276" spans="13:15" x14ac:dyDescent="0.3">
      <c r="M276" s="28"/>
      <c r="N276" s="28"/>
      <c r="O276" s="28"/>
    </row>
    <row r="277" spans="13:15" x14ac:dyDescent="0.3">
      <c r="M277" s="28"/>
      <c r="N277" s="28"/>
      <c r="O277" s="28"/>
    </row>
    <row r="278" spans="13:15" x14ac:dyDescent="0.3">
      <c r="M278" s="28"/>
      <c r="N278" s="28"/>
      <c r="O278" s="28"/>
    </row>
    <row r="279" spans="13:15" x14ac:dyDescent="0.3">
      <c r="M279" s="28"/>
      <c r="N279" s="28"/>
      <c r="O279" s="28"/>
    </row>
    <row r="280" spans="13:15" x14ac:dyDescent="0.3">
      <c r="M280" s="28"/>
      <c r="N280" s="28"/>
      <c r="O280" s="28"/>
    </row>
    <row r="281" spans="13:15" x14ac:dyDescent="0.3">
      <c r="M281" s="28"/>
      <c r="N281" s="28"/>
      <c r="O281" s="28"/>
    </row>
    <row r="282" spans="13:15" x14ac:dyDescent="0.3">
      <c r="M282" s="28"/>
      <c r="N282" s="28"/>
      <c r="O282" s="28"/>
    </row>
    <row r="283" spans="13:15" x14ac:dyDescent="0.3">
      <c r="M283" s="28"/>
      <c r="N283" s="28"/>
      <c r="O283" s="28"/>
    </row>
    <row r="284" spans="13:15" x14ac:dyDescent="0.3">
      <c r="M284" s="28"/>
      <c r="N284" s="28"/>
      <c r="O284" s="28"/>
    </row>
    <row r="285" spans="13:15" x14ac:dyDescent="0.3">
      <c r="M285" s="28"/>
      <c r="N285" s="28"/>
      <c r="O285" s="28"/>
    </row>
    <row r="286" spans="13:15" x14ac:dyDescent="0.3">
      <c r="M286" s="28"/>
      <c r="N286" s="28"/>
      <c r="O286" s="28"/>
    </row>
    <row r="287" spans="13:15" x14ac:dyDescent="0.3">
      <c r="M287" s="28"/>
      <c r="N287" s="28"/>
      <c r="O287" s="28"/>
    </row>
    <row r="288" spans="13:15" x14ac:dyDescent="0.3">
      <c r="M288" s="28"/>
      <c r="N288" s="28"/>
      <c r="O288" s="28"/>
    </row>
    <row r="289" spans="13:15" x14ac:dyDescent="0.3">
      <c r="M289" s="28"/>
      <c r="N289" s="28"/>
      <c r="O289" s="28"/>
    </row>
    <row r="290" spans="13:15" x14ac:dyDescent="0.3">
      <c r="M290" s="28"/>
      <c r="N290" s="28"/>
      <c r="O290" s="28"/>
    </row>
    <row r="291" spans="13:15" x14ac:dyDescent="0.3">
      <c r="M291" s="28"/>
      <c r="N291" s="28"/>
      <c r="O291" s="28"/>
    </row>
    <row r="292" spans="13:15" x14ac:dyDescent="0.3">
      <c r="M292" s="28"/>
      <c r="N292" s="28"/>
      <c r="O292" s="28"/>
    </row>
    <row r="293" spans="13:15" x14ac:dyDescent="0.3">
      <c r="M293" s="28"/>
      <c r="N293" s="28"/>
      <c r="O293" s="28"/>
    </row>
    <row r="294" spans="13:15" x14ac:dyDescent="0.3">
      <c r="M294" s="28"/>
      <c r="N294" s="28"/>
      <c r="O294" s="28"/>
    </row>
    <row r="295" spans="13:15" x14ac:dyDescent="0.3">
      <c r="M295" s="28"/>
      <c r="N295" s="28"/>
      <c r="O295" s="28"/>
    </row>
    <row r="296" spans="13:15" x14ac:dyDescent="0.3">
      <c r="M296" s="28"/>
      <c r="N296" s="28"/>
      <c r="O296" s="28"/>
    </row>
    <row r="297" spans="13:15" x14ac:dyDescent="0.3">
      <c r="M297" s="28"/>
      <c r="N297" s="28"/>
      <c r="O297" s="28"/>
    </row>
  </sheetData>
  <mergeCells count="1">
    <mergeCell ref="D11:D12"/>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1727-383D-43D5-BBAD-729532AF11A1}">
  <sheetPr codeName="Planilha11">
    <tabColor theme="9" tint="0.59999389629810485"/>
  </sheetPr>
  <dimension ref="A1:U297"/>
  <sheetViews>
    <sheetView showGridLines="0" workbookViewId="0">
      <selection activeCell="L8" sqref="L8"/>
    </sheetView>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9.28515625" bestFit="1" customWidth="1"/>
    <col min="10" max="12" width="9" style="16" customWidth="1"/>
    <col min="13" max="21" width="8.85546875" style="16"/>
  </cols>
  <sheetData>
    <row r="1" spans="1:21" x14ac:dyDescent="0.3">
      <c r="A1" s="17" t="s">
        <v>204</v>
      </c>
      <c r="J1" s="15"/>
      <c r="K1" s="15"/>
      <c r="L1" s="15"/>
      <c r="M1" s="15"/>
      <c r="N1" s="15"/>
      <c r="O1" s="15"/>
      <c r="P1" s="15"/>
      <c r="Q1" s="15"/>
      <c r="R1" s="15"/>
      <c r="S1" s="15"/>
      <c r="T1" s="15"/>
      <c r="U1" s="15"/>
    </row>
    <row r="2" spans="1:21" x14ac:dyDescent="0.3">
      <c r="A2" s="18" t="s">
        <v>205</v>
      </c>
      <c r="J2" s="15"/>
      <c r="K2" s="15"/>
      <c r="L2" s="15"/>
      <c r="M2" s="15"/>
      <c r="N2" s="15"/>
      <c r="O2" s="15"/>
      <c r="P2" s="15"/>
      <c r="Q2" s="15"/>
      <c r="R2" s="15"/>
      <c r="S2" s="15"/>
      <c r="T2" s="15"/>
      <c r="U2" s="15"/>
    </row>
    <row r="4" spans="1:21" ht="15.75" x14ac:dyDescent="0.25">
      <c r="A4" s="2" t="s">
        <v>15</v>
      </c>
      <c r="B4" s="2" t="s">
        <v>16</v>
      </c>
    </row>
    <row r="5" spans="1:21" ht="15.75" x14ac:dyDescent="0.25">
      <c r="A5" s="24" t="s">
        <v>180</v>
      </c>
      <c r="B5" s="25" t="s">
        <v>182</v>
      </c>
    </row>
    <row r="6" spans="1:21" ht="31.5" x14ac:dyDescent="0.25">
      <c r="A6" s="24" t="s">
        <v>206</v>
      </c>
      <c r="B6" s="25" t="s">
        <v>207</v>
      </c>
    </row>
    <row r="7" spans="1:21" x14ac:dyDescent="0.3">
      <c r="D7" s="1" t="s">
        <v>17</v>
      </c>
      <c r="G7" s="14" t="s">
        <v>180</v>
      </c>
      <c r="H7" s="14" t="s">
        <v>206</v>
      </c>
    </row>
    <row r="8" spans="1:21" x14ac:dyDescent="0.3">
      <c r="D8" t="s">
        <v>195</v>
      </c>
      <c r="F8" s="54">
        <v>37257</v>
      </c>
      <c r="G8" s="57">
        <v>72.400000000000006</v>
      </c>
      <c r="H8" s="59">
        <v>1</v>
      </c>
      <c r="J8" s="58" cm="1">
        <f t="array" ref="J8:J247">_xlfn.LAMBDA(_xlpm.values,_xlop.nPower, _xlfn.LET(_xlpm.nPower, IF(_xlfn.ISOMITTED(_xlpm.nPower), 1, _xlpm.nPower),  _xlpm.values - OLS_FITTED(_xlpm.values, ADDCONST(_xlfn.SEQUENCE(ROWS(_xlpm.values))^_xlpm.nPower)) ) )($G$8:$G$247,$H$8)</f>
        <v>-18.61909751037355</v>
      </c>
      <c r="K8" s="58"/>
      <c r="L8" s="58" cm="1">
        <f t="array" ref="L8:L247">DETREND($G$8:$G$247,$H$8)</f>
        <v>-18.61909751037355</v>
      </c>
    </row>
    <row r="9" spans="1:21" x14ac:dyDescent="0.3">
      <c r="D9" t="s">
        <v>196</v>
      </c>
      <c r="F9" s="54">
        <v>37288</v>
      </c>
      <c r="G9" s="57">
        <v>69.7</v>
      </c>
      <c r="J9" s="58">
        <v>-21.321939790621471</v>
      </c>
      <c r="K9" s="58"/>
      <c r="L9" s="58">
        <v>-21.321939790621471</v>
      </c>
    </row>
    <row r="10" spans="1:21" x14ac:dyDescent="0.3">
      <c r="D10" t="s">
        <v>170</v>
      </c>
      <c r="F10" s="54">
        <v>37316</v>
      </c>
      <c r="G10" s="57">
        <v>77.400000000000006</v>
      </c>
      <c r="J10" s="58">
        <v>-13.624782070869387</v>
      </c>
      <c r="K10" s="58"/>
      <c r="L10" s="58">
        <v>-13.624782070869387</v>
      </c>
    </row>
    <row r="11" spans="1:21" ht="18.75" customHeight="1" x14ac:dyDescent="0.3">
      <c r="D11" s="62"/>
      <c r="F11" s="54">
        <v>37347</v>
      </c>
      <c r="G11" s="57">
        <v>79.599999999999994</v>
      </c>
      <c r="J11" s="58">
        <v>-11.427624351117331</v>
      </c>
      <c r="K11" s="58"/>
      <c r="L11" s="58">
        <v>-11.427624351117331</v>
      </c>
    </row>
    <row r="12" spans="1:21" x14ac:dyDescent="0.3">
      <c r="D12" s="62"/>
      <c r="F12" s="54">
        <v>37377</v>
      </c>
      <c r="G12" s="57">
        <v>80.400000000000006</v>
      </c>
      <c r="J12" s="58">
        <v>-10.630466631365238</v>
      </c>
      <c r="K12" s="58"/>
      <c r="L12" s="58">
        <v>-10.630466631365238</v>
      </c>
    </row>
    <row r="13" spans="1:21" x14ac:dyDescent="0.3">
      <c r="D13" s="51"/>
      <c r="F13" s="54">
        <v>37408</v>
      </c>
      <c r="G13" s="57">
        <v>77.5</v>
      </c>
      <c r="J13" s="58">
        <v>-13.533308911613162</v>
      </c>
      <c r="K13" s="58"/>
      <c r="L13" s="58">
        <v>-13.533308911613162</v>
      </c>
    </row>
    <row r="14" spans="1:21" x14ac:dyDescent="0.3">
      <c r="F14" s="54">
        <v>37438</v>
      </c>
      <c r="G14" s="57">
        <v>83.3</v>
      </c>
      <c r="J14" s="58">
        <v>-7.736151191861083</v>
      </c>
      <c r="K14" s="58"/>
      <c r="L14" s="58">
        <v>-7.736151191861083</v>
      </c>
    </row>
    <row r="15" spans="1:21" x14ac:dyDescent="0.3">
      <c r="F15" s="54">
        <v>37469</v>
      </c>
      <c r="G15" s="57">
        <v>83.6</v>
      </c>
      <c r="J15" s="58">
        <v>-7.4389934721090043</v>
      </c>
      <c r="K15" s="58"/>
      <c r="L15" s="58">
        <v>-7.4389934721090043</v>
      </c>
    </row>
    <row r="16" spans="1:21" x14ac:dyDescent="0.3">
      <c r="F16" s="54">
        <v>37500</v>
      </c>
      <c r="G16" s="57">
        <v>82.1</v>
      </c>
      <c r="J16" s="58">
        <v>-8.9418357523569227</v>
      </c>
      <c r="K16" s="58"/>
      <c r="L16" s="58">
        <v>-8.9418357523569227</v>
      </c>
    </row>
    <row r="17" spans="6:12" x14ac:dyDescent="0.3">
      <c r="F17" s="54">
        <v>37530</v>
      </c>
      <c r="G17" s="57">
        <v>89.2</v>
      </c>
      <c r="J17" s="58">
        <v>-1.8446780326048469</v>
      </c>
      <c r="K17" s="58"/>
      <c r="L17" s="58">
        <v>-1.8446780326048469</v>
      </c>
    </row>
    <row r="18" spans="6:12" x14ac:dyDescent="0.3">
      <c r="F18" s="54">
        <v>37561</v>
      </c>
      <c r="G18" s="57">
        <v>83.9</v>
      </c>
      <c r="J18" s="58">
        <v>-7.1475203128527625</v>
      </c>
      <c r="K18" s="58"/>
      <c r="L18" s="58">
        <v>-7.1475203128527625</v>
      </c>
    </row>
    <row r="19" spans="6:12" x14ac:dyDescent="0.3">
      <c r="F19" s="54">
        <v>37591</v>
      </c>
      <c r="G19" s="57">
        <v>74.599999999999994</v>
      </c>
      <c r="J19" s="58">
        <v>-16.450362593100692</v>
      </c>
      <c r="K19" s="58"/>
      <c r="L19" s="58">
        <v>-16.450362593100692</v>
      </c>
    </row>
    <row r="20" spans="6:12" x14ac:dyDescent="0.3">
      <c r="F20" s="54">
        <v>37622</v>
      </c>
      <c r="G20" s="57">
        <v>74</v>
      </c>
      <c r="J20" s="58">
        <v>-17.053204873348605</v>
      </c>
      <c r="K20" s="58"/>
      <c r="L20" s="58">
        <v>-17.053204873348605</v>
      </c>
    </row>
    <row r="21" spans="6:12" x14ac:dyDescent="0.3">
      <c r="F21" s="54">
        <v>37653</v>
      </c>
      <c r="G21" s="57">
        <v>71.8</v>
      </c>
      <c r="J21" s="58">
        <v>-19.256047153596526</v>
      </c>
      <c r="K21" s="58"/>
      <c r="L21" s="58">
        <v>-19.256047153596526</v>
      </c>
    </row>
    <row r="22" spans="6:12" x14ac:dyDescent="0.3">
      <c r="F22" s="54">
        <v>37681</v>
      </c>
      <c r="G22" s="57">
        <v>77.400000000000006</v>
      </c>
      <c r="J22" s="58">
        <v>-13.658889433844436</v>
      </c>
      <c r="K22" s="58"/>
      <c r="L22" s="58">
        <v>-13.658889433844436</v>
      </c>
    </row>
    <row r="23" spans="6:12" x14ac:dyDescent="0.3">
      <c r="F23" s="54">
        <v>37712</v>
      </c>
      <c r="G23" s="57">
        <v>76.5</v>
      </c>
      <c r="J23" s="58">
        <v>-14.56173171409236</v>
      </c>
      <c r="K23" s="58"/>
      <c r="L23" s="58">
        <v>-14.56173171409236</v>
      </c>
    </row>
    <row r="24" spans="6:12" x14ac:dyDescent="0.3">
      <c r="F24" s="54">
        <v>37742</v>
      </c>
      <c r="G24" s="57">
        <v>79.7</v>
      </c>
      <c r="J24" s="58">
        <v>-11.36457399434029</v>
      </c>
      <c r="K24" s="58"/>
      <c r="L24" s="58">
        <v>-11.36457399434029</v>
      </c>
    </row>
    <row r="25" spans="6:12" x14ac:dyDescent="0.3">
      <c r="F25" s="54">
        <v>37773</v>
      </c>
      <c r="G25" s="57">
        <v>76.3</v>
      </c>
      <c r="J25" s="58">
        <v>-14.767416274588214</v>
      </c>
      <c r="K25" s="58"/>
      <c r="L25" s="58">
        <v>-14.767416274588214</v>
      </c>
    </row>
    <row r="26" spans="6:12" x14ac:dyDescent="0.3">
      <c r="F26" s="54">
        <v>37803</v>
      </c>
      <c r="G26" s="57">
        <v>81.3</v>
      </c>
      <c r="J26" s="58">
        <v>-9.7702585548361327</v>
      </c>
      <c r="K26" s="58"/>
      <c r="L26" s="58">
        <v>-9.7702585548361327</v>
      </c>
    </row>
    <row r="27" spans="6:12" x14ac:dyDescent="0.3">
      <c r="F27" s="54">
        <v>37834</v>
      </c>
      <c r="G27" s="57">
        <v>81.599999999999994</v>
      </c>
      <c r="J27" s="58">
        <v>-9.473100835084054</v>
      </c>
      <c r="K27" s="58"/>
      <c r="L27" s="58">
        <v>-9.473100835084054</v>
      </c>
    </row>
    <row r="28" spans="6:12" x14ac:dyDescent="0.3">
      <c r="F28" s="54">
        <v>37865</v>
      </c>
      <c r="G28" s="57">
        <v>85.7</v>
      </c>
      <c r="J28" s="58">
        <v>-5.3759431153319639</v>
      </c>
      <c r="K28" s="58"/>
      <c r="L28" s="58">
        <v>-5.3759431153319639</v>
      </c>
    </row>
    <row r="29" spans="6:12" x14ac:dyDescent="0.3">
      <c r="F29" s="54">
        <v>37895</v>
      </c>
      <c r="G29" s="57">
        <v>90</v>
      </c>
      <c r="J29" s="58">
        <v>-1.0787853955798852</v>
      </c>
      <c r="K29" s="58"/>
      <c r="L29" s="58">
        <v>-1.0787853955798852</v>
      </c>
    </row>
    <row r="30" spans="6:12" x14ac:dyDescent="0.3">
      <c r="F30" s="54">
        <v>37926</v>
      </c>
      <c r="G30" s="57">
        <v>84.6</v>
      </c>
      <c r="J30" s="58">
        <v>-6.4816276758278235</v>
      </c>
      <c r="K30" s="58"/>
      <c r="L30" s="58">
        <v>-6.4816276758278235</v>
      </c>
    </row>
    <row r="31" spans="6:12" x14ac:dyDescent="0.3">
      <c r="F31" s="54">
        <v>37956</v>
      </c>
      <c r="G31" s="57">
        <v>77.900000000000006</v>
      </c>
      <c r="J31" s="58">
        <v>-13.184469956075731</v>
      </c>
      <c r="K31" s="58"/>
      <c r="L31" s="58">
        <v>-13.184469956075731</v>
      </c>
    </row>
    <row r="32" spans="6:12" x14ac:dyDescent="0.3">
      <c r="F32" s="54">
        <v>37987</v>
      </c>
      <c r="G32" s="57">
        <v>76.8</v>
      </c>
      <c r="J32" s="58">
        <v>-14.287312236323658</v>
      </c>
      <c r="K32" s="58"/>
      <c r="L32" s="58">
        <v>-14.287312236323658</v>
      </c>
    </row>
    <row r="33" spans="6:12" x14ac:dyDescent="0.3">
      <c r="F33" s="54">
        <v>38018</v>
      </c>
      <c r="G33" s="57">
        <v>74</v>
      </c>
      <c r="J33" s="58">
        <v>-17.090154516571573</v>
      </c>
      <c r="K33" s="58"/>
      <c r="L33" s="58">
        <v>-17.090154516571573</v>
      </c>
    </row>
    <row r="34" spans="6:12" x14ac:dyDescent="0.3">
      <c r="F34" s="54">
        <v>38047</v>
      </c>
      <c r="G34" s="57">
        <v>86.9</v>
      </c>
      <c r="J34" s="58">
        <v>-4.1929967968194859</v>
      </c>
      <c r="K34" s="58"/>
      <c r="L34" s="58">
        <v>-4.1929967968194859</v>
      </c>
    </row>
    <row r="35" spans="6:12" x14ac:dyDescent="0.3">
      <c r="F35" s="54">
        <v>38078</v>
      </c>
      <c r="G35" s="57">
        <v>82.2</v>
      </c>
      <c r="J35" s="58">
        <v>-8.8958390770674072</v>
      </c>
      <c r="K35" s="58"/>
      <c r="L35" s="58">
        <v>-8.8958390770674072</v>
      </c>
    </row>
    <row r="36" spans="6:12" x14ac:dyDescent="0.3">
      <c r="F36" s="54">
        <v>38108</v>
      </c>
      <c r="G36" s="57">
        <v>86.3</v>
      </c>
      <c r="J36" s="58">
        <v>-4.7986813573153455</v>
      </c>
      <c r="K36" s="58"/>
      <c r="L36" s="58">
        <v>-4.7986813573153455</v>
      </c>
    </row>
    <row r="37" spans="6:12" x14ac:dyDescent="0.3">
      <c r="F37" s="54">
        <v>38139</v>
      </c>
      <c r="G37" s="57">
        <v>86.1</v>
      </c>
      <c r="J37" s="58">
        <v>-5.0015236375632668</v>
      </c>
      <c r="K37" s="58"/>
      <c r="L37" s="58">
        <v>-5.0015236375632668</v>
      </c>
    </row>
    <row r="38" spans="6:12" x14ac:dyDescent="0.3">
      <c r="F38" s="54">
        <v>38169</v>
      </c>
      <c r="G38" s="57">
        <v>90.1</v>
      </c>
      <c r="J38" s="58">
        <v>-1.0043659178111852</v>
      </c>
      <c r="K38" s="58"/>
      <c r="L38" s="58">
        <v>-1.0043659178111852</v>
      </c>
    </row>
    <row r="39" spans="6:12" x14ac:dyDescent="0.3">
      <c r="F39" s="54">
        <v>38200</v>
      </c>
      <c r="G39" s="57">
        <v>92.1</v>
      </c>
      <c r="J39" s="58">
        <v>0.99279180194089633</v>
      </c>
      <c r="K39" s="58"/>
      <c r="L39" s="58">
        <v>0.99279180194089633</v>
      </c>
    </row>
    <row r="40" spans="6:12" x14ac:dyDescent="0.3">
      <c r="F40" s="54">
        <v>38231</v>
      </c>
      <c r="G40" s="57">
        <v>92.1</v>
      </c>
      <c r="J40" s="58">
        <v>0.9899495216929779</v>
      </c>
      <c r="K40" s="58"/>
      <c r="L40" s="58">
        <v>0.9899495216929779</v>
      </c>
    </row>
    <row r="41" spans="6:12" x14ac:dyDescent="0.3">
      <c r="F41" s="54">
        <v>38261</v>
      </c>
      <c r="G41" s="57">
        <v>93.5</v>
      </c>
      <c r="J41" s="58">
        <v>2.3871072414450651</v>
      </c>
      <c r="K41" s="58"/>
      <c r="L41" s="58">
        <v>2.3871072414450651</v>
      </c>
    </row>
    <row r="42" spans="6:12" x14ac:dyDescent="0.3">
      <c r="F42" s="54">
        <v>38292</v>
      </c>
      <c r="G42" s="57">
        <v>91.8</v>
      </c>
      <c r="J42" s="58">
        <v>0.68426496119714386</v>
      </c>
      <c r="K42" s="58"/>
      <c r="L42" s="58">
        <v>0.68426496119714386</v>
      </c>
    </row>
    <row r="43" spans="6:12" x14ac:dyDescent="0.3">
      <c r="F43" s="54">
        <v>38322</v>
      </c>
      <c r="G43" s="57">
        <v>84.7</v>
      </c>
      <c r="J43" s="58">
        <v>-6.4185773190507831</v>
      </c>
      <c r="K43" s="58"/>
      <c r="L43" s="58">
        <v>-6.4185773190507831</v>
      </c>
    </row>
    <row r="44" spans="6:12" x14ac:dyDescent="0.3">
      <c r="F44" s="54">
        <v>38353</v>
      </c>
      <c r="G44" s="57">
        <v>81</v>
      </c>
      <c r="J44" s="58">
        <v>-10.121419599298704</v>
      </c>
      <c r="K44" s="58"/>
      <c r="L44" s="58">
        <v>-10.121419599298704</v>
      </c>
    </row>
    <row r="45" spans="6:12" x14ac:dyDescent="0.3">
      <c r="F45" s="54">
        <v>38384</v>
      </c>
      <c r="G45" s="57">
        <v>76.400000000000006</v>
      </c>
      <c r="J45" s="58">
        <v>-14.724261879546617</v>
      </c>
      <c r="K45" s="58"/>
      <c r="L45" s="58">
        <v>-14.724261879546617</v>
      </c>
    </row>
    <row r="46" spans="6:12" x14ac:dyDescent="0.3">
      <c r="F46" s="54">
        <v>38412</v>
      </c>
      <c r="G46" s="57">
        <v>88</v>
      </c>
      <c r="J46" s="58">
        <v>-3.1271041597945413</v>
      </c>
      <c r="K46" s="58"/>
      <c r="L46" s="58">
        <v>-3.1271041597945413</v>
      </c>
    </row>
    <row r="47" spans="6:12" x14ac:dyDescent="0.3">
      <c r="F47" s="54">
        <v>38443</v>
      </c>
      <c r="G47" s="57">
        <v>87</v>
      </c>
      <c r="J47" s="58">
        <v>-4.1299464400424597</v>
      </c>
      <c r="K47" s="58"/>
      <c r="L47" s="58">
        <v>-4.1299464400424597</v>
      </c>
    </row>
    <row r="48" spans="6:12" x14ac:dyDescent="0.3">
      <c r="F48" s="54">
        <v>38473</v>
      </c>
      <c r="G48" s="57">
        <v>91.1</v>
      </c>
      <c r="J48" s="58">
        <v>-3.2788720290383822E-2</v>
      </c>
      <c r="K48" s="58"/>
      <c r="L48" s="58">
        <v>-3.2788720290383822E-2</v>
      </c>
    </row>
    <row r="49" spans="6:12" x14ac:dyDescent="0.3">
      <c r="F49" s="54">
        <v>38504</v>
      </c>
      <c r="G49" s="57">
        <v>91.4</v>
      </c>
      <c r="J49" s="58">
        <v>0.2643689994616949</v>
      </c>
      <c r="K49" s="58"/>
      <c r="L49" s="58">
        <v>0.2643689994616949</v>
      </c>
    </row>
    <row r="50" spans="6:12" x14ac:dyDescent="0.3">
      <c r="F50" s="54">
        <v>38534</v>
      </c>
      <c r="G50" s="57">
        <v>90.5</v>
      </c>
      <c r="J50" s="58">
        <v>-0.63847328078622922</v>
      </c>
      <c r="K50" s="58"/>
      <c r="L50" s="58">
        <v>-0.63847328078622922</v>
      </c>
    </row>
    <row r="51" spans="6:12" x14ac:dyDescent="0.3">
      <c r="F51" s="54">
        <v>38565</v>
      </c>
      <c r="G51" s="57">
        <v>95.6</v>
      </c>
      <c r="J51" s="58">
        <v>4.4586844389658467</v>
      </c>
      <c r="K51" s="58"/>
      <c r="L51" s="58">
        <v>4.4586844389658467</v>
      </c>
    </row>
    <row r="52" spans="6:12" x14ac:dyDescent="0.3">
      <c r="F52" s="54">
        <v>38596</v>
      </c>
      <c r="G52" s="57">
        <v>92</v>
      </c>
      <c r="J52" s="58">
        <v>0.8558421587179339</v>
      </c>
      <c r="K52" s="58"/>
      <c r="L52" s="58">
        <v>0.8558421587179339</v>
      </c>
    </row>
    <row r="53" spans="6:12" x14ac:dyDescent="0.3">
      <c r="F53" s="54">
        <v>38626</v>
      </c>
      <c r="G53" s="57">
        <v>93.7</v>
      </c>
      <c r="J53" s="58">
        <v>2.5529998784700183</v>
      </c>
      <c r="K53" s="58"/>
      <c r="L53" s="58">
        <v>2.5529998784700183</v>
      </c>
    </row>
    <row r="54" spans="6:12" x14ac:dyDescent="0.3">
      <c r="F54" s="54">
        <v>38657</v>
      </c>
      <c r="G54" s="57">
        <v>92.4</v>
      </c>
      <c r="J54" s="58">
        <v>1.2501575982221027</v>
      </c>
      <c r="K54" s="58"/>
      <c r="L54" s="58">
        <v>1.2501575982221027</v>
      </c>
    </row>
    <row r="55" spans="6:12" x14ac:dyDescent="0.3">
      <c r="F55" s="54">
        <v>38687</v>
      </c>
      <c r="G55" s="57">
        <v>86.6</v>
      </c>
      <c r="J55" s="58">
        <v>-4.5526846820258413</v>
      </c>
      <c r="K55" s="58"/>
      <c r="L55" s="58">
        <v>-4.5526846820258413</v>
      </c>
    </row>
    <row r="56" spans="6:12" x14ac:dyDescent="0.3">
      <c r="F56" s="54">
        <v>38718</v>
      </c>
      <c r="G56" s="57">
        <v>83.7</v>
      </c>
      <c r="J56" s="58">
        <v>-7.4555269622737512</v>
      </c>
      <c r="K56" s="58"/>
      <c r="L56" s="58">
        <v>-7.4555269622737512</v>
      </c>
    </row>
    <row r="57" spans="6:12" x14ac:dyDescent="0.3">
      <c r="F57" s="54">
        <v>38749</v>
      </c>
      <c r="G57" s="57">
        <v>80.2</v>
      </c>
      <c r="J57" s="58">
        <v>-10.95836924252167</v>
      </c>
      <c r="K57" s="58"/>
      <c r="L57" s="58">
        <v>-10.95836924252167</v>
      </c>
    </row>
    <row r="58" spans="6:12" x14ac:dyDescent="0.3">
      <c r="F58" s="54">
        <v>38777</v>
      </c>
      <c r="G58" s="57">
        <v>92.4</v>
      </c>
      <c r="J58" s="58">
        <v>1.2387884772304147</v>
      </c>
      <c r="K58" s="58"/>
      <c r="L58" s="58">
        <v>1.2387884772304147</v>
      </c>
    </row>
    <row r="59" spans="6:12" x14ac:dyDescent="0.3">
      <c r="F59" s="54">
        <v>38808</v>
      </c>
      <c r="G59" s="57">
        <v>85.7</v>
      </c>
      <c r="J59" s="58">
        <v>-5.4640538030175065</v>
      </c>
      <c r="K59" s="58"/>
      <c r="L59" s="58">
        <v>-5.4640538030175065</v>
      </c>
    </row>
    <row r="60" spans="6:12" x14ac:dyDescent="0.3">
      <c r="F60" s="54">
        <v>38838</v>
      </c>
      <c r="G60" s="57">
        <v>95.4</v>
      </c>
      <c r="J60" s="58">
        <v>4.2331039167345779</v>
      </c>
      <c r="K60" s="58"/>
      <c r="L60" s="58">
        <v>4.2331039167345779</v>
      </c>
    </row>
    <row r="61" spans="6:12" x14ac:dyDescent="0.3">
      <c r="F61" s="54">
        <v>38869</v>
      </c>
      <c r="G61" s="57">
        <v>91.1</v>
      </c>
      <c r="J61" s="58">
        <v>-6.9738363513351942E-2</v>
      </c>
      <c r="K61" s="58"/>
      <c r="L61" s="58">
        <v>-6.9738363513351942E-2</v>
      </c>
    </row>
    <row r="62" spans="6:12" x14ac:dyDescent="0.3">
      <c r="F62" s="54">
        <v>38899</v>
      </c>
      <c r="G62" s="57">
        <v>93.8</v>
      </c>
      <c r="J62" s="58">
        <v>2.6274193562387183</v>
      </c>
      <c r="K62" s="58"/>
      <c r="L62" s="58">
        <v>2.6274193562387183</v>
      </c>
    </row>
    <row r="63" spans="6:12" x14ac:dyDescent="0.3">
      <c r="F63" s="54">
        <v>38930</v>
      </c>
      <c r="G63" s="57">
        <v>98.6</v>
      </c>
      <c r="J63" s="58">
        <v>7.424577075990797</v>
      </c>
      <c r="K63" s="58"/>
      <c r="L63" s="58">
        <v>7.424577075990797</v>
      </c>
    </row>
    <row r="64" spans="6:12" x14ac:dyDescent="0.3">
      <c r="F64" s="54">
        <v>38961</v>
      </c>
      <c r="G64" s="57">
        <v>93.2</v>
      </c>
      <c r="J64" s="58">
        <v>2.0217347957428871</v>
      </c>
      <c r="K64" s="58"/>
      <c r="L64" s="58">
        <v>2.0217347957428871</v>
      </c>
    </row>
    <row r="65" spans="6:12" x14ac:dyDescent="0.3">
      <c r="F65" s="54">
        <v>38991</v>
      </c>
      <c r="G65" s="57">
        <v>97.5</v>
      </c>
      <c r="J65" s="58">
        <v>6.3188925154949658</v>
      </c>
      <c r="K65" s="58"/>
      <c r="L65" s="58">
        <v>6.3188925154949658</v>
      </c>
    </row>
    <row r="66" spans="6:12" x14ac:dyDescent="0.3">
      <c r="F66" s="54">
        <v>39022</v>
      </c>
      <c r="G66" s="57">
        <v>95.9</v>
      </c>
      <c r="J66" s="58">
        <v>4.716050235247053</v>
      </c>
      <c r="K66" s="58"/>
      <c r="L66" s="58">
        <v>4.716050235247053</v>
      </c>
    </row>
    <row r="67" spans="6:12" x14ac:dyDescent="0.3">
      <c r="F67" s="54">
        <v>39052</v>
      </c>
      <c r="G67" s="57">
        <v>87</v>
      </c>
      <c r="J67" s="58">
        <v>-4.1867920450008711</v>
      </c>
      <c r="K67" s="58"/>
      <c r="L67" s="58">
        <v>-4.1867920450008711</v>
      </c>
    </row>
    <row r="68" spans="6:12" x14ac:dyDescent="0.3">
      <c r="F68" s="54">
        <v>39083</v>
      </c>
      <c r="G68" s="57">
        <v>87</v>
      </c>
      <c r="J68" s="58">
        <v>-4.1896343252488037</v>
      </c>
      <c r="K68" s="58"/>
      <c r="L68" s="58">
        <v>-4.1896343252488037</v>
      </c>
    </row>
    <row r="69" spans="6:12" x14ac:dyDescent="0.3">
      <c r="F69" s="54">
        <v>39114</v>
      </c>
      <c r="G69" s="57">
        <v>82.6</v>
      </c>
      <c r="J69" s="58">
        <v>-8.5924766054967279</v>
      </c>
      <c r="K69" s="58"/>
      <c r="L69" s="58">
        <v>-8.5924766054967279</v>
      </c>
    </row>
    <row r="70" spans="6:12" x14ac:dyDescent="0.3">
      <c r="F70" s="54">
        <v>39142</v>
      </c>
      <c r="G70" s="57">
        <v>96.4</v>
      </c>
      <c r="J70" s="58">
        <v>5.2046811142553651</v>
      </c>
      <c r="K70" s="58"/>
      <c r="L70" s="58">
        <v>5.2046811142553651</v>
      </c>
    </row>
    <row r="71" spans="6:12" x14ac:dyDescent="0.3">
      <c r="F71" s="54">
        <v>39173</v>
      </c>
      <c r="G71" s="57">
        <v>90.6</v>
      </c>
      <c r="J71" s="58">
        <v>-0.59816116599256475</v>
      </c>
      <c r="K71" s="58"/>
      <c r="L71" s="58">
        <v>-0.59816116599256475</v>
      </c>
    </row>
    <row r="72" spans="6:12" x14ac:dyDescent="0.3">
      <c r="F72" s="54">
        <v>39203</v>
      </c>
      <c r="G72" s="57">
        <v>99.9</v>
      </c>
      <c r="J72" s="58">
        <v>8.6989965537595282</v>
      </c>
      <c r="K72" s="58"/>
      <c r="L72" s="58">
        <v>8.6989965537595282</v>
      </c>
    </row>
    <row r="73" spans="6:12" x14ac:dyDescent="0.3">
      <c r="F73" s="54">
        <v>39234</v>
      </c>
      <c r="G73" s="57">
        <v>96.9</v>
      </c>
      <c r="J73" s="58">
        <v>5.6961542735116097</v>
      </c>
      <c r="K73" s="58"/>
      <c r="L73" s="58">
        <v>5.6961542735116097</v>
      </c>
    </row>
    <row r="74" spans="6:12" x14ac:dyDescent="0.3">
      <c r="F74" s="54">
        <v>39264</v>
      </c>
      <c r="G74" s="57">
        <v>99.8</v>
      </c>
      <c r="J74" s="58">
        <v>8.5933119932636828</v>
      </c>
      <c r="K74" s="58"/>
      <c r="L74" s="58">
        <v>8.5933119932636828</v>
      </c>
    </row>
    <row r="75" spans="6:12" x14ac:dyDescent="0.3">
      <c r="F75" s="54">
        <v>39295</v>
      </c>
      <c r="G75" s="57">
        <v>104.9</v>
      </c>
      <c r="J75" s="58">
        <v>13.690469713015759</v>
      </c>
      <c r="K75" s="58"/>
      <c r="L75" s="58">
        <v>13.690469713015759</v>
      </c>
    </row>
    <row r="76" spans="6:12" x14ac:dyDescent="0.3">
      <c r="F76" s="54">
        <v>39326</v>
      </c>
      <c r="G76" s="57">
        <v>98.4</v>
      </c>
      <c r="J76" s="58">
        <v>7.1876274327678402</v>
      </c>
      <c r="K76" s="58"/>
      <c r="L76" s="58">
        <v>7.1876274327678402</v>
      </c>
    </row>
    <row r="77" spans="6:12" x14ac:dyDescent="0.3">
      <c r="F77" s="54">
        <v>39356</v>
      </c>
      <c r="G77" s="57">
        <v>107.8</v>
      </c>
      <c r="J77" s="58">
        <v>16.584785152519913</v>
      </c>
      <c r="K77" s="58"/>
      <c r="L77" s="58">
        <v>16.584785152519913</v>
      </c>
    </row>
    <row r="78" spans="6:12" x14ac:dyDescent="0.3">
      <c r="F78" s="54">
        <v>39387</v>
      </c>
      <c r="G78" s="57">
        <v>102.4</v>
      </c>
      <c r="J78" s="58">
        <v>11.181942872272003</v>
      </c>
      <c r="K78" s="58"/>
      <c r="L78" s="58">
        <v>11.181942872272003</v>
      </c>
    </row>
    <row r="79" spans="6:12" x14ac:dyDescent="0.3">
      <c r="F79" s="54">
        <v>39417</v>
      </c>
      <c r="G79" s="57">
        <v>92.6</v>
      </c>
      <c r="J79" s="58">
        <v>1.3791005920240735</v>
      </c>
      <c r="K79" s="58"/>
      <c r="L79" s="58">
        <v>1.3791005920240735</v>
      </c>
    </row>
    <row r="80" spans="6:12" x14ac:dyDescent="0.3">
      <c r="F80" s="54">
        <v>39448</v>
      </c>
      <c r="G80" s="57">
        <v>94.8</v>
      </c>
      <c r="J80" s="58">
        <v>3.5762583117761579</v>
      </c>
      <c r="K80" s="58"/>
      <c r="L80" s="58">
        <v>3.5762583117761579</v>
      </c>
    </row>
    <row r="81" spans="6:12" x14ac:dyDescent="0.3">
      <c r="F81" s="54">
        <v>39479</v>
      </c>
      <c r="G81" s="57">
        <v>91.1</v>
      </c>
      <c r="J81" s="58">
        <v>-0.12658396847177755</v>
      </c>
      <c r="K81" s="58"/>
      <c r="L81" s="58">
        <v>-0.12658396847177755</v>
      </c>
    </row>
    <row r="82" spans="6:12" x14ac:dyDescent="0.3">
      <c r="F82" s="54">
        <v>39508</v>
      </c>
      <c r="G82" s="57">
        <v>97.7</v>
      </c>
      <c r="J82" s="58">
        <v>6.4705737512803125</v>
      </c>
      <c r="K82" s="58"/>
      <c r="L82" s="58">
        <v>6.4705737512803125</v>
      </c>
    </row>
    <row r="83" spans="6:12" x14ac:dyDescent="0.3">
      <c r="F83" s="54">
        <v>39539</v>
      </c>
      <c r="G83" s="57">
        <v>99.2</v>
      </c>
      <c r="J83" s="58">
        <v>7.9677314710323941</v>
      </c>
      <c r="K83" s="58"/>
      <c r="L83" s="58">
        <v>7.9677314710323941</v>
      </c>
    </row>
    <row r="84" spans="6:12" x14ac:dyDescent="0.3">
      <c r="F84" s="54">
        <v>39569</v>
      </c>
      <c r="G84" s="57">
        <v>102.5</v>
      </c>
      <c r="J84" s="58">
        <v>11.264889190784473</v>
      </c>
      <c r="K84" s="58"/>
      <c r="L84" s="58">
        <v>11.264889190784473</v>
      </c>
    </row>
    <row r="85" spans="6:12" x14ac:dyDescent="0.3">
      <c r="F85" s="54">
        <v>39600</v>
      </c>
      <c r="G85" s="57">
        <v>103.3</v>
      </c>
      <c r="J85" s="58">
        <v>12.062046910536552</v>
      </c>
      <c r="K85" s="58"/>
      <c r="L85" s="58">
        <v>12.062046910536552</v>
      </c>
    </row>
    <row r="86" spans="6:12" x14ac:dyDescent="0.3">
      <c r="F86" s="54">
        <v>39630</v>
      </c>
      <c r="G86" s="57">
        <v>108.5</v>
      </c>
      <c r="J86" s="58">
        <v>17.259204630288636</v>
      </c>
      <c r="K86" s="58"/>
      <c r="L86" s="58">
        <v>17.259204630288636</v>
      </c>
    </row>
    <row r="87" spans="6:12" x14ac:dyDescent="0.3">
      <c r="F87" s="54">
        <v>39661</v>
      </c>
      <c r="G87" s="57">
        <v>106.9</v>
      </c>
      <c r="J87" s="58">
        <v>15.656362350040723</v>
      </c>
      <c r="K87" s="58"/>
      <c r="L87" s="58">
        <v>15.656362350040723</v>
      </c>
    </row>
    <row r="88" spans="6:12" x14ac:dyDescent="0.3">
      <c r="F88" s="54">
        <v>39692</v>
      </c>
      <c r="G88" s="57">
        <v>107.3</v>
      </c>
      <c r="J88" s="58">
        <v>16.053520069792782</v>
      </c>
      <c r="K88" s="58"/>
      <c r="L88" s="58">
        <v>16.053520069792782</v>
      </c>
    </row>
    <row r="89" spans="6:12" x14ac:dyDescent="0.3">
      <c r="F89" s="54">
        <v>39722</v>
      </c>
      <c r="G89" s="57">
        <v>108.4</v>
      </c>
      <c r="J89" s="58">
        <v>17.150677789544872</v>
      </c>
      <c r="K89" s="58"/>
      <c r="L89" s="58">
        <v>17.150677789544872</v>
      </c>
    </row>
    <row r="90" spans="6:12" x14ac:dyDescent="0.3">
      <c r="F90" s="54">
        <v>39753</v>
      </c>
      <c r="G90" s="57">
        <v>96.2</v>
      </c>
      <c r="J90" s="58">
        <v>4.9478355092969508</v>
      </c>
      <c r="K90" s="58"/>
      <c r="L90" s="58">
        <v>4.9478355092969508</v>
      </c>
    </row>
    <row r="91" spans="6:12" x14ac:dyDescent="0.3">
      <c r="F91" s="54">
        <v>39783</v>
      </c>
      <c r="G91" s="57">
        <v>79.099999999999994</v>
      </c>
      <c r="J91" s="58">
        <v>-12.155006770950976</v>
      </c>
      <c r="K91" s="58"/>
      <c r="L91" s="58">
        <v>-12.155006770950976</v>
      </c>
    </row>
    <row r="92" spans="6:12" x14ac:dyDescent="0.3">
      <c r="F92" s="54">
        <v>39814</v>
      </c>
      <c r="G92" s="57">
        <v>78.7</v>
      </c>
      <c r="J92" s="58">
        <v>-12.557849051198886</v>
      </c>
      <c r="K92" s="58"/>
      <c r="L92" s="58">
        <v>-12.557849051198886</v>
      </c>
    </row>
    <row r="93" spans="6:12" x14ac:dyDescent="0.3">
      <c r="F93" s="54">
        <v>39845</v>
      </c>
      <c r="G93" s="57">
        <v>76.099999999999994</v>
      </c>
      <c r="J93" s="58">
        <v>-15.160691331446813</v>
      </c>
      <c r="K93" s="58"/>
      <c r="L93" s="58">
        <v>-15.160691331446813</v>
      </c>
    </row>
    <row r="94" spans="6:12" x14ac:dyDescent="0.3">
      <c r="F94" s="54">
        <v>39873</v>
      </c>
      <c r="G94" s="57">
        <v>88.6</v>
      </c>
      <c r="J94" s="58">
        <v>-2.6635336116947457</v>
      </c>
      <c r="K94" s="58"/>
      <c r="L94" s="58">
        <v>-2.6635336116947457</v>
      </c>
    </row>
    <row r="95" spans="6:12" x14ac:dyDescent="0.3">
      <c r="F95" s="54">
        <v>39904</v>
      </c>
      <c r="G95" s="57">
        <v>85.2</v>
      </c>
      <c r="J95" s="58">
        <v>-6.0663758919426556</v>
      </c>
      <c r="K95" s="58"/>
      <c r="L95" s="58">
        <v>-6.0663758919426556</v>
      </c>
    </row>
    <row r="96" spans="6:12" x14ac:dyDescent="0.3">
      <c r="F96" s="54">
        <v>39934</v>
      </c>
      <c r="G96" s="57">
        <v>91.3</v>
      </c>
      <c r="J96" s="58">
        <v>3.0781827809420292E-2</v>
      </c>
      <c r="K96" s="58"/>
      <c r="L96" s="58">
        <v>3.0781827809420292E-2</v>
      </c>
    </row>
    <row r="97" spans="6:12" x14ac:dyDescent="0.3">
      <c r="F97" s="54">
        <v>39965</v>
      </c>
      <c r="G97" s="57">
        <v>92.2</v>
      </c>
      <c r="J97" s="58">
        <v>0.92793954756150754</v>
      </c>
      <c r="K97" s="58"/>
      <c r="L97" s="58">
        <v>0.92793954756150754</v>
      </c>
    </row>
    <row r="98" spans="6:12" x14ac:dyDescent="0.3">
      <c r="F98" s="54">
        <v>39995</v>
      </c>
      <c r="G98" s="57">
        <v>97.7</v>
      </c>
      <c r="J98" s="58">
        <v>6.4250972673135891</v>
      </c>
      <c r="K98" s="58"/>
      <c r="L98" s="58">
        <v>6.4250972673135891</v>
      </c>
    </row>
    <row r="99" spans="6:12" x14ac:dyDescent="0.3">
      <c r="F99" s="54">
        <v>40026</v>
      </c>
      <c r="G99" s="57">
        <v>99.6</v>
      </c>
      <c r="J99" s="58">
        <v>8.3222549870656621</v>
      </c>
      <c r="K99" s="58"/>
      <c r="L99" s="58">
        <v>8.3222549870656621</v>
      </c>
    </row>
    <row r="100" spans="6:12" x14ac:dyDescent="0.3">
      <c r="F100" s="54">
        <v>40057</v>
      </c>
      <c r="G100" s="57">
        <v>99.4</v>
      </c>
      <c r="J100" s="58">
        <v>8.1194127068177409</v>
      </c>
      <c r="K100" s="58"/>
      <c r="L100" s="58">
        <v>8.1194127068177409</v>
      </c>
    </row>
    <row r="101" spans="6:12" x14ac:dyDescent="0.3">
      <c r="F101" s="54">
        <v>40087</v>
      </c>
      <c r="G101" s="57">
        <v>105.6</v>
      </c>
      <c r="J101" s="58">
        <v>14.316570426569811</v>
      </c>
      <c r="K101" s="58"/>
      <c r="L101" s="58">
        <v>14.316570426569811</v>
      </c>
    </row>
    <row r="102" spans="6:12" x14ac:dyDescent="0.3">
      <c r="F102" s="54">
        <v>40118</v>
      </c>
      <c r="G102" s="57">
        <v>101.4</v>
      </c>
      <c r="J102" s="58">
        <v>10.113728146321904</v>
      </c>
      <c r="K102" s="58"/>
      <c r="L102" s="58">
        <v>10.113728146321904</v>
      </c>
    </row>
    <row r="103" spans="6:12" x14ac:dyDescent="0.3">
      <c r="F103" s="54">
        <v>40148</v>
      </c>
      <c r="G103" s="57">
        <v>94.1</v>
      </c>
      <c r="J103" s="58">
        <v>2.8108858660739742</v>
      </c>
      <c r="K103" s="58"/>
      <c r="L103" s="58">
        <v>2.8108858660739742</v>
      </c>
    </row>
    <row r="104" spans="6:12" x14ac:dyDescent="0.3">
      <c r="F104" s="54">
        <v>40179</v>
      </c>
      <c r="G104" s="57">
        <v>91.2</v>
      </c>
      <c r="J104" s="58">
        <v>-9.1956414173935741E-2</v>
      </c>
      <c r="K104" s="58"/>
      <c r="L104" s="58">
        <v>-9.1956414173935741E-2</v>
      </c>
    </row>
    <row r="105" spans="6:12" x14ac:dyDescent="0.3">
      <c r="F105" s="54">
        <v>40210</v>
      </c>
      <c r="G105" s="57">
        <v>89</v>
      </c>
      <c r="J105" s="58">
        <v>-2.294798694421857</v>
      </c>
      <c r="K105" s="58"/>
      <c r="L105" s="58">
        <v>-2.294798694421857</v>
      </c>
    </row>
    <row r="106" spans="6:12" x14ac:dyDescent="0.3">
      <c r="F106" s="54">
        <v>40238</v>
      </c>
      <c r="G106" s="57">
        <v>105.1</v>
      </c>
      <c r="J106" s="58">
        <v>13.802359025330219</v>
      </c>
      <c r="K106" s="58"/>
      <c r="L106" s="58">
        <v>13.802359025330219</v>
      </c>
    </row>
    <row r="107" spans="6:12" x14ac:dyDescent="0.3">
      <c r="F107" s="54">
        <v>40269</v>
      </c>
      <c r="G107" s="57">
        <v>99.3</v>
      </c>
      <c r="J107" s="58">
        <v>7.999516745082289</v>
      </c>
      <c r="K107" s="58"/>
      <c r="L107" s="58">
        <v>7.999516745082289</v>
      </c>
    </row>
    <row r="108" spans="6:12" x14ac:dyDescent="0.3">
      <c r="F108" s="54">
        <v>40299</v>
      </c>
      <c r="G108" s="57">
        <v>104.3</v>
      </c>
      <c r="J108" s="58">
        <v>12.996674464834371</v>
      </c>
      <c r="K108" s="58"/>
      <c r="L108" s="58">
        <v>12.996674464834371</v>
      </c>
    </row>
    <row r="109" spans="6:12" x14ac:dyDescent="0.3">
      <c r="F109" s="54">
        <v>40330</v>
      </c>
      <c r="G109" s="57">
        <v>102.5</v>
      </c>
      <c r="J109" s="58">
        <v>11.193832184586455</v>
      </c>
      <c r="K109" s="58"/>
      <c r="L109" s="58">
        <v>11.193832184586455</v>
      </c>
    </row>
    <row r="110" spans="6:12" x14ac:dyDescent="0.3">
      <c r="F110" s="54">
        <v>40360</v>
      </c>
      <c r="G110" s="57">
        <v>106.9</v>
      </c>
      <c r="J110" s="58">
        <v>15.590989904338542</v>
      </c>
      <c r="K110" s="58"/>
      <c r="L110" s="58">
        <v>15.590989904338542</v>
      </c>
    </row>
    <row r="111" spans="6:12" x14ac:dyDescent="0.3">
      <c r="F111" s="54">
        <v>40391</v>
      </c>
      <c r="G111" s="57">
        <v>108.1</v>
      </c>
      <c r="J111" s="58">
        <v>16.788147624090612</v>
      </c>
      <c r="K111" s="58"/>
      <c r="L111" s="58">
        <v>16.788147624090612</v>
      </c>
    </row>
    <row r="112" spans="6:12" x14ac:dyDescent="0.3">
      <c r="F112" s="54">
        <v>40422</v>
      </c>
      <c r="G112" s="57">
        <v>105.8</v>
      </c>
      <c r="J112" s="58">
        <v>14.485305343842697</v>
      </c>
      <c r="K112" s="58"/>
      <c r="L112" s="58">
        <v>14.485305343842697</v>
      </c>
    </row>
    <row r="113" spans="6:12" x14ac:dyDescent="0.3">
      <c r="F113" s="54">
        <v>40452</v>
      </c>
      <c r="G113" s="57">
        <v>107.7</v>
      </c>
      <c r="J113" s="58">
        <v>16.38246306359477</v>
      </c>
      <c r="K113" s="58"/>
      <c r="L113" s="58">
        <v>16.38246306359477</v>
      </c>
    </row>
    <row r="114" spans="6:12" x14ac:dyDescent="0.3">
      <c r="F114" s="54">
        <v>40483</v>
      </c>
      <c r="G114" s="57">
        <v>106.8</v>
      </c>
      <c r="J114" s="58">
        <v>15.479620783346846</v>
      </c>
      <c r="K114" s="58"/>
      <c r="L114" s="58">
        <v>15.479620783346846</v>
      </c>
    </row>
    <row r="115" spans="6:12" x14ac:dyDescent="0.3">
      <c r="F115" s="54">
        <v>40513</v>
      </c>
      <c r="G115" s="57">
        <v>96.6</v>
      </c>
      <c r="J115" s="58">
        <v>5.2767785030989245</v>
      </c>
      <c r="K115" s="58"/>
      <c r="L115" s="58">
        <v>5.2767785030989245</v>
      </c>
    </row>
    <row r="116" spans="6:12" x14ac:dyDescent="0.3">
      <c r="F116" s="54">
        <v>40544</v>
      </c>
      <c r="G116" s="57">
        <v>93.2</v>
      </c>
      <c r="J116" s="58">
        <v>1.8739362228510146</v>
      </c>
      <c r="K116" s="58"/>
      <c r="L116" s="58">
        <v>1.8739362228510146</v>
      </c>
    </row>
    <row r="117" spans="6:12" x14ac:dyDescent="0.3">
      <c r="F117" s="54">
        <v>40575</v>
      </c>
      <c r="G117" s="57">
        <v>95.4</v>
      </c>
      <c r="J117" s="58">
        <v>4.071093942603099</v>
      </c>
      <c r="K117" s="58"/>
      <c r="L117" s="58">
        <v>4.071093942603099</v>
      </c>
    </row>
    <row r="118" spans="6:12" x14ac:dyDescent="0.3">
      <c r="F118" s="54">
        <v>40603</v>
      </c>
      <c r="G118" s="57">
        <v>104.4</v>
      </c>
      <c r="J118" s="58">
        <v>13.068251662355181</v>
      </c>
      <c r="K118" s="58"/>
      <c r="L118" s="58">
        <v>13.068251662355181</v>
      </c>
    </row>
    <row r="119" spans="6:12" x14ac:dyDescent="0.3">
      <c r="F119" s="54">
        <v>40634</v>
      </c>
      <c r="G119" s="57">
        <v>97.5</v>
      </c>
      <c r="J119" s="58">
        <v>6.1654093821072422</v>
      </c>
      <c r="K119" s="58"/>
      <c r="L119" s="58">
        <v>6.1654093821072422</v>
      </c>
    </row>
    <row r="120" spans="6:12" x14ac:dyDescent="0.3">
      <c r="F120" s="54">
        <v>40664</v>
      </c>
      <c r="G120" s="57">
        <v>107.1</v>
      </c>
      <c r="J120" s="58">
        <v>15.762567101859318</v>
      </c>
      <c r="K120" s="58"/>
      <c r="L120" s="58">
        <v>15.762567101859318</v>
      </c>
    </row>
    <row r="121" spans="6:12" x14ac:dyDescent="0.3">
      <c r="F121" s="54">
        <v>40695</v>
      </c>
      <c r="G121" s="57">
        <v>102.8</v>
      </c>
      <c r="J121" s="58">
        <v>11.459724821611402</v>
      </c>
      <c r="K121" s="58"/>
      <c r="L121" s="58">
        <v>11.459724821611402</v>
      </c>
    </row>
    <row r="122" spans="6:12" x14ac:dyDescent="0.3">
      <c r="F122" s="54">
        <v>40725</v>
      </c>
      <c r="G122" s="57">
        <v>106.1</v>
      </c>
      <c r="J122" s="58">
        <v>14.756882541363481</v>
      </c>
      <c r="K122" s="58"/>
      <c r="L122" s="58">
        <v>14.756882541363481</v>
      </c>
    </row>
    <row r="123" spans="6:12" x14ac:dyDescent="0.3">
      <c r="F123" s="54">
        <v>40756</v>
      </c>
      <c r="G123" s="57">
        <v>110.8</v>
      </c>
      <c r="J123" s="58">
        <v>19.454040261115566</v>
      </c>
      <c r="K123" s="58"/>
      <c r="L123" s="58">
        <v>19.454040261115566</v>
      </c>
    </row>
    <row r="124" spans="6:12" x14ac:dyDescent="0.3">
      <c r="F124" s="54">
        <v>40787</v>
      </c>
      <c r="G124" s="57">
        <v>104.8</v>
      </c>
      <c r="J124" s="58">
        <v>13.451197980867647</v>
      </c>
      <c r="K124" s="58"/>
      <c r="L124" s="58">
        <v>13.451197980867647</v>
      </c>
    </row>
    <row r="125" spans="6:12" x14ac:dyDescent="0.3">
      <c r="F125" s="54">
        <v>40817</v>
      </c>
      <c r="G125" s="57">
        <v>106.3</v>
      </c>
      <c r="J125" s="58">
        <v>14.948355700619729</v>
      </c>
      <c r="K125" s="58"/>
      <c r="L125" s="58">
        <v>14.948355700619729</v>
      </c>
    </row>
    <row r="126" spans="6:12" x14ac:dyDescent="0.3">
      <c r="F126" s="54">
        <v>40848</v>
      </c>
      <c r="G126" s="57">
        <v>104.2</v>
      </c>
      <c r="J126" s="58">
        <v>12.845513420371802</v>
      </c>
      <c r="K126" s="58"/>
      <c r="L126" s="58">
        <v>12.845513420371802</v>
      </c>
    </row>
    <row r="127" spans="6:12" x14ac:dyDescent="0.3">
      <c r="F127" s="54">
        <v>40878</v>
      </c>
      <c r="G127" s="57">
        <v>95.7</v>
      </c>
      <c r="J127" s="58">
        <v>4.3426711401238833</v>
      </c>
      <c r="K127" s="58"/>
      <c r="L127" s="58">
        <v>4.3426711401238833</v>
      </c>
    </row>
    <row r="128" spans="6:12" x14ac:dyDescent="0.3">
      <c r="F128" s="54">
        <v>40909</v>
      </c>
      <c r="G128" s="57">
        <v>88.7</v>
      </c>
      <c r="J128" s="58">
        <v>-2.6601711401240351</v>
      </c>
      <c r="K128" s="58"/>
      <c r="L128" s="58">
        <v>-2.6601711401240351</v>
      </c>
    </row>
    <row r="129" spans="6:12" x14ac:dyDescent="0.3">
      <c r="F129" s="54">
        <v>40940</v>
      </c>
      <c r="G129" s="57">
        <v>89.8</v>
      </c>
      <c r="J129" s="58">
        <v>-1.5630134203719592</v>
      </c>
      <c r="K129" s="58"/>
      <c r="L129" s="58">
        <v>-1.5630134203719592</v>
      </c>
    </row>
    <row r="130" spans="6:12" x14ac:dyDescent="0.3">
      <c r="F130" s="54">
        <v>40969</v>
      </c>
      <c r="G130" s="57">
        <v>99.7</v>
      </c>
      <c r="J130" s="58">
        <v>8.334144299380128</v>
      </c>
      <c r="K130" s="58"/>
      <c r="L130" s="58">
        <v>8.334144299380128</v>
      </c>
    </row>
    <row r="131" spans="6:12" x14ac:dyDescent="0.3">
      <c r="F131" s="54">
        <v>41000</v>
      </c>
      <c r="G131" s="57">
        <v>92.8</v>
      </c>
      <c r="J131" s="58">
        <v>1.4313020191322039</v>
      </c>
      <c r="K131" s="58"/>
      <c r="L131" s="58">
        <v>1.4313020191322039</v>
      </c>
    </row>
    <row r="132" spans="6:12" x14ac:dyDescent="0.3">
      <c r="F132" s="54">
        <v>41030</v>
      </c>
      <c r="G132" s="57">
        <v>102.5</v>
      </c>
      <c r="J132" s="58">
        <v>11.128459738884274</v>
      </c>
      <c r="K132" s="58"/>
      <c r="L132" s="58">
        <v>11.128459738884274</v>
      </c>
    </row>
    <row r="133" spans="6:12" x14ac:dyDescent="0.3">
      <c r="F133" s="54">
        <v>41061</v>
      </c>
      <c r="G133" s="57">
        <v>98.3</v>
      </c>
      <c r="J133" s="58">
        <v>6.9256174586363528</v>
      </c>
      <c r="K133" s="58"/>
      <c r="L133" s="58">
        <v>6.9256174586363528</v>
      </c>
    </row>
    <row r="134" spans="6:12" x14ac:dyDescent="0.3">
      <c r="F134" s="54">
        <v>41091</v>
      </c>
      <c r="G134" s="57">
        <v>104.5</v>
      </c>
      <c r="J134" s="58">
        <v>13.122775178388437</v>
      </c>
      <c r="K134" s="58"/>
      <c r="L134" s="58">
        <v>13.122775178388437</v>
      </c>
    </row>
    <row r="135" spans="6:12" x14ac:dyDescent="0.3">
      <c r="F135" s="54">
        <v>41122</v>
      </c>
      <c r="G135" s="57">
        <v>111.5</v>
      </c>
      <c r="J135" s="58">
        <v>20.119932898140519</v>
      </c>
      <c r="K135" s="58"/>
      <c r="L135" s="58">
        <v>20.119932898140519</v>
      </c>
    </row>
    <row r="136" spans="6:12" x14ac:dyDescent="0.3">
      <c r="F136" s="54">
        <v>41153</v>
      </c>
      <c r="G136" s="57">
        <v>103.4</v>
      </c>
      <c r="J136" s="58">
        <v>12.017090617892606</v>
      </c>
      <c r="K136" s="58"/>
      <c r="L136" s="58">
        <v>12.017090617892606</v>
      </c>
    </row>
    <row r="137" spans="6:12" x14ac:dyDescent="0.3">
      <c r="F137" s="54">
        <v>41183</v>
      </c>
      <c r="G137" s="57">
        <v>111.8</v>
      </c>
      <c r="J137" s="58">
        <v>20.414248337644679</v>
      </c>
      <c r="K137" s="58"/>
      <c r="L137" s="58">
        <v>20.414248337644679</v>
      </c>
    </row>
    <row r="138" spans="6:12" x14ac:dyDescent="0.3">
      <c r="F138" s="54">
        <v>41214</v>
      </c>
      <c r="G138" s="57">
        <v>104.8</v>
      </c>
      <c r="J138" s="58">
        <v>13.411406057396761</v>
      </c>
      <c r="K138" s="58"/>
      <c r="L138" s="58">
        <v>13.411406057396761</v>
      </c>
    </row>
    <row r="139" spans="6:12" x14ac:dyDescent="0.3">
      <c r="F139" s="54">
        <v>41244</v>
      </c>
      <c r="G139" s="57">
        <v>92.2</v>
      </c>
      <c r="J139" s="58">
        <v>0.80856377714883365</v>
      </c>
      <c r="K139" s="58"/>
      <c r="L139" s="58">
        <v>0.80856377714883365</v>
      </c>
    </row>
    <row r="140" spans="6:12" x14ac:dyDescent="0.3">
      <c r="F140" s="54">
        <v>41275</v>
      </c>
      <c r="G140" s="57">
        <v>94.5</v>
      </c>
      <c r="J140" s="58">
        <v>3.1057214969009124</v>
      </c>
      <c r="K140" s="58"/>
      <c r="L140" s="58">
        <v>3.1057214969009124</v>
      </c>
    </row>
    <row r="141" spans="6:12" x14ac:dyDescent="0.3">
      <c r="F141" s="54">
        <v>41306</v>
      </c>
      <c r="G141" s="57">
        <v>88.1</v>
      </c>
      <c r="J141" s="58">
        <v>-3.2971207833470118</v>
      </c>
      <c r="K141" s="58"/>
      <c r="L141" s="58">
        <v>-3.2971207833470118</v>
      </c>
    </row>
    <row r="142" spans="6:12" x14ac:dyDescent="0.3">
      <c r="F142" s="54">
        <v>41334</v>
      </c>
      <c r="G142" s="57">
        <v>97.7</v>
      </c>
      <c r="J142" s="58">
        <v>6.3000369364050783</v>
      </c>
      <c r="K142" s="58"/>
      <c r="L142" s="58">
        <v>6.3000369364050783</v>
      </c>
    </row>
    <row r="143" spans="6:12" x14ac:dyDescent="0.3">
      <c r="F143" s="54">
        <v>41365</v>
      </c>
      <c r="G143" s="57">
        <v>101.8</v>
      </c>
      <c r="J143" s="58">
        <v>10.397194656157154</v>
      </c>
      <c r="K143" s="58"/>
      <c r="L143" s="58">
        <v>10.397194656157154</v>
      </c>
    </row>
    <row r="144" spans="6:12" x14ac:dyDescent="0.3">
      <c r="F144" s="54">
        <v>41395</v>
      </c>
      <c r="G144" s="57">
        <v>105</v>
      </c>
      <c r="J144" s="58">
        <v>13.594352375909239</v>
      </c>
      <c r="K144" s="58"/>
      <c r="L144" s="58">
        <v>13.594352375909239</v>
      </c>
    </row>
    <row r="145" spans="6:12" x14ac:dyDescent="0.3">
      <c r="F145" s="54">
        <v>41426</v>
      </c>
      <c r="G145" s="57">
        <v>101.7</v>
      </c>
      <c r="J145" s="58">
        <v>10.291510095661309</v>
      </c>
      <c r="K145" s="58"/>
      <c r="L145" s="58">
        <v>10.291510095661309</v>
      </c>
    </row>
    <row r="146" spans="6:12" x14ac:dyDescent="0.3">
      <c r="F146" s="54">
        <v>41456</v>
      </c>
      <c r="G146" s="57">
        <v>108</v>
      </c>
      <c r="J146" s="58">
        <v>16.588667815413388</v>
      </c>
      <c r="K146" s="58"/>
      <c r="L146" s="58">
        <v>16.588667815413388</v>
      </c>
    </row>
    <row r="147" spans="6:12" x14ac:dyDescent="0.3">
      <c r="F147" s="54">
        <v>41487</v>
      </c>
      <c r="G147" s="57">
        <v>112</v>
      </c>
      <c r="J147" s="58">
        <v>20.585825535165469</v>
      </c>
      <c r="K147" s="58"/>
      <c r="L147" s="58">
        <v>20.585825535165469</v>
      </c>
    </row>
    <row r="148" spans="6:12" x14ac:dyDescent="0.3">
      <c r="F148" s="54">
        <v>41518</v>
      </c>
      <c r="G148" s="57">
        <v>107.3</v>
      </c>
      <c r="J148" s="58">
        <v>15.882983254917548</v>
      </c>
      <c r="K148" s="58"/>
      <c r="L148" s="58">
        <v>15.882983254917548</v>
      </c>
    </row>
    <row r="149" spans="6:12" x14ac:dyDescent="0.3">
      <c r="F149" s="54">
        <v>41548</v>
      </c>
      <c r="G149" s="57">
        <v>112.6</v>
      </c>
      <c r="J149" s="58">
        <v>21.180140974669627</v>
      </c>
      <c r="K149" s="58"/>
      <c r="L149" s="58">
        <v>21.180140974669627</v>
      </c>
    </row>
    <row r="150" spans="6:12" x14ac:dyDescent="0.3">
      <c r="F150" s="54">
        <v>41579</v>
      </c>
      <c r="G150" s="57">
        <v>106.1</v>
      </c>
      <c r="J150" s="58">
        <v>14.677298694421708</v>
      </c>
      <c r="K150" s="58"/>
      <c r="L150" s="58">
        <v>14.677298694421708</v>
      </c>
    </row>
    <row r="151" spans="6:12" x14ac:dyDescent="0.3">
      <c r="F151" s="54">
        <v>41609</v>
      </c>
      <c r="G151" s="57">
        <v>90.1</v>
      </c>
      <c r="J151" s="58">
        <v>-1.3255435858262103</v>
      </c>
      <c r="K151" s="58"/>
      <c r="L151" s="58">
        <v>-1.3255435858262103</v>
      </c>
    </row>
    <row r="152" spans="6:12" x14ac:dyDescent="0.3">
      <c r="F152" s="54">
        <v>41640</v>
      </c>
      <c r="G152" s="57">
        <v>92.6</v>
      </c>
      <c r="J152" s="58">
        <v>1.171614133925857</v>
      </c>
      <c r="K152" s="58"/>
      <c r="L152" s="58">
        <v>1.171614133925857</v>
      </c>
    </row>
    <row r="153" spans="6:12" x14ac:dyDescent="0.3">
      <c r="F153" s="54">
        <v>41671</v>
      </c>
      <c r="G153" s="57">
        <v>92.3</v>
      </c>
      <c r="J153" s="58">
        <v>0.86877185367794141</v>
      </c>
      <c r="K153" s="58"/>
      <c r="L153" s="58">
        <v>0.86877185367794141</v>
      </c>
    </row>
    <row r="154" spans="6:12" x14ac:dyDescent="0.3">
      <c r="F154" s="54">
        <v>41699</v>
      </c>
      <c r="G154" s="57">
        <v>97.3</v>
      </c>
      <c r="J154" s="58">
        <v>5.865929573430023</v>
      </c>
      <c r="K154" s="58"/>
      <c r="L154" s="58">
        <v>5.865929573430023</v>
      </c>
    </row>
    <row r="155" spans="6:12" x14ac:dyDescent="0.3">
      <c r="F155" s="54">
        <v>41730</v>
      </c>
      <c r="G155" s="57">
        <v>96</v>
      </c>
      <c r="J155" s="58">
        <v>4.5630872931821074</v>
      </c>
      <c r="K155" s="58"/>
      <c r="L155" s="58">
        <v>4.5630872931821074</v>
      </c>
    </row>
    <row r="156" spans="6:12" x14ac:dyDescent="0.3">
      <c r="F156" s="54">
        <v>41760</v>
      </c>
      <c r="G156" s="57">
        <v>101.7</v>
      </c>
      <c r="J156" s="58">
        <v>10.260245012934192</v>
      </c>
      <c r="K156" s="58"/>
      <c r="L156" s="58">
        <v>10.260245012934192</v>
      </c>
    </row>
    <row r="157" spans="6:12" x14ac:dyDescent="0.3">
      <c r="F157" s="54">
        <v>41791</v>
      </c>
      <c r="G157" s="57">
        <v>94.9</v>
      </c>
      <c r="J157" s="58">
        <v>3.4574027326862762</v>
      </c>
      <c r="K157" s="58"/>
      <c r="L157" s="58">
        <v>3.4574027326862762</v>
      </c>
    </row>
    <row r="158" spans="6:12" x14ac:dyDescent="0.3">
      <c r="F158" s="54">
        <v>41821</v>
      </c>
      <c r="G158" s="57">
        <v>104.4</v>
      </c>
      <c r="J158" s="58">
        <v>12.954560452438344</v>
      </c>
      <c r="K158" s="58"/>
      <c r="L158" s="58">
        <v>12.954560452438344</v>
      </c>
    </row>
    <row r="159" spans="6:12" x14ac:dyDescent="0.3">
      <c r="F159" s="54">
        <v>41852</v>
      </c>
      <c r="G159" s="57">
        <v>106.3</v>
      </c>
      <c r="J159" s="58">
        <v>14.851718172190417</v>
      </c>
      <c r="K159" s="58"/>
      <c r="L159" s="58">
        <v>14.851718172190417</v>
      </c>
    </row>
    <row r="160" spans="6:12" x14ac:dyDescent="0.3">
      <c r="F160" s="54">
        <v>41883</v>
      </c>
      <c r="G160" s="57">
        <v>105.6</v>
      </c>
      <c r="J160" s="58">
        <v>14.148875891942495</v>
      </c>
      <c r="K160" s="58"/>
      <c r="L160" s="58">
        <v>14.148875891942495</v>
      </c>
    </row>
    <row r="161" spans="6:12" x14ac:dyDescent="0.3">
      <c r="F161" s="54">
        <v>41913</v>
      </c>
      <c r="G161" s="57">
        <v>109.3</v>
      </c>
      <c r="J161" s="58">
        <v>17.84603361169458</v>
      </c>
      <c r="K161" s="58"/>
      <c r="L161" s="58">
        <v>17.84603361169458</v>
      </c>
    </row>
    <row r="162" spans="6:12" x14ac:dyDescent="0.3">
      <c r="F162" s="54">
        <v>41944</v>
      </c>
      <c r="G162" s="57">
        <v>99.8</v>
      </c>
      <c r="J162" s="58">
        <v>8.3431913314466613</v>
      </c>
      <c r="K162" s="58"/>
      <c r="L162" s="58">
        <v>8.3431913314466613</v>
      </c>
    </row>
    <row r="163" spans="6:12" x14ac:dyDescent="0.3">
      <c r="F163" s="54">
        <v>41974</v>
      </c>
      <c r="G163" s="57">
        <v>87.7</v>
      </c>
      <c r="J163" s="58">
        <v>-3.7596509488012515</v>
      </c>
      <c r="K163" s="58"/>
      <c r="L163" s="58">
        <v>-3.7596509488012515</v>
      </c>
    </row>
    <row r="164" spans="6:12" x14ac:dyDescent="0.3">
      <c r="F164" s="54">
        <v>42005</v>
      </c>
      <c r="G164" s="57">
        <v>88.1</v>
      </c>
      <c r="J164" s="58">
        <v>-3.3624932290491927</v>
      </c>
      <c r="K164" s="58"/>
      <c r="L164" s="58">
        <v>-3.3624932290491927</v>
      </c>
    </row>
    <row r="165" spans="6:12" x14ac:dyDescent="0.3">
      <c r="F165" s="54">
        <v>42036</v>
      </c>
      <c r="G165" s="57">
        <v>83.7</v>
      </c>
      <c r="J165" s="58">
        <v>-7.7653355092971026</v>
      </c>
      <c r="K165" s="58"/>
      <c r="L165" s="58">
        <v>-7.7653355092971026</v>
      </c>
    </row>
    <row r="166" spans="6:12" x14ac:dyDescent="0.3">
      <c r="F166" s="54">
        <v>42064</v>
      </c>
      <c r="G166" s="57">
        <v>94.3</v>
      </c>
      <c r="J166" s="58">
        <v>2.8318222104549733</v>
      </c>
      <c r="K166" s="58"/>
      <c r="L166" s="58">
        <v>2.8318222104549733</v>
      </c>
    </row>
    <row r="167" spans="6:12" x14ac:dyDescent="0.3">
      <c r="F167" s="54">
        <v>42095</v>
      </c>
      <c r="G167" s="57">
        <v>88.8</v>
      </c>
      <c r="J167" s="58">
        <v>-2.6710200697929452</v>
      </c>
      <c r="K167" s="58"/>
      <c r="L167" s="58">
        <v>-2.6710200697929452</v>
      </c>
    </row>
    <row r="168" spans="6:12" x14ac:dyDescent="0.3">
      <c r="F168" s="54">
        <v>42125</v>
      </c>
      <c r="G168" s="57">
        <v>93.1</v>
      </c>
      <c r="J168" s="58">
        <v>1.6261376499591336</v>
      </c>
      <c r="K168" s="58"/>
      <c r="L168" s="58">
        <v>1.6261376499591336</v>
      </c>
    </row>
    <row r="169" spans="6:12" x14ac:dyDescent="0.3">
      <c r="F169" s="54">
        <v>42156</v>
      </c>
      <c r="G169" s="57">
        <v>92.5</v>
      </c>
      <c r="J169" s="58">
        <v>1.0232953697112208</v>
      </c>
      <c r="K169" s="58"/>
      <c r="L169" s="58">
        <v>1.0232953697112208</v>
      </c>
    </row>
    <row r="170" spans="6:12" x14ac:dyDescent="0.3">
      <c r="F170" s="54">
        <v>42186</v>
      </c>
      <c r="G170" s="57">
        <v>95.5</v>
      </c>
      <c r="J170" s="58">
        <v>4.0204530894633024</v>
      </c>
      <c r="K170" s="58"/>
      <c r="L170" s="58">
        <v>4.0204530894633024</v>
      </c>
    </row>
    <row r="171" spans="6:12" x14ac:dyDescent="0.3">
      <c r="F171" s="54">
        <v>42217</v>
      </c>
      <c r="G171" s="57">
        <v>97.6</v>
      </c>
      <c r="J171" s="58">
        <v>6.117610809215364</v>
      </c>
      <c r="K171" s="58"/>
      <c r="L171" s="58">
        <v>6.117610809215364</v>
      </c>
    </row>
    <row r="172" spans="6:12" x14ac:dyDescent="0.3">
      <c r="F172" s="54">
        <v>42248</v>
      </c>
      <c r="G172" s="57">
        <v>94.3</v>
      </c>
      <c r="J172" s="58">
        <v>2.8147685289674484</v>
      </c>
      <c r="K172" s="58"/>
      <c r="L172" s="58">
        <v>2.8147685289674484</v>
      </c>
    </row>
    <row r="173" spans="6:12" x14ac:dyDescent="0.3">
      <c r="F173" s="54">
        <v>42278</v>
      </c>
      <c r="G173" s="57">
        <v>97.2</v>
      </c>
      <c r="J173" s="58">
        <v>5.7119262487195357</v>
      </c>
      <c r="K173" s="58"/>
      <c r="L173" s="58">
        <v>5.7119262487195357</v>
      </c>
    </row>
    <row r="174" spans="6:12" x14ac:dyDescent="0.3">
      <c r="F174" s="54">
        <v>42309</v>
      </c>
      <c r="G174" s="57">
        <v>87.6</v>
      </c>
      <c r="J174" s="58">
        <v>-3.8909160315283913</v>
      </c>
      <c r="K174" s="58"/>
      <c r="L174" s="58">
        <v>-3.8909160315283913</v>
      </c>
    </row>
    <row r="175" spans="6:12" x14ac:dyDescent="0.3">
      <c r="F175" s="54">
        <v>42339</v>
      </c>
      <c r="G175" s="57">
        <v>77.2</v>
      </c>
      <c r="J175" s="58">
        <v>-14.293758311776301</v>
      </c>
      <c r="K175" s="58"/>
      <c r="L175" s="58">
        <v>-14.293758311776301</v>
      </c>
    </row>
    <row r="176" spans="6:12" x14ac:dyDescent="0.3">
      <c r="F176" s="54">
        <v>42370</v>
      </c>
      <c r="G176" s="57">
        <v>76.3</v>
      </c>
      <c r="J176" s="58">
        <v>-15.196600592024225</v>
      </c>
      <c r="K176" s="58"/>
      <c r="L176" s="58">
        <v>-15.196600592024225</v>
      </c>
    </row>
    <row r="177" spans="6:12" x14ac:dyDescent="0.3">
      <c r="F177" s="54">
        <v>42401</v>
      </c>
      <c r="G177" s="57">
        <v>75.8</v>
      </c>
      <c r="J177" s="58">
        <v>-15.699442872272158</v>
      </c>
      <c r="K177" s="58"/>
      <c r="L177" s="58">
        <v>-15.699442872272158</v>
      </c>
    </row>
    <row r="178" spans="6:12" x14ac:dyDescent="0.3">
      <c r="F178" s="54">
        <v>42430</v>
      </c>
      <c r="G178" s="57">
        <v>83.7</v>
      </c>
      <c r="J178" s="58">
        <v>-7.8022851525200707</v>
      </c>
      <c r="K178" s="58"/>
      <c r="L178" s="58">
        <v>-7.8022851525200707</v>
      </c>
    </row>
    <row r="179" spans="6:12" x14ac:dyDescent="0.3">
      <c r="F179" s="54">
        <v>42461</v>
      </c>
      <c r="G179" s="57">
        <v>83</v>
      </c>
      <c r="J179" s="58">
        <v>-8.505127432767992</v>
      </c>
      <c r="K179" s="58"/>
      <c r="L179" s="58">
        <v>-8.505127432767992</v>
      </c>
    </row>
    <row r="180" spans="6:12" x14ac:dyDescent="0.3">
      <c r="F180" s="54">
        <v>42491</v>
      </c>
      <c r="G180" s="57">
        <v>86.3</v>
      </c>
      <c r="J180" s="58">
        <v>-5.2079697130159133</v>
      </c>
      <c r="K180" s="58"/>
      <c r="L180" s="58">
        <v>-5.2079697130159133</v>
      </c>
    </row>
    <row r="181" spans="6:12" x14ac:dyDescent="0.3">
      <c r="F181" s="54">
        <v>42522</v>
      </c>
      <c r="G181" s="57">
        <v>87.7</v>
      </c>
      <c r="J181" s="58">
        <v>-3.810811993263826</v>
      </c>
      <c r="K181" s="58"/>
      <c r="L181" s="58">
        <v>-3.810811993263826</v>
      </c>
    </row>
    <row r="182" spans="6:12" x14ac:dyDescent="0.3">
      <c r="F182" s="54">
        <v>42552</v>
      </c>
      <c r="G182" s="57">
        <v>89.6</v>
      </c>
      <c r="J182" s="58">
        <v>-1.913654273511753</v>
      </c>
      <c r="K182" s="58"/>
      <c r="L182" s="58">
        <v>-1.913654273511753</v>
      </c>
    </row>
    <row r="183" spans="6:12" x14ac:dyDescent="0.3">
      <c r="F183" s="54">
        <v>42583</v>
      </c>
      <c r="G183" s="57">
        <v>93</v>
      </c>
      <c r="J183" s="58">
        <v>1.48350344624032</v>
      </c>
      <c r="K183" s="58"/>
      <c r="L183" s="58">
        <v>1.48350344624032</v>
      </c>
    </row>
    <row r="184" spans="6:12" x14ac:dyDescent="0.3">
      <c r="F184" s="54">
        <v>42614</v>
      </c>
      <c r="G184" s="57">
        <v>90.7</v>
      </c>
      <c r="J184" s="58">
        <v>-0.81933883400759555</v>
      </c>
      <c r="K184" s="58"/>
      <c r="L184" s="58">
        <v>-0.81933883400759555</v>
      </c>
    </row>
    <row r="185" spans="6:12" x14ac:dyDescent="0.3">
      <c r="F185" s="54">
        <v>42644</v>
      </c>
      <c r="G185" s="57">
        <v>90.2</v>
      </c>
      <c r="J185" s="58">
        <v>-1.322181114255514</v>
      </c>
      <c r="K185" s="58"/>
      <c r="L185" s="58">
        <v>-1.322181114255514</v>
      </c>
    </row>
    <row r="186" spans="6:12" x14ac:dyDescent="0.3">
      <c r="F186" s="54">
        <v>42675</v>
      </c>
      <c r="G186" s="57">
        <v>86.5</v>
      </c>
      <c r="J186" s="58">
        <v>-5.0250233945034353</v>
      </c>
      <c r="K186" s="58"/>
      <c r="L186" s="58">
        <v>-5.0250233945034353</v>
      </c>
    </row>
    <row r="187" spans="6:12" x14ac:dyDescent="0.3">
      <c r="F187" s="54">
        <v>42705</v>
      </c>
      <c r="G187" s="57">
        <v>77.2</v>
      </c>
      <c r="J187" s="58">
        <v>-14.327865674751351</v>
      </c>
      <c r="K187" s="58"/>
      <c r="L187" s="58">
        <v>-14.327865674751351</v>
      </c>
    </row>
    <row r="188" spans="6:12" x14ac:dyDescent="0.3">
      <c r="F188" s="54">
        <v>42736</v>
      </c>
      <c r="G188" s="57">
        <v>77.900000000000006</v>
      </c>
      <c r="J188" s="58">
        <v>-13.630707954999266</v>
      </c>
      <c r="K188" s="58"/>
      <c r="L188" s="58">
        <v>-13.630707954999266</v>
      </c>
    </row>
    <row r="189" spans="6:12" x14ac:dyDescent="0.3">
      <c r="F189" s="54">
        <v>42767</v>
      </c>
      <c r="G189" s="57">
        <v>75.900000000000006</v>
      </c>
      <c r="J189" s="58">
        <v>-15.633550235247185</v>
      </c>
      <c r="K189" s="58"/>
      <c r="L189" s="58">
        <v>-15.633550235247185</v>
      </c>
    </row>
    <row r="190" spans="6:12" x14ac:dyDescent="0.3">
      <c r="F190" s="54">
        <v>42795</v>
      </c>
      <c r="G190" s="57">
        <v>85.4</v>
      </c>
      <c r="J190" s="58">
        <v>-6.1363925154951176</v>
      </c>
      <c r="K190" s="58"/>
      <c r="L190" s="58">
        <v>-6.1363925154951176</v>
      </c>
    </row>
    <row r="191" spans="6:12" x14ac:dyDescent="0.3">
      <c r="F191" s="54">
        <v>42826</v>
      </c>
      <c r="G191" s="57">
        <v>79.3</v>
      </c>
      <c r="J191" s="58">
        <v>-12.239234795743045</v>
      </c>
      <c r="K191" s="58"/>
      <c r="L191" s="58">
        <v>-12.239234795743045</v>
      </c>
    </row>
    <row r="192" spans="6:12" x14ac:dyDescent="0.3">
      <c r="F192" s="54">
        <v>42856</v>
      </c>
      <c r="G192" s="57">
        <v>90.1</v>
      </c>
      <c r="J192" s="58">
        <v>-1.4420770759909658</v>
      </c>
      <c r="K192" s="58"/>
      <c r="L192" s="58">
        <v>-1.4420770759909658</v>
      </c>
    </row>
    <row r="193" spans="6:12" x14ac:dyDescent="0.3">
      <c r="F193" s="54">
        <v>42887</v>
      </c>
      <c r="G193" s="57">
        <v>88.4</v>
      </c>
      <c r="J193" s="58">
        <v>-3.1449193562388729</v>
      </c>
      <c r="K193" s="58"/>
      <c r="L193" s="58">
        <v>-3.1449193562388729</v>
      </c>
    </row>
    <row r="194" spans="6:12" x14ac:dyDescent="0.3">
      <c r="F194" s="54">
        <v>42917</v>
      </c>
      <c r="G194" s="57">
        <v>92.1</v>
      </c>
      <c r="J194" s="58">
        <v>0.55223836351319733</v>
      </c>
      <c r="K194" s="58"/>
      <c r="L194" s="58">
        <v>0.55223836351319733</v>
      </c>
    </row>
    <row r="195" spans="6:12" x14ac:dyDescent="0.3">
      <c r="F195" s="54">
        <v>42948</v>
      </c>
      <c r="G195" s="57">
        <v>96.7</v>
      </c>
      <c r="J195" s="58">
        <v>5.1493960832652874</v>
      </c>
      <c r="K195" s="58"/>
      <c r="L195" s="58">
        <v>5.1493960832652874</v>
      </c>
    </row>
    <row r="196" spans="6:12" x14ac:dyDescent="0.3">
      <c r="F196" s="54">
        <v>42979</v>
      </c>
      <c r="G196" s="57">
        <v>93</v>
      </c>
      <c r="J196" s="58">
        <v>1.4465538030173519</v>
      </c>
      <c r="K196" s="58"/>
      <c r="L196" s="58">
        <v>1.4465538030173519</v>
      </c>
    </row>
    <row r="197" spans="6:12" x14ac:dyDescent="0.3">
      <c r="F197" s="54">
        <v>43009</v>
      </c>
      <c r="G197" s="57">
        <v>95.1</v>
      </c>
      <c r="J197" s="58">
        <v>3.5437115227694278</v>
      </c>
      <c r="K197" s="58"/>
      <c r="L197" s="58">
        <v>3.5437115227694278</v>
      </c>
    </row>
    <row r="198" spans="6:12" x14ac:dyDescent="0.3">
      <c r="F198" s="54">
        <v>43040</v>
      </c>
      <c r="G198" s="57">
        <v>90.6</v>
      </c>
      <c r="J198" s="58">
        <v>-0.95913075747849064</v>
      </c>
      <c r="K198" s="58"/>
      <c r="L198" s="58">
        <v>-0.95913075747849064</v>
      </c>
    </row>
    <row r="199" spans="6:12" x14ac:dyDescent="0.3">
      <c r="F199" s="54">
        <v>43070</v>
      </c>
      <c r="G199" s="57">
        <v>81</v>
      </c>
      <c r="J199" s="58">
        <v>-10.561973037726403</v>
      </c>
      <c r="K199" s="58"/>
      <c r="L199" s="58">
        <v>-10.561973037726403</v>
      </c>
    </row>
    <row r="200" spans="6:12" x14ac:dyDescent="0.3">
      <c r="F200" s="54">
        <v>43101</v>
      </c>
      <c r="G200" s="57">
        <v>82.3</v>
      </c>
      <c r="J200" s="58">
        <v>-9.2648153179743247</v>
      </c>
      <c r="K200" s="58"/>
      <c r="L200" s="58">
        <v>-9.2648153179743247</v>
      </c>
    </row>
    <row r="201" spans="6:12" x14ac:dyDescent="0.3">
      <c r="F201" s="54">
        <v>43132</v>
      </c>
      <c r="G201" s="57">
        <v>77.3</v>
      </c>
      <c r="J201" s="58">
        <v>-14.267657598222243</v>
      </c>
      <c r="K201" s="58"/>
      <c r="L201" s="58">
        <v>-14.267657598222243</v>
      </c>
    </row>
    <row r="202" spans="6:12" x14ac:dyDescent="0.3">
      <c r="F202" s="54">
        <v>43160</v>
      </c>
      <c r="G202" s="57">
        <v>86.2</v>
      </c>
      <c r="J202" s="58">
        <v>-5.3704998784701559</v>
      </c>
      <c r="K202" s="58"/>
      <c r="L202" s="58">
        <v>-5.3704998784701559</v>
      </c>
    </row>
    <row r="203" spans="6:12" x14ac:dyDescent="0.3">
      <c r="F203" s="54">
        <v>43191</v>
      </c>
      <c r="G203" s="57">
        <v>86.5</v>
      </c>
      <c r="J203" s="58">
        <v>-5.0733421587180914</v>
      </c>
      <c r="K203" s="58"/>
      <c r="L203" s="58">
        <v>-5.0733421587180914</v>
      </c>
    </row>
    <row r="204" spans="6:12" x14ac:dyDescent="0.3">
      <c r="F204" s="54">
        <v>43221</v>
      </c>
      <c r="G204" s="57">
        <v>84.4</v>
      </c>
      <c r="J204" s="58">
        <v>-7.1761844389660041</v>
      </c>
      <c r="K204" s="58"/>
      <c r="L204" s="58">
        <v>-7.1761844389660041</v>
      </c>
    </row>
    <row r="205" spans="6:12" x14ac:dyDescent="0.3">
      <c r="F205" s="54">
        <v>43252</v>
      </c>
      <c r="G205" s="57">
        <v>91.1</v>
      </c>
      <c r="J205" s="58">
        <v>-0.47902671921393392</v>
      </c>
      <c r="K205" s="58"/>
      <c r="L205" s="58">
        <v>-0.47902671921393392</v>
      </c>
    </row>
    <row r="206" spans="6:12" x14ac:dyDescent="0.3">
      <c r="F206" s="54">
        <v>43282</v>
      </c>
      <c r="G206" s="57">
        <v>95.8</v>
      </c>
      <c r="J206" s="58">
        <v>4.2181310005381505</v>
      </c>
      <c r="K206" s="58"/>
      <c r="L206" s="58">
        <v>4.2181310005381505</v>
      </c>
    </row>
    <row r="207" spans="6:12" x14ac:dyDescent="0.3">
      <c r="F207" s="54">
        <v>43313</v>
      </c>
      <c r="G207" s="57">
        <v>98.2</v>
      </c>
      <c r="J207" s="58">
        <v>6.6152887202902377</v>
      </c>
      <c r="K207" s="58"/>
      <c r="L207" s="58">
        <v>6.6152887202902377</v>
      </c>
    </row>
    <row r="208" spans="6:12" x14ac:dyDescent="0.3">
      <c r="F208" s="54">
        <v>43344</v>
      </c>
      <c r="G208" s="57">
        <v>90.7</v>
      </c>
      <c r="J208" s="58">
        <v>-0.8875535599576807</v>
      </c>
      <c r="K208" s="58"/>
      <c r="L208" s="58">
        <v>-0.8875535599576807</v>
      </c>
    </row>
    <row r="209" spans="6:12" x14ac:dyDescent="0.3">
      <c r="F209" s="54">
        <v>43374</v>
      </c>
      <c r="G209" s="57">
        <v>95.8</v>
      </c>
      <c r="J209" s="58">
        <v>4.209604159794381</v>
      </c>
      <c r="K209" s="58"/>
      <c r="L209" s="58">
        <v>4.209604159794381</v>
      </c>
    </row>
    <row r="210" spans="6:12" x14ac:dyDescent="0.3">
      <c r="F210" s="54">
        <v>43405</v>
      </c>
      <c r="G210" s="57">
        <v>89.5</v>
      </c>
      <c r="J210" s="58">
        <v>-2.0932381204535346</v>
      </c>
      <c r="K210" s="58"/>
      <c r="L210" s="58">
        <v>-2.0932381204535346</v>
      </c>
    </row>
    <row r="211" spans="6:12" x14ac:dyDescent="0.3">
      <c r="F211" s="54">
        <v>43435</v>
      </c>
      <c r="G211" s="57">
        <v>78</v>
      </c>
      <c r="J211" s="58">
        <v>-13.596080400701453</v>
      </c>
      <c r="K211" s="58"/>
      <c r="L211" s="58">
        <v>-13.596080400701453</v>
      </c>
    </row>
    <row r="212" spans="6:12" x14ac:dyDescent="0.3">
      <c r="F212" s="54">
        <v>43466</v>
      </c>
      <c r="G212" s="57">
        <v>80.7</v>
      </c>
      <c r="J212" s="58">
        <v>-10.898922680949369</v>
      </c>
      <c r="K212" s="58"/>
      <c r="L212" s="58">
        <v>-10.898922680949369</v>
      </c>
    </row>
    <row r="213" spans="6:12" x14ac:dyDescent="0.3">
      <c r="F213" s="54">
        <v>43497</v>
      </c>
      <c r="G213" s="57">
        <v>79.099999999999994</v>
      </c>
      <c r="J213" s="58">
        <v>-12.501764961197296</v>
      </c>
      <c r="K213" s="58"/>
      <c r="L213" s="58">
        <v>-12.501764961197296</v>
      </c>
    </row>
    <row r="214" spans="6:12" x14ac:dyDescent="0.3">
      <c r="F214" s="54">
        <v>43525</v>
      </c>
      <c r="G214" s="57">
        <v>81</v>
      </c>
      <c r="J214" s="58">
        <v>-10.604607241445208</v>
      </c>
      <c r="K214" s="58"/>
      <c r="L214" s="58">
        <v>-10.604607241445208</v>
      </c>
    </row>
    <row r="215" spans="6:12" x14ac:dyDescent="0.3">
      <c r="F215" s="54">
        <v>43556</v>
      </c>
      <c r="G215" s="57">
        <v>83.3</v>
      </c>
      <c r="J215" s="58">
        <v>-8.3074495216931297</v>
      </c>
      <c r="K215" s="58"/>
      <c r="L215" s="58">
        <v>-8.3074495216931297</v>
      </c>
    </row>
    <row r="216" spans="6:12" x14ac:dyDescent="0.3">
      <c r="F216" s="54">
        <v>43586</v>
      </c>
      <c r="G216" s="57">
        <v>91</v>
      </c>
      <c r="J216" s="58">
        <v>-0.61029180194105948</v>
      </c>
      <c r="K216" s="58"/>
      <c r="L216" s="58">
        <v>-0.61029180194105948</v>
      </c>
    </row>
    <row r="217" spans="6:12" x14ac:dyDescent="0.3">
      <c r="F217" s="54">
        <v>43617</v>
      </c>
      <c r="G217" s="57">
        <v>85.8</v>
      </c>
      <c r="J217" s="58">
        <v>-5.8131340821889808</v>
      </c>
      <c r="K217" s="58"/>
      <c r="L217" s="58">
        <v>-5.8131340821889808</v>
      </c>
    </row>
    <row r="218" spans="6:12" x14ac:dyDescent="0.3">
      <c r="F218" s="54">
        <v>43647</v>
      </c>
      <c r="G218" s="57">
        <v>93.4</v>
      </c>
      <c r="J218" s="58">
        <v>1.7840236375631093</v>
      </c>
      <c r="K218" s="58"/>
      <c r="L218" s="58">
        <v>1.7840236375631093</v>
      </c>
    </row>
    <row r="219" spans="6:12" x14ac:dyDescent="0.3">
      <c r="F219" s="54">
        <v>43678</v>
      </c>
      <c r="G219" s="57">
        <v>96.2</v>
      </c>
      <c r="J219" s="58">
        <v>4.5811813573151881</v>
      </c>
      <c r="K219" s="58"/>
      <c r="L219" s="58">
        <v>4.5811813573151881</v>
      </c>
    </row>
    <row r="220" spans="6:12" x14ac:dyDescent="0.3">
      <c r="F220" s="54">
        <v>43709</v>
      </c>
      <c r="G220" s="57">
        <v>91.8</v>
      </c>
      <c r="J220" s="58">
        <v>0.17833907706726393</v>
      </c>
      <c r="K220" s="58"/>
      <c r="L220" s="58">
        <v>0.17833907706726393</v>
      </c>
    </row>
    <row r="221" spans="6:12" x14ac:dyDescent="0.3">
      <c r="F221" s="54">
        <v>43739</v>
      </c>
      <c r="G221" s="57">
        <v>97</v>
      </c>
      <c r="J221" s="58">
        <v>5.3754967968193483</v>
      </c>
      <c r="K221" s="58"/>
      <c r="L221" s="58">
        <v>5.3754967968193483</v>
      </c>
    </row>
    <row r="222" spans="6:12" x14ac:dyDescent="0.3">
      <c r="F222" s="54">
        <v>43770</v>
      </c>
      <c r="G222" s="57">
        <v>88</v>
      </c>
      <c r="J222" s="58">
        <v>-3.6273454834285843</v>
      </c>
      <c r="K222" s="58"/>
      <c r="L222" s="58">
        <v>-3.6273454834285843</v>
      </c>
    </row>
    <row r="223" spans="6:12" x14ac:dyDescent="0.3">
      <c r="F223" s="54">
        <v>43800</v>
      </c>
      <c r="G223" s="57">
        <v>76.900000000000006</v>
      </c>
      <c r="J223" s="58">
        <v>-14.730187763676497</v>
      </c>
      <c r="K223" s="58"/>
      <c r="L223" s="58">
        <v>-14.730187763676497</v>
      </c>
    </row>
    <row r="224" spans="6:12" x14ac:dyDescent="0.3">
      <c r="F224" s="54">
        <v>43831</v>
      </c>
      <c r="G224" s="57">
        <v>80</v>
      </c>
      <c r="J224" s="58">
        <v>-11.633030043924421</v>
      </c>
      <c r="K224" s="58"/>
      <c r="L224" s="58">
        <v>-11.633030043924421</v>
      </c>
    </row>
    <row r="225" spans="6:12" x14ac:dyDescent="0.3">
      <c r="F225" s="54">
        <v>43862</v>
      </c>
      <c r="G225" s="57">
        <v>78.900000000000006</v>
      </c>
      <c r="J225" s="58">
        <v>-12.735872324172334</v>
      </c>
      <c r="K225" s="58"/>
      <c r="L225" s="58">
        <v>-12.735872324172334</v>
      </c>
    </row>
    <row r="226" spans="6:12" x14ac:dyDescent="0.3">
      <c r="F226" s="54">
        <v>43891</v>
      </c>
      <c r="G226" s="57">
        <v>77.900000000000006</v>
      </c>
      <c r="J226" s="58">
        <v>-13.738714604420252</v>
      </c>
      <c r="K226" s="58"/>
      <c r="L226" s="58">
        <v>-13.738714604420252</v>
      </c>
    </row>
    <row r="227" spans="6:12" x14ac:dyDescent="0.3">
      <c r="F227" s="54">
        <v>43922</v>
      </c>
      <c r="G227" s="57">
        <v>60.3</v>
      </c>
      <c r="J227" s="58">
        <v>-31.341556884668179</v>
      </c>
      <c r="K227" s="58"/>
      <c r="L227" s="58">
        <v>-31.341556884668179</v>
      </c>
    </row>
    <row r="228" spans="6:12" x14ac:dyDescent="0.3">
      <c r="F228" s="54">
        <v>43952</v>
      </c>
      <c r="G228" s="57">
        <v>71.2</v>
      </c>
      <c r="J228" s="58">
        <v>-20.444399164916106</v>
      </c>
      <c r="K228" s="58"/>
      <c r="L228" s="58">
        <v>-20.444399164916106</v>
      </c>
    </row>
    <row r="229" spans="6:12" x14ac:dyDescent="0.3">
      <c r="F229" s="54">
        <v>43983</v>
      </c>
      <c r="G229" s="57">
        <v>78.400000000000006</v>
      </c>
      <c r="J229" s="58">
        <v>-13.247241445164022</v>
      </c>
      <c r="K229" s="58"/>
      <c r="L229" s="58">
        <v>-13.247241445164022</v>
      </c>
    </row>
    <row r="230" spans="6:12" x14ac:dyDescent="0.3">
      <c r="F230" s="54">
        <v>44013</v>
      </c>
      <c r="G230" s="57">
        <v>91</v>
      </c>
      <c r="J230" s="58">
        <v>-0.65008372541194603</v>
      </c>
      <c r="K230" s="58"/>
      <c r="L230" s="58">
        <v>-0.65008372541194603</v>
      </c>
    </row>
    <row r="231" spans="6:12" x14ac:dyDescent="0.3">
      <c r="F231" s="54">
        <v>44044</v>
      </c>
      <c r="G231" s="57">
        <v>93.9</v>
      </c>
      <c r="J231" s="58">
        <v>2.2470739943401412</v>
      </c>
      <c r="K231" s="58"/>
      <c r="L231" s="58">
        <v>2.2470739943401412</v>
      </c>
    </row>
    <row r="232" spans="6:12" x14ac:dyDescent="0.3">
      <c r="F232" s="54">
        <v>44075</v>
      </c>
      <c r="G232" s="57">
        <v>95.4</v>
      </c>
      <c r="J232" s="58">
        <v>3.7442317140922228</v>
      </c>
      <c r="K232" s="58"/>
      <c r="L232" s="58">
        <v>3.7442317140922228</v>
      </c>
    </row>
    <row r="233" spans="6:12" x14ac:dyDescent="0.3">
      <c r="F233" s="54">
        <v>44105</v>
      </c>
      <c r="G233" s="57">
        <v>97.3</v>
      </c>
      <c r="J233" s="58">
        <v>5.6413894338442958</v>
      </c>
      <c r="K233" s="58"/>
      <c r="L233" s="58">
        <v>5.6413894338442958</v>
      </c>
    </row>
    <row r="234" spans="6:12" x14ac:dyDescent="0.3">
      <c r="F234" s="54">
        <v>44136</v>
      </c>
      <c r="G234" s="57">
        <v>90.2</v>
      </c>
      <c r="J234" s="58">
        <v>-1.4614528464036169</v>
      </c>
      <c r="K234" s="58"/>
      <c r="L234" s="58">
        <v>-1.4614528464036169</v>
      </c>
    </row>
    <row r="235" spans="6:12" x14ac:dyDescent="0.3">
      <c r="F235" s="54">
        <v>44166</v>
      </c>
      <c r="G235" s="57">
        <v>83.3</v>
      </c>
      <c r="J235" s="58">
        <v>-8.3642951266515553</v>
      </c>
      <c r="K235" s="58"/>
      <c r="L235" s="58">
        <v>-8.3642951266515553</v>
      </c>
    </row>
    <row r="236" spans="6:12" x14ac:dyDescent="0.3">
      <c r="F236" s="54">
        <v>44197</v>
      </c>
      <c r="G236" s="57">
        <v>81.900000000000006</v>
      </c>
      <c r="J236" s="58">
        <v>-9.7671374068994652</v>
      </c>
      <c r="K236" s="58"/>
      <c r="L236" s="58">
        <v>-9.7671374068994652</v>
      </c>
    </row>
    <row r="237" spans="6:12" x14ac:dyDescent="0.3">
      <c r="F237" s="54">
        <v>44228</v>
      </c>
      <c r="G237" s="57">
        <v>79.099999999999994</v>
      </c>
      <c r="J237" s="58">
        <v>-12.569979687147395</v>
      </c>
      <c r="K237" s="58"/>
      <c r="L237" s="58">
        <v>-12.569979687147395</v>
      </c>
    </row>
    <row r="238" spans="6:12" x14ac:dyDescent="0.3">
      <c r="F238" s="54">
        <v>44256</v>
      </c>
      <c r="G238" s="57">
        <v>86.1</v>
      </c>
      <c r="J238" s="58">
        <v>-5.5728219673953134</v>
      </c>
      <c r="K238" s="58"/>
      <c r="L238" s="58">
        <v>-5.5728219673953134</v>
      </c>
    </row>
    <row r="239" spans="6:12" x14ac:dyDescent="0.3">
      <c r="F239" s="54">
        <v>44287</v>
      </c>
      <c r="G239" s="57">
        <v>81.3</v>
      </c>
      <c r="J239" s="58">
        <v>-10.375664247643229</v>
      </c>
      <c r="K239" s="58"/>
      <c r="L239" s="58">
        <v>-10.375664247643229</v>
      </c>
    </row>
    <row r="240" spans="6:12" x14ac:dyDescent="0.3">
      <c r="F240" s="54">
        <v>44317</v>
      </c>
      <c r="G240" s="57">
        <v>88.4</v>
      </c>
      <c r="J240" s="58">
        <v>-3.2785065278911389</v>
      </c>
      <c r="K240" s="58"/>
      <c r="L240" s="58">
        <v>-3.2785065278911389</v>
      </c>
    </row>
    <row r="241" spans="6:12" x14ac:dyDescent="0.3">
      <c r="F241" s="54">
        <v>44348</v>
      </c>
      <c r="G241" s="57">
        <v>87.9</v>
      </c>
      <c r="J241" s="58">
        <v>-3.7813488081390716</v>
      </c>
      <c r="K241" s="58"/>
      <c r="L241" s="58">
        <v>-3.7813488081390716</v>
      </c>
    </row>
    <row r="242" spans="6:12" x14ac:dyDescent="0.3">
      <c r="F242" s="54">
        <v>44378</v>
      </c>
      <c r="G242" s="57">
        <v>92.2</v>
      </c>
      <c r="J242" s="58">
        <v>0.51580891161300713</v>
      </c>
      <c r="K242" s="58"/>
      <c r="L242" s="58">
        <v>0.51580891161300713</v>
      </c>
    </row>
    <row r="243" spans="6:12" x14ac:dyDescent="0.3">
      <c r="F243" s="54">
        <v>44409</v>
      </c>
      <c r="G243" s="57">
        <v>93.4</v>
      </c>
      <c r="J243" s="58">
        <v>1.7129666313650915</v>
      </c>
      <c r="K243" s="58"/>
      <c r="L243" s="58">
        <v>1.7129666313650915</v>
      </c>
    </row>
    <row r="244" spans="6:12" x14ac:dyDescent="0.3">
      <c r="F244" s="54">
        <v>44440</v>
      </c>
      <c r="G244" s="57">
        <v>91.5</v>
      </c>
      <c r="J244" s="58">
        <v>-0.18987564888283259</v>
      </c>
      <c r="K244" s="58"/>
      <c r="L244" s="58">
        <v>-0.18987564888283259</v>
      </c>
    </row>
    <row r="245" spans="6:12" x14ac:dyDescent="0.3">
      <c r="F245" s="54">
        <v>44470</v>
      </c>
      <c r="G245" s="57">
        <v>89.7</v>
      </c>
      <c r="J245" s="58">
        <v>-1.9927179291307482</v>
      </c>
      <c r="K245" s="58"/>
      <c r="L245" s="58">
        <v>-1.9927179291307482</v>
      </c>
    </row>
    <row r="246" spans="6:12" x14ac:dyDescent="0.3">
      <c r="F246" s="54">
        <v>44501</v>
      </c>
      <c r="G246" s="57">
        <v>86.3</v>
      </c>
      <c r="J246" s="58">
        <v>-5.3955602093786723</v>
      </c>
      <c r="K246" s="58"/>
      <c r="L246" s="58">
        <v>-5.3955602093786723</v>
      </c>
    </row>
    <row r="247" spans="6:12" x14ac:dyDescent="0.3">
      <c r="F247" s="54">
        <v>44531</v>
      </c>
      <c r="G247" s="57">
        <v>79.2</v>
      </c>
      <c r="J247" s="58">
        <v>-12.498402489626599</v>
      </c>
      <c r="K247" s="58"/>
      <c r="L247" s="58">
        <v>-12.498402489626599</v>
      </c>
    </row>
    <row r="248" spans="6:12" x14ac:dyDescent="0.3">
      <c r="J248" s="28"/>
      <c r="K248" s="28"/>
      <c r="L248" s="28"/>
    </row>
    <row r="249" spans="6:12" x14ac:dyDescent="0.3">
      <c r="J249" s="28"/>
      <c r="K249" s="28"/>
      <c r="L249" s="28"/>
    </row>
    <row r="250" spans="6:12" x14ac:dyDescent="0.3">
      <c r="J250" s="28"/>
      <c r="K250" s="28"/>
      <c r="L250" s="28"/>
    </row>
    <row r="251" spans="6:12" x14ac:dyDescent="0.3">
      <c r="J251" s="28"/>
      <c r="K251" s="28"/>
      <c r="L251" s="28"/>
    </row>
    <row r="252" spans="6:12" x14ac:dyDescent="0.3">
      <c r="J252" s="28"/>
      <c r="K252" s="28"/>
      <c r="L252" s="28"/>
    </row>
    <row r="253" spans="6:12" x14ac:dyDescent="0.3">
      <c r="J253" s="28"/>
      <c r="K253" s="28"/>
      <c r="L253" s="28"/>
    </row>
    <row r="254" spans="6:12" x14ac:dyDescent="0.3">
      <c r="J254" s="28"/>
      <c r="K254" s="28"/>
      <c r="L254" s="28"/>
    </row>
    <row r="255" spans="6:12" x14ac:dyDescent="0.3">
      <c r="J255" s="28"/>
      <c r="K255" s="28"/>
      <c r="L255" s="28"/>
    </row>
    <row r="256" spans="6:12" x14ac:dyDescent="0.3">
      <c r="J256" s="28"/>
      <c r="K256" s="28"/>
      <c r="L256" s="28"/>
    </row>
    <row r="257" spans="10:12" x14ac:dyDescent="0.3">
      <c r="J257" s="28"/>
      <c r="K257" s="28"/>
      <c r="L257" s="28"/>
    </row>
    <row r="258" spans="10:12" x14ac:dyDescent="0.3">
      <c r="J258" s="28"/>
      <c r="K258" s="28"/>
      <c r="L258" s="28"/>
    </row>
    <row r="259" spans="10:12" x14ac:dyDescent="0.3">
      <c r="J259" s="28"/>
      <c r="K259" s="28"/>
      <c r="L259" s="28"/>
    </row>
    <row r="260" spans="10:12" x14ac:dyDescent="0.3">
      <c r="J260" s="28"/>
      <c r="K260" s="28"/>
      <c r="L260" s="28"/>
    </row>
    <row r="261" spans="10:12" x14ac:dyDescent="0.3">
      <c r="J261" s="28"/>
      <c r="K261" s="28"/>
      <c r="L261" s="28"/>
    </row>
    <row r="262" spans="10:12" x14ac:dyDescent="0.3">
      <c r="J262" s="28"/>
      <c r="K262" s="28"/>
      <c r="L262" s="28"/>
    </row>
    <row r="263" spans="10:12" x14ac:dyDescent="0.3">
      <c r="J263" s="28"/>
      <c r="K263" s="28"/>
      <c r="L263" s="28"/>
    </row>
    <row r="264" spans="10:12" x14ac:dyDescent="0.3">
      <c r="J264" s="28"/>
      <c r="K264" s="28"/>
      <c r="L264" s="28"/>
    </row>
    <row r="265" spans="10:12" x14ac:dyDescent="0.3">
      <c r="J265" s="28"/>
      <c r="K265" s="28"/>
      <c r="L265" s="28"/>
    </row>
    <row r="266" spans="10:12" x14ac:dyDescent="0.3">
      <c r="J266" s="28"/>
      <c r="K266" s="28"/>
      <c r="L266" s="28"/>
    </row>
    <row r="267" spans="10:12" x14ac:dyDescent="0.3">
      <c r="J267" s="28"/>
      <c r="K267" s="28"/>
      <c r="L267" s="28"/>
    </row>
    <row r="268" spans="10:12" x14ac:dyDescent="0.3">
      <c r="J268" s="28"/>
      <c r="K268" s="28"/>
      <c r="L268" s="28"/>
    </row>
    <row r="269" spans="10:12" x14ac:dyDescent="0.3">
      <c r="J269" s="28"/>
      <c r="K269" s="28"/>
      <c r="L269" s="28"/>
    </row>
    <row r="270" spans="10:12" x14ac:dyDescent="0.3">
      <c r="J270" s="28"/>
      <c r="K270" s="28"/>
      <c r="L270" s="28"/>
    </row>
    <row r="271" spans="10:12" x14ac:dyDescent="0.3">
      <c r="J271" s="28"/>
      <c r="K271" s="28"/>
      <c r="L271" s="28"/>
    </row>
    <row r="272" spans="10:12" x14ac:dyDescent="0.3">
      <c r="J272" s="28"/>
      <c r="K272" s="28"/>
      <c r="L272" s="28"/>
    </row>
    <row r="273" spans="10:12" x14ac:dyDescent="0.3">
      <c r="J273" s="28"/>
      <c r="K273" s="28"/>
      <c r="L273" s="28"/>
    </row>
    <row r="274" spans="10:12" x14ac:dyDescent="0.3">
      <c r="J274" s="28"/>
      <c r="K274" s="28"/>
      <c r="L274" s="28"/>
    </row>
    <row r="275" spans="10:12" x14ac:dyDescent="0.3">
      <c r="J275" s="28"/>
      <c r="K275" s="28"/>
      <c r="L275" s="28"/>
    </row>
    <row r="276" spans="10:12" x14ac:dyDescent="0.3">
      <c r="J276" s="28"/>
      <c r="K276" s="28"/>
      <c r="L276" s="28"/>
    </row>
    <row r="277" spans="10:12" x14ac:dyDescent="0.3">
      <c r="J277" s="28"/>
      <c r="K277" s="28"/>
      <c r="L277" s="28"/>
    </row>
    <row r="278" spans="10:12" x14ac:dyDescent="0.3">
      <c r="J278" s="28"/>
      <c r="K278" s="28"/>
      <c r="L278" s="28"/>
    </row>
    <row r="279" spans="10:12" x14ac:dyDescent="0.3">
      <c r="J279" s="28"/>
      <c r="K279" s="28"/>
      <c r="L279" s="28"/>
    </row>
    <row r="280" spans="10:12" x14ac:dyDescent="0.3">
      <c r="J280" s="28"/>
      <c r="K280" s="28"/>
      <c r="L280" s="28"/>
    </row>
    <row r="281" spans="10:12" x14ac:dyDescent="0.3">
      <c r="J281" s="28"/>
      <c r="K281" s="28"/>
      <c r="L281" s="28"/>
    </row>
    <row r="282" spans="10:12" x14ac:dyDescent="0.3">
      <c r="J282" s="28"/>
      <c r="K282" s="28"/>
      <c r="L282" s="28"/>
    </row>
    <row r="283" spans="10:12" x14ac:dyDescent="0.3">
      <c r="J283" s="28"/>
      <c r="K283" s="28"/>
      <c r="L283" s="28"/>
    </row>
    <row r="284" spans="10:12" x14ac:dyDescent="0.3">
      <c r="J284" s="28"/>
      <c r="K284" s="28"/>
      <c r="L284" s="28"/>
    </row>
    <row r="285" spans="10:12" x14ac:dyDescent="0.3">
      <c r="J285" s="28"/>
      <c r="K285" s="28"/>
      <c r="L285" s="28"/>
    </row>
    <row r="286" spans="10:12" x14ac:dyDescent="0.3">
      <c r="J286" s="28"/>
      <c r="K286" s="28"/>
      <c r="L286" s="28"/>
    </row>
    <row r="287" spans="10:12" x14ac:dyDescent="0.3">
      <c r="J287" s="28"/>
      <c r="K287" s="28"/>
      <c r="L287" s="28"/>
    </row>
    <row r="288" spans="10:12" x14ac:dyDescent="0.3">
      <c r="J288" s="28"/>
      <c r="K288" s="28"/>
      <c r="L288" s="28"/>
    </row>
    <row r="289" spans="10:12" x14ac:dyDescent="0.3">
      <c r="J289" s="28"/>
      <c r="K289" s="28"/>
      <c r="L289" s="28"/>
    </row>
    <row r="290" spans="10:12" x14ac:dyDescent="0.3">
      <c r="J290" s="28"/>
      <c r="K290" s="28"/>
      <c r="L290" s="28"/>
    </row>
    <row r="291" spans="10:12" x14ac:dyDescent="0.3">
      <c r="J291" s="28"/>
      <c r="K291" s="28"/>
      <c r="L291" s="28"/>
    </row>
    <row r="292" spans="10:12" x14ac:dyDescent="0.3">
      <c r="J292" s="28"/>
      <c r="K292" s="28"/>
      <c r="L292" s="28"/>
    </row>
    <row r="293" spans="10:12" x14ac:dyDescent="0.3">
      <c r="J293" s="28"/>
      <c r="K293" s="28"/>
      <c r="L293" s="28"/>
    </row>
    <row r="294" spans="10:12" x14ac:dyDescent="0.3">
      <c r="J294" s="28"/>
      <c r="K294" s="28"/>
      <c r="L294" s="28"/>
    </row>
    <row r="295" spans="10:12" x14ac:dyDescent="0.3">
      <c r="J295" s="28"/>
      <c r="K295" s="28"/>
      <c r="L295" s="28"/>
    </row>
    <row r="296" spans="10:12" x14ac:dyDescent="0.3">
      <c r="J296" s="28"/>
      <c r="K296" s="28"/>
      <c r="L296" s="28"/>
    </row>
    <row r="297" spans="10:12" x14ac:dyDescent="0.3">
      <c r="J297" s="28"/>
      <c r="K297" s="28"/>
      <c r="L297" s="28"/>
    </row>
  </sheetData>
  <mergeCells count="1">
    <mergeCell ref="D11:D12"/>
  </mergeCells>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5E39-402B-4B04-88B6-894551AF152C}">
  <sheetPr codeName="Planilha12">
    <tabColor theme="9" tint="0.59999389629810485"/>
  </sheetPr>
  <dimension ref="A1:V297"/>
  <sheetViews>
    <sheetView showGridLines="0" workbookViewId="0"/>
  </sheetViews>
  <sheetFormatPr defaultColWidth="8.85546875" defaultRowHeight="18.75" x14ac:dyDescent="0.3"/>
  <cols>
    <col min="1" max="1" width="12.7109375" style="18" customWidth="1"/>
    <col min="2" max="2" width="24.85546875" bestFit="1" customWidth="1"/>
    <col min="4" max="4" width="44.28515625" bestFit="1" customWidth="1"/>
    <col min="5" max="5" width="4.5703125" customWidth="1"/>
    <col min="6" max="7" width="7.140625" bestFit="1" customWidth="1"/>
    <col min="8" max="8" width="9.28515625" bestFit="1" customWidth="1"/>
    <col min="11" max="12" width="8.85546875" style="16"/>
    <col min="13" max="13" width="5.5703125" style="16" bestFit="1" customWidth="1"/>
    <col min="14" max="22" width="8.85546875" style="16"/>
  </cols>
  <sheetData>
    <row r="1" spans="1:22" x14ac:dyDescent="0.3">
      <c r="A1" s="17" t="s">
        <v>168</v>
      </c>
      <c r="K1" s="15"/>
      <c r="L1" s="15"/>
      <c r="M1" s="15"/>
      <c r="N1" s="15"/>
      <c r="O1" s="15"/>
      <c r="P1" s="15"/>
      <c r="Q1" s="15"/>
      <c r="R1" s="15"/>
      <c r="S1" s="15"/>
      <c r="T1" s="15"/>
      <c r="U1" s="15"/>
      <c r="V1" s="15"/>
    </row>
    <row r="2" spans="1:22" x14ac:dyDescent="0.3">
      <c r="A2" s="18" t="s">
        <v>183</v>
      </c>
      <c r="K2" s="15"/>
      <c r="L2" s="15"/>
      <c r="M2" s="15"/>
      <c r="N2" s="15"/>
      <c r="O2" s="15"/>
      <c r="P2" s="15"/>
      <c r="Q2" s="15"/>
      <c r="R2" s="15"/>
      <c r="S2" s="15"/>
      <c r="T2" s="15"/>
      <c r="U2" s="15"/>
      <c r="V2" s="15"/>
    </row>
    <row r="4" spans="1:22" ht="15.75" x14ac:dyDescent="0.25">
      <c r="A4" s="2" t="s">
        <v>15</v>
      </c>
      <c r="B4" s="2" t="s">
        <v>16</v>
      </c>
    </row>
    <row r="5" spans="1:22" ht="15.75" x14ac:dyDescent="0.25">
      <c r="A5" s="24" t="s">
        <v>171</v>
      </c>
      <c r="B5" s="25" t="s">
        <v>181</v>
      </c>
    </row>
    <row r="6" spans="1:22" ht="15.75" x14ac:dyDescent="0.25">
      <c r="A6" s="24" t="s">
        <v>180</v>
      </c>
      <c r="B6" s="25" t="s">
        <v>182</v>
      </c>
    </row>
    <row r="7" spans="1:22" x14ac:dyDescent="0.3">
      <c r="D7" s="1" t="s">
        <v>17</v>
      </c>
      <c r="F7" s="14" t="s">
        <v>171</v>
      </c>
      <c r="G7" s="14" t="s">
        <v>180</v>
      </c>
      <c r="H7" s="14" t="s">
        <v>194</v>
      </c>
      <c r="I7" s="14" t="s">
        <v>169</v>
      </c>
    </row>
    <row r="8" spans="1:22" x14ac:dyDescent="0.3">
      <c r="D8" t="s">
        <v>195</v>
      </c>
      <c r="F8" s="54">
        <v>37257</v>
      </c>
      <c r="G8" s="49"/>
      <c r="H8" s="49">
        <v>72.400000000000006</v>
      </c>
      <c r="I8" s="49">
        <v>77.7</v>
      </c>
      <c r="K8" s="28"/>
      <c r="M8" s="28"/>
    </row>
    <row r="9" spans="1:22" x14ac:dyDescent="0.3">
      <c r="D9" t="s">
        <v>196</v>
      </c>
      <c r="F9" s="48">
        <v>37288</v>
      </c>
      <c r="G9" s="57">
        <f>LN(H9/H8)*100</f>
        <v>-3.8005981625192522</v>
      </c>
      <c r="H9" s="49">
        <v>69.7</v>
      </c>
      <c r="I9" s="49">
        <v>80.2</v>
      </c>
      <c r="K9" s="58" cm="1">
        <f t="array" ref="K9:K247">_xlfn.LAMBDA(_xlpm.dates,_xlpm.values, _xlfn.LET(_xlpm.dummies, DUMMYVAR( MONTH(_xlpm.dates), FALSE),  AVERAGE(_xlpm.values) + OLS_RESIDUALS(_xlpm.values, _xlpm.dummies  ) ) )($F$9:$F$247,$G$9:$G$247)</f>
        <v>-0.71753883388702944</v>
      </c>
      <c r="L9" s="58"/>
      <c r="M9" s="58" cm="1">
        <f t="array" ref="M9:M247">SEASADJ($F$9:$F$247,$G$9:$G$247)</f>
        <v>-0.71753883388702944</v>
      </c>
    </row>
    <row r="10" spans="1:22" x14ac:dyDescent="0.3">
      <c r="D10" t="s">
        <v>170</v>
      </c>
      <c r="F10" s="48">
        <v>37316</v>
      </c>
      <c r="G10" s="57">
        <f t="shared" ref="G10:G73" si="0">LN(H10/H9)*100</f>
        <v>10.478646282920332</v>
      </c>
      <c r="H10" s="49">
        <v>77.400000000000006</v>
      </c>
      <c r="I10" s="49">
        <v>79.8</v>
      </c>
      <c r="K10" s="58">
        <v>0.22460287827182232</v>
      </c>
      <c r="L10" s="58"/>
      <c r="M10" s="58">
        <v>0.22460287827182232</v>
      </c>
    </row>
    <row r="11" spans="1:22" ht="18.75" customHeight="1" x14ac:dyDescent="0.3">
      <c r="D11" s="62"/>
      <c r="F11" s="48">
        <v>37347</v>
      </c>
      <c r="G11" s="57">
        <f t="shared" si="0"/>
        <v>2.8027312254655659</v>
      </c>
      <c r="H11" s="49">
        <v>79.599999999999994</v>
      </c>
      <c r="I11" s="49">
        <v>79.599999999999994</v>
      </c>
      <c r="K11" s="58">
        <v>6.8688421574020353</v>
      </c>
      <c r="L11" s="58"/>
      <c r="M11" s="58">
        <v>6.8688421574020353</v>
      </c>
    </row>
    <row r="12" spans="1:22" x14ac:dyDescent="0.3">
      <c r="D12" s="62"/>
      <c r="F12" s="48">
        <v>37377</v>
      </c>
      <c r="G12" s="57">
        <f t="shared" si="0"/>
        <v>1.0000083334583398</v>
      </c>
      <c r="H12" s="49">
        <v>80.400000000000006</v>
      </c>
      <c r="I12" s="49">
        <v>79.099999999999994</v>
      </c>
      <c r="K12" s="58">
        <v>-5.5188277653232447</v>
      </c>
      <c r="L12" s="58"/>
      <c r="M12" s="58">
        <v>-5.5188277653232447</v>
      </c>
    </row>
    <row r="13" spans="1:22" x14ac:dyDescent="0.3">
      <c r="D13" s="51"/>
      <c r="F13" s="48">
        <v>37408</v>
      </c>
      <c r="G13" s="57">
        <f t="shared" si="0"/>
        <v>-3.6736239825619466</v>
      </c>
      <c r="H13" s="49">
        <v>77.5</v>
      </c>
      <c r="I13" s="49">
        <v>79.400000000000006</v>
      </c>
      <c r="K13" s="58">
        <v>-2.4312302589565311</v>
      </c>
      <c r="L13" s="58"/>
      <c r="M13" s="58">
        <v>-2.4312302589565311</v>
      </c>
    </row>
    <row r="14" spans="1:22" x14ac:dyDescent="0.3">
      <c r="F14" s="48">
        <v>37438</v>
      </c>
      <c r="G14" s="57">
        <f t="shared" si="0"/>
        <v>7.2170612813495589</v>
      </c>
      <c r="H14" s="49">
        <v>83.3</v>
      </c>
      <c r="I14" s="49">
        <v>79.7</v>
      </c>
      <c r="K14" s="58">
        <v>1.9869393011204659</v>
      </c>
      <c r="L14" s="58"/>
      <c r="M14" s="58">
        <v>1.9869393011204659</v>
      </c>
    </row>
    <row r="15" spans="1:22" x14ac:dyDescent="0.3">
      <c r="F15" s="48">
        <v>37469</v>
      </c>
      <c r="G15" s="57">
        <f t="shared" si="0"/>
        <v>0.3594970917858793</v>
      </c>
      <c r="H15" s="49">
        <v>83.6</v>
      </c>
      <c r="I15" s="49">
        <v>78.599999999999994</v>
      </c>
      <c r="K15" s="58">
        <v>-2.4443016238566138</v>
      </c>
      <c r="L15" s="58"/>
      <c r="M15" s="58">
        <v>-2.4443016238566138</v>
      </c>
    </row>
    <row r="16" spans="1:22" x14ac:dyDescent="0.3">
      <c r="F16" s="48">
        <v>37500</v>
      </c>
      <c r="G16" s="57">
        <f t="shared" si="0"/>
        <v>-1.8105503632273354</v>
      </c>
      <c r="H16" s="49">
        <v>82.1</v>
      </c>
      <c r="I16" s="49">
        <v>79.7</v>
      </c>
      <c r="K16" s="58">
        <v>1.0146606755559135</v>
      </c>
      <c r="L16" s="58"/>
      <c r="M16" s="58">
        <v>1.0146606755559135</v>
      </c>
    </row>
    <row r="17" spans="6:13" x14ac:dyDescent="0.3">
      <c r="F17" s="48">
        <v>37530</v>
      </c>
      <c r="G17" s="57">
        <f t="shared" si="0"/>
        <v>8.2943023127581306</v>
      </c>
      <c r="H17" s="49">
        <v>89.2</v>
      </c>
      <c r="I17" s="49">
        <v>80.2</v>
      </c>
      <c r="K17" s="58">
        <v>4.7225693217673861</v>
      </c>
      <c r="L17" s="58"/>
      <c r="M17" s="58">
        <v>4.7225693217673861</v>
      </c>
    </row>
    <row r="18" spans="6:13" x14ac:dyDescent="0.3">
      <c r="F18" s="48">
        <v>37561</v>
      </c>
      <c r="G18" s="57">
        <f t="shared" si="0"/>
        <v>-6.1255426112803208</v>
      </c>
      <c r="H18" s="49">
        <v>83.9</v>
      </c>
      <c r="I18" s="49">
        <v>80.2</v>
      </c>
      <c r="K18" s="58">
        <v>-0.58337465728584181</v>
      </c>
      <c r="L18" s="58"/>
      <c r="M18" s="58">
        <v>-0.58337465728584181</v>
      </c>
    </row>
    <row r="19" spans="6:13" x14ac:dyDescent="0.3">
      <c r="F19" s="48">
        <v>37591</v>
      </c>
      <c r="G19" s="57">
        <f t="shared" si="0"/>
        <v>-11.748510626344547</v>
      </c>
      <c r="H19" s="49">
        <v>74.599999999999994</v>
      </c>
      <c r="I19" s="49">
        <v>79.599999999999994</v>
      </c>
      <c r="K19" s="58">
        <v>-0.66122229185945081</v>
      </c>
      <c r="L19" s="58"/>
      <c r="M19" s="58">
        <v>-0.66122229185945081</v>
      </c>
    </row>
    <row r="20" spans="6:13" x14ac:dyDescent="0.3">
      <c r="F20" s="48">
        <v>37622</v>
      </c>
      <c r="G20" s="57">
        <f t="shared" si="0"/>
        <v>-0.80754140055453072</v>
      </c>
      <c r="H20" s="49">
        <v>74</v>
      </c>
      <c r="I20" s="49">
        <v>79.7</v>
      </c>
      <c r="K20" s="58">
        <v>-0.24722363333822142</v>
      </c>
      <c r="L20" s="58"/>
      <c r="M20" s="58">
        <v>-0.24722363333822142</v>
      </c>
    </row>
    <row r="21" spans="6:13" x14ac:dyDescent="0.3">
      <c r="F21" s="48">
        <v>37653</v>
      </c>
      <c r="G21" s="57">
        <f t="shared" si="0"/>
        <v>-3.0180617149991287</v>
      </c>
      <c r="H21" s="49">
        <v>71.8</v>
      </c>
      <c r="I21" s="49">
        <v>79.7</v>
      </c>
      <c r="K21" s="58">
        <v>6.4997613633094059E-2</v>
      </c>
      <c r="L21" s="58"/>
      <c r="M21" s="58">
        <v>6.4997613633094059E-2</v>
      </c>
    </row>
    <row r="22" spans="6:13" x14ac:dyDescent="0.3">
      <c r="F22" s="48">
        <v>37681</v>
      </c>
      <c r="G22" s="57">
        <f t="shared" si="0"/>
        <v>7.5102304541503075</v>
      </c>
      <c r="H22" s="49">
        <v>77.400000000000006</v>
      </c>
      <c r="I22" s="49">
        <v>79.8</v>
      </c>
      <c r="K22" s="58">
        <v>-2.7438129504982021</v>
      </c>
      <c r="L22" s="58"/>
      <c r="M22" s="58">
        <v>-2.7438129504982021</v>
      </c>
    </row>
    <row r="23" spans="6:13" x14ac:dyDescent="0.3">
      <c r="F23" s="48">
        <v>37712</v>
      </c>
      <c r="G23" s="57">
        <f t="shared" si="0"/>
        <v>-1.1696039763191299</v>
      </c>
      <c r="H23" s="49">
        <v>76.5</v>
      </c>
      <c r="I23" s="49">
        <v>79.400000000000006</v>
      </c>
      <c r="K23" s="58">
        <v>2.8965069556173395</v>
      </c>
      <c r="L23" s="58"/>
      <c r="M23" s="58">
        <v>2.8965069556173395</v>
      </c>
    </row>
    <row r="24" spans="6:13" x14ac:dyDescent="0.3">
      <c r="F24" s="48">
        <v>37742</v>
      </c>
      <c r="G24" s="57">
        <f t="shared" si="0"/>
        <v>4.0978844963679268</v>
      </c>
      <c r="H24" s="49">
        <v>79.7</v>
      </c>
      <c r="I24" s="49">
        <v>77.8</v>
      </c>
      <c r="K24" s="58">
        <v>-2.4209516024136573</v>
      </c>
      <c r="L24" s="58"/>
      <c r="M24" s="58">
        <v>-2.4209516024136573</v>
      </c>
    </row>
    <row r="25" spans="6:13" x14ac:dyDescent="0.3">
      <c r="F25" s="48">
        <v>37773</v>
      </c>
      <c r="G25" s="57">
        <f t="shared" si="0"/>
        <v>-4.3596647505758162</v>
      </c>
      <c r="H25" s="49">
        <v>76.3</v>
      </c>
      <c r="I25" s="49">
        <v>78.2</v>
      </c>
      <c r="K25" s="58">
        <v>-3.1172710269704007</v>
      </c>
      <c r="L25" s="58"/>
      <c r="M25" s="58">
        <v>-3.1172710269704007</v>
      </c>
    </row>
    <row r="26" spans="6:13" x14ac:dyDescent="0.3">
      <c r="F26" s="48">
        <v>37803</v>
      </c>
      <c r="G26" s="57">
        <f t="shared" si="0"/>
        <v>6.3473078263353662</v>
      </c>
      <c r="H26" s="49">
        <v>81.3</v>
      </c>
      <c r="I26" s="49">
        <v>77.400000000000006</v>
      </c>
      <c r="K26" s="58">
        <v>1.1171858461062731</v>
      </c>
      <c r="L26" s="58"/>
      <c r="M26" s="58">
        <v>1.1171858461062731</v>
      </c>
    </row>
    <row r="27" spans="6:13" x14ac:dyDescent="0.3">
      <c r="F27" s="48">
        <v>37834</v>
      </c>
      <c r="G27" s="57">
        <f t="shared" si="0"/>
        <v>0.36832454162963679</v>
      </c>
      <c r="H27" s="49">
        <v>81.599999999999994</v>
      </c>
      <c r="I27" s="49">
        <v>78.5</v>
      </c>
      <c r="K27" s="58">
        <v>-2.4354741740128558</v>
      </c>
      <c r="L27" s="58"/>
      <c r="M27" s="58">
        <v>-2.4354741740128558</v>
      </c>
    </row>
    <row r="28" spans="6:13" x14ac:dyDescent="0.3">
      <c r="F28" s="48">
        <v>37865</v>
      </c>
      <c r="G28" s="57">
        <f t="shared" si="0"/>
        <v>4.9023563633672822</v>
      </c>
      <c r="H28" s="49">
        <v>85.7</v>
      </c>
      <c r="I28" s="49">
        <v>81.3</v>
      </c>
      <c r="K28" s="58">
        <v>7.7275674021505312</v>
      </c>
      <c r="L28" s="58"/>
      <c r="M28" s="58">
        <v>7.7275674021505312</v>
      </c>
    </row>
    <row r="29" spans="6:13" x14ac:dyDescent="0.3">
      <c r="F29" s="48">
        <v>37895</v>
      </c>
      <c r="G29" s="57">
        <f t="shared" si="0"/>
        <v>4.8956844726530981</v>
      </c>
      <c r="H29" s="49">
        <v>90</v>
      </c>
      <c r="I29" s="49">
        <v>81.599999999999994</v>
      </c>
      <c r="K29" s="58">
        <v>1.3239514816623537</v>
      </c>
      <c r="L29" s="58"/>
      <c r="M29" s="58">
        <v>1.3239514816623537</v>
      </c>
    </row>
    <row r="30" spans="6:13" x14ac:dyDescent="0.3">
      <c r="F30" s="48">
        <v>37926</v>
      </c>
      <c r="G30" s="57">
        <f t="shared" si="0"/>
        <v>-6.1875403718087529</v>
      </c>
      <c r="H30" s="49">
        <v>84.6</v>
      </c>
      <c r="I30" s="49">
        <v>82.6</v>
      </c>
      <c r="K30" s="58">
        <v>-0.6453724178142739</v>
      </c>
      <c r="L30" s="58"/>
      <c r="M30" s="58">
        <v>-0.6453724178142739</v>
      </c>
    </row>
    <row r="31" spans="6:13" x14ac:dyDescent="0.3">
      <c r="F31" s="48">
        <v>37956</v>
      </c>
      <c r="G31" s="57">
        <f t="shared" si="0"/>
        <v>-8.2508313735474825</v>
      </c>
      <c r="H31" s="49">
        <v>77.900000000000006</v>
      </c>
      <c r="I31" s="49">
        <v>81.2</v>
      </c>
      <c r="K31" s="58">
        <v>2.836456960937614</v>
      </c>
      <c r="L31" s="58"/>
      <c r="M31" s="58">
        <v>2.836456960937614</v>
      </c>
    </row>
    <row r="32" spans="6:13" x14ac:dyDescent="0.3">
      <c r="F32" s="48">
        <v>37987</v>
      </c>
      <c r="G32" s="57">
        <f t="shared" si="0"/>
        <v>-1.4221312723076169</v>
      </c>
      <c r="H32" s="49">
        <v>76.8</v>
      </c>
      <c r="I32" s="49">
        <v>82.7</v>
      </c>
      <c r="K32" s="58">
        <v>-0.86181350509130761</v>
      </c>
      <c r="L32" s="58"/>
      <c r="M32" s="58">
        <v>-0.86181350509130761</v>
      </c>
    </row>
    <row r="33" spans="6:13" x14ac:dyDescent="0.3">
      <c r="F33" s="48">
        <v>38018</v>
      </c>
      <c r="G33" s="57">
        <f t="shared" si="0"/>
        <v>-3.7139546949456657</v>
      </c>
      <c r="H33" s="49">
        <v>74</v>
      </c>
      <c r="I33" s="49">
        <v>84</v>
      </c>
      <c r="K33" s="58">
        <v>-0.6308953663134429</v>
      </c>
      <c r="L33" s="58"/>
      <c r="M33" s="58">
        <v>-0.6308953663134429</v>
      </c>
    </row>
    <row r="34" spans="6:13" x14ac:dyDescent="0.3">
      <c r="F34" s="48">
        <v>38047</v>
      </c>
      <c r="G34" s="57">
        <f t="shared" si="0"/>
        <v>16.069293906717668</v>
      </c>
      <c r="H34" s="49">
        <v>86.9</v>
      </c>
      <c r="I34" s="49">
        <v>84.5</v>
      </c>
      <c r="K34" s="58">
        <v>5.8152505020691585</v>
      </c>
      <c r="L34" s="58"/>
      <c r="M34" s="58">
        <v>5.8152505020691585</v>
      </c>
    </row>
    <row r="35" spans="6:13" x14ac:dyDescent="0.3">
      <c r="F35" s="48">
        <v>38078</v>
      </c>
      <c r="G35" s="57">
        <f t="shared" si="0"/>
        <v>-5.5602730209212119</v>
      </c>
      <c r="H35" s="49">
        <v>82.2</v>
      </c>
      <c r="I35" s="49">
        <v>85.1</v>
      </c>
      <c r="K35" s="58">
        <v>-1.4941620889847425</v>
      </c>
      <c r="L35" s="58"/>
      <c r="M35" s="58">
        <v>-1.4941620889847425</v>
      </c>
    </row>
    <row r="36" spans="6:13" x14ac:dyDescent="0.3">
      <c r="F36" s="48">
        <v>38108</v>
      </c>
      <c r="G36" s="57">
        <f t="shared" si="0"/>
        <v>4.8674296027248021</v>
      </c>
      <c r="H36" s="49">
        <v>86.3</v>
      </c>
      <c r="I36" s="49">
        <v>85.9</v>
      </c>
      <c r="K36" s="58">
        <v>-1.651406496056782</v>
      </c>
      <c r="L36" s="58"/>
      <c r="M36" s="58">
        <v>-1.651406496056782</v>
      </c>
    </row>
    <row r="37" spans="6:13" x14ac:dyDescent="0.3">
      <c r="F37" s="48">
        <v>38139</v>
      </c>
      <c r="G37" s="57">
        <f t="shared" si="0"/>
        <v>-0.23201866556971981</v>
      </c>
      <c r="H37" s="49">
        <v>86.1</v>
      </c>
      <c r="I37" s="49">
        <v>86.1</v>
      </c>
      <c r="K37" s="58">
        <v>1.0103750580356954</v>
      </c>
      <c r="L37" s="58"/>
      <c r="M37" s="58">
        <v>1.0103750580356954</v>
      </c>
    </row>
    <row r="38" spans="6:13" x14ac:dyDescent="0.3">
      <c r="F38" s="48">
        <v>38169</v>
      </c>
      <c r="G38" s="57">
        <f t="shared" si="0"/>
        <v>4.5410753180607175</v>
      </c>
      <c r="H38" s="49">
        <v>90.1</v>
      </c>
      <c r="I38" s="49">
        <v>86.7</v>
      </c>
      <c r="K38" s="58">
        <v>-0.68904666216837551</v>
      </c>
      <c r="L38" s="58"/>
      <c r="M38" s="58">
        <v>-0.68904666216837551</v>
      </c>
    </row>
    <row r="39" spans="6:13" x14ac:dyDescent="0.3">
      <c r="F39" s="48">
        <v>38200</v>
      </c>
      <c r="G39" s="57">
        <f t="shared" si="0"/>
        <v>2.1954778646968967</v>
      </c>
      <c r="H39" s="49">
        <v>92.1</v>
      </c>
      <c r="I39" s="49">
        <v>87.6</v>
      </c>
      <c r="K39" s="58">
        <v>-0.60832085094559618</v>
      </c>
      <c r="L39" s="58"/>
      <c r="M39" s="58">
        <v>-0.60832085094559618</v>
      </c>
    </row>
    <row r="40" spans="6:13" x14ac:dyDescent="0.3">
      <c r="F40" s="48">
        <v>38231</v>
      </c>
      <c r="G40" s="57">
        <f t="shared" si="0"/>
        <v>0</v>
      </c>
      <c r="H40" s="49">
        <v>92.1</v>
      </c>
      <c r="I40" s="49">
        <v>88.2</v>
      </c>
      <c r="K40" s="58">
        <v>2.825211038783249</v>
      </c>
      <c r="L40" s="58"/>
      <c r="M40" s="58">
        <v>2.825211038783249</v>
      </c>
    </row>
    <row r="41" spans="6:13" x14ac:dyDescent="0.3">
      <c r="F41" s="48">
        <v>38261</v>
      </c>
      <c r="G41" s="57">
        <f t="shared" si="0"/>
        <v>1.5086493033380162</v>
      </c>
      <c r="H41" s="49">
        <v>93.5</v>
      </c>
      <c r="I41" s="49">
        <v>87.5</v>
      </c>
      <c r="K41" s="58">
        <v>-2.0630836876527283</v>
      </c>
      <c r="L41" s="58"/>
      <c r="M41" s="58">
        <v>-2.0630836876527283</v>
      </c>
    </row>
    <row r="42" spans="6:13" x14ac:dyDescent="0.3">
      <c r="F42" s="48">
        <v>38292</v>
      </c>
      <c r="G42" s="57">
        <f t="shared" si="0"/>
        <v>-1.8349138668196541</v>
      </c>
      <c r="H42" s="49">
        <v>91.8</v>
      </c>
      <c r="I42" s="49">
        <v>87.5</v>
      </c>
      <c r="K42" s="58">
        <v>3.707254087174825</v>
      </c>
      <c r="L42" s="58"/>
      <c r="M42" s="58">
        <v>3.707254087174825</v>
      </c>
    </row>
    <row r="43" spans="6:13" x14ac:dyDescent="0.3">
      <c r="F43" s="48">
        <v>38322</v>
      </c>
      <c r="G43" s="57">
        <f t="shared" si="0"/>
        <v>-8.0496695968436054</v>
      </c>
      <c r="H43" s="49">
        <v>84.7</v>
      </c>
      <c r="I43" s="49">
        <v>88.3</v>
      </c>
      <c r="K43" s="58">
        <v>3.0376187376414912</v>
      </c>
      <c r="L43" s="58"/>
      <c r="M43" s="58">
        <v>3.0376187376414912</v>
      </c>
    </row>
    <row r="44" spans="6:13" x14ac:dyDescent="0.3">
      <c r="F44" s="48">
        <v>38353</v>
      </c>
      <c r="G44" s="57">
        <f t="shared" si="0"/>
        <v>-4.4666446985569994</v>
      </c>
      <c r="H44" s="49">
        <v>81</v>
      </c>
      <c r="I44" s="49">
        <v>88.7</v>
      </c>
      <c r="K44" s="58">
        <v>-3.9063269313406899</v>
      </c>
      <c r="L44" s="58"/>
      <c r="M44" s="58">
        <v>-3.9063269313406899</v>
      </c>
    </row>
    <row r="45" spans="6:13" x14ac:dyDescent="0.3">
      <c r="F45" s="48">
        <v>38384</v>
      </c>
      <c r="G45" s="57">
        <f t="shared" si="0"/>
        <v>-5.8466458499963849</v>
      </c>
      <c r="H45" s="49">
        <v>76.400000000000006</v>
      </c>
      <c r="I45" s="49">
        <v>87.3</v>
      </c>
      <c r="K45" s="58">
        <v>-2.7635865213641622</v>
      </c>
      <c r="L45" s="58"/>
      <c r="M45" s="58">
        <v>-2.7635865213641622</v>
      </c>
    </row>
    <row r="46" spans="6:13" x14ac:dyDescent="0.3">
      <c r="F46" s="48">
        <v>38412</v>
      </c>
      <c r="G46" s="57">
        <f t="shared" si="0"/>
        <v>14.135411830573155</v>
      </c>
      <c r="H46" s="49">
        <v>88</v>
      </c>
      <c r="I46" s="49">
        <v>88.2</v>
      </c>
      <c r="K46" s="58">
        <v>3.881368425924645</v>
      </c>
      <c r="L46" s="58"/>
      <c r="M46" s="58">
        <v>3.881368425924645</v>
      </c>
    </row>
    <row r="47" spans="6:13" x14ac:dyDescent="0.3">
      <c r="F47" s="48">
        <v>38443</v>
      </c>
      <c r="G47" s="57">
        <f t="shared" si="0"/>
        <v>-1.1428695823622743</v>
      </c>
      <c r="H47" s="49">
        <v>87</v>
      </c>
      <c r="I47" s="49">
        <v>88.3</v>
      </c>
      <c r="K47" s="58">
        <v>2.9232413495741953</v>
      </c>
      <c r="L47" s="58"/>
      <c r="M47" s="58">
        <v>2.9232413495741953</v>
      </c>
    </row>
    <row r="48" spans="6:13" x14ac:dyDescent="0.3">
      <c r="F48" s="48">
        <v>38473</v>
      </c>
      <c r="G48" s="57">
        <f t="shared" si="0"/>
        <v>4.6049685611328837</v>
      </c>
      <c r="H48" s="49">
        <v>91.1</v>
      </c>
      <c r="I48" s="49">
        <v>91.3</v>
      </c>
      <c r="K48" s="58">
        <v>-1.9138675376487004</v>
      </c>
      <c r="L48" s="58"/>
      <c r="M48" s="58">
        <v>-1.9138675376487004</v>
      </c>
    </row>
    <row r="49" spans="6:13" x14ac:dyDescent="0.3">
      <c r="F49" s="48">
        <v>38504</v>
      </c>
      <c r="G49" s="57">
        <f t="shared" si="0"/>
        <v>0.32876741941917081</v>
      </c>
      <c r="H49" s="49">
        <v>91.4</v>
      </c>
      <c r="I49" s="49">
        <v>89.5</v>
      </c>
      <c r="K49" s="58">
        <v>1.571161143024586</v>
      </c>
      <c r="L49" s="58"/>
      <c r="M49" s="58">
        <v>1.571161143024586</v>
      </c>
    </row>
    <row r="50" spans="6:13" x14ac:dyDescent="0.3">
      <c r="F50" s="48">
        <v>38534</v>
      </c>
      <c r="G50" s="57">
        <f t="shared" si="0"/>
        <v>-0.98956277542239612</v>
      </c>
      <c r="H50" s="49">
        <v>90.5</v>
      </c>
      <c r="I50" s="49">
        <v>88.9</v>
      </c>
      <c r="K50" s="58">
        <v>-6.2196847556514889</v>
      </c>
      <c r="L50" s="58"/>
      <c r="M50" s="58">
        <v>-6.2196847556514889</v>
      </c>
    </row>
    <row r="51" spans="6:13" x14ac:dyDescent="0.3">
      <c r="F51" s="48">
        <v>38565</v>
      </c>
      <c r="G51" s="57">
        <f t="shared" si="0"/>
        <v>5.482296935147505</v>
      </c>
      <c r="H51" s="49">
        <v>95.6</v>
      </c>
      <c r="I51" s="49">
        <v>89.1</v>
      </c>
      <c r="K51" s="58">
        <v>2.6784982195050122</v>
      </c>
      <c r="L51" s="58"/>
      <c r="M51" s="58">
        <v>2.6784982195050122</v>
      </c>
    </row>
    <row r="52" spans="6:13" x14ac:dyDescent="0.3">
      <c r="F52" s="48">
        <v>38596</v>
      </c>
      <c r="G52" s="57">
        <f t="shared" si="0"/>
        <v>-3.8384243008315222</v>
      </c>
      <c r="H52" s="49">
        <v>92</v>
      </c>
      <c r="I52" s="49">
        <v>88.3</v>
      </c>
      <c r="K52" s="58">
        <v>-1.0132132620482732</v>
      </c>
      <c r="L52" s="58"/>
      <c r="M52" s="58">
        <v>-1.0132132620482732</v>
      </c>
    </row>
    <row r="53" spans="6:13" x14ac:dyDescent="0.3">
      <c r="F53" s="48">
        <v>38626</v>
      </c>
      <c r="G53" s="57">
        <f t="shared" si="0"/>
        <v>1.8309612195336253</v>
      </c>
      <c r="H53" s="49">
        <v>93.7</v>
      </c>
      <c r="I53" s="49">
        <v>87.6</v>
      </c>
      <c r="K53" s="58">
        <v>-1.7407717714571191</v>
      </c>
      <c r="L53" s="58"/>
      <c r="M53" s="58">
        <v>-1.7407717714571191</v>
      </c>
    </row>
    <row r="54" spans="6:13" x14ac:dyDescent="0.3">
      <c r="F54" s="48">
        <v>38657</v>
      </c>
      <c r="G54" s="57">
        <f t="shared" si="0"/>
        <v>-1.3971210596737951</v>
      </c>
      <c r="H54" s="49">
        <v>92.4</v>
      </c>
      <c r="I54" s="49">
        <v>88.6</v>
      </c>
      <c r="K54" s="58">
        <v>4.145046894320684</v>
      </c>
      <c r="L54" s="58"/>
      <c r="M54" s="58">
        <v>4.145046894320684</v>
      </c>
    </row>
    <row r="55" spans="6:13" x14ac:dyDescent="0.3">
      <c r="F55" s="48">
        <v>38687</v>
      </c>
      <c r="G55" s="57">
        <f t="shared" si="0"/>
        <v>-6.4827163079249166</v>
      </c>
      <c r="H55" s="49">
        <v>86.6</v>
      </c>
      <c r="I55" s="49">
        <v>90.5</v>
      </c>
      <c r="K55" s="58">
        <v>4.6045720265601799</v>
      </c>
      <c r="L55" s="58"/>
      <c r="M55" s="58">
        <v>4.6045720265601799</v>
      </c>
    </row>
    <row r="56" spans="6:13" x14ac:dyDescent="0.3">
      <c r="F56" s="48">
        <v>38718</v>
      </c>
      <c r="G56" s="57">
        <f t="shared" si="0"/>
        <v>-3.4060838072959752</v>
      </c>
      <c r="H56" s="49">
        <v>83.7</v>
      </c>
      <c r="I56" s="49">
        <v>90.8</v>
      </c>
      <c r="K56" s="58">
        <v>-2.845766040079666</v>
      </c>
      <c r="L56" s="58"/>
      <c r="M56" s="58">
        <v>-2.845766040079666</v>
      </c>
    </row>
    <row r="57" spans="6:13" x14ac:dyDescent="0.3">
      <c r="F57" s="48">
        <v>38749</v>
      </c>
      <c r="G57" s="57">
        <f t="shared" si="0"/>
        <v>-4.2715462622960851</v>
      </c>
      <c r="H57" s="49">
        <v>80.2</v>
      </c>
      <c r="I57" s="49">
        <v>91.4</v>
      </c>
      <c r="K57" s="58">
        <v>-1.1884869336638624</v>
      </c>
      <c r="L57" s="58"/>
      <c r="M57" s="58">
        <v>-1.1884869336638624</v>
      </c>
    </row>
    <row r="58" spans="6:13" x14ac:dyDescent="0.3">
      <c r="F58" s="48">
        <v>38777</v>
      </c>
      <c r="G58" s="57">
        <f t="shared" si="0"/>
        <v>14.160346377516964</v>
      </c>
      <c r="H58" s="49">
        <v>92.4</v>
      </c>
      <c r="I58" s="49">
        <v>90.7</v>
      </c>
      <c r="K58" s="58">
        <v>3.9063029728684544</v>
      </c>
      <c r="L58" s="58"/>
      <c r="M58" s="58">
        <v>3.9063029728684544</v>
      </c>
    </row>
    <row r="59" spans="6:13" x14ac:dyDescent="0.3">
      <c r="F59" s="48">
        <v>38808</v>
      </c>
      <c r="G59" s="57">
        <f t="shared" si="0"/>
        <v>-7.5274153043904395</v>
      </c>
      <c r="H59" s="49">
        <v>85.7</v>
      </c>
      <c r="I59" s="49">
        <v>91.4</v>
      </c>
      <c r="K59" s="58">
        <v>-3.46130437245397</v>
      </c>
      <c r="L59" s="58"/>
      <c r="M59" s="58">
        <v>-3.46130437245397</v>
      </c>
    </row>
    <row r="60" spans="6:13" x14ac:dyDescent="0.3">
      <c r="F60" s="48">
        <v>38838</v>
      </c>
      <c r="G60" s="57">
        <f t="shared" si="0"/>
        <v>10.722575285050679</v>
      </c>
      <c r="H60" s="49">
        <v>95.4</v>
      </c>
      <c r="I60" s="49">
        <v>92.2</v>
      </c>
      <c r="K60" s="58">
        <v>4.2037391862690949</v>
      </c>
      <c r="L60" s="58"/>
      <c r="M60" s="58">
        <v>4.2037391862690949</v>
      </c>
    </row>
    <row r="61" spans="6:13" x14ac:dyDescent="0.3">
      <c r="F61" s="48">
        <v>38869</v>
      </c>
      <c r="G61" s="57">
        <f t="shared" si="0"/>
        <v>-4.6120774188328273</v>
      </c>
      <c r="H61" s="49">
        <v>91.1</v>
      </c>
      <c r="I61" s="49">
        <v>90.6</v>
      </c>
      <c r="K61" s="58">
        <v>-3.3696836952274118</v>
      </c>
      <c r="L61" s="58"/>
      <c r="M61" s="58">
        <v>-3.3696836952274118</v>
      </c>
    </row>
    <row r="62" spans="6:13" x14ac:dyDescent="0.3">
      <c r="F62" s="48">
        <v>38899</v>
      </c>
      <c r="G62" s="57">
        <f t="shared" si="0"/>
        <v>2.9207051746266317</v>
      </c>
      <c r="H62" s="49">
        <v>93.8</v>
      </c>
      <c r="I62" s="49">
        <v>91.6</v>
      </c>
      <c r="K62" s="58">
        <v>-2.3094168056024613</v>
      </c>
      <c r="L62" s="58"/>
      <c r="M62" s="58">
        <v>-2.3094168056024613</v>
      </c>
    </row>
    <row r="63" spans="6:13" x14ac:dyDescent="0.3">
      <c r="F63" s="48">
        <v>38930</v>
      </c>
      <c r="G63" s="57">
        <f t="shared" si="0"/>
        <v>4.9906405596410703</v>
      </c>
      <c r="H63" s="49">
        <v>98.6</v>
      </c>
      <c r="I63" s="49">
        <v>91.4</v>
      </c>
      <c r="K63" s="58">
        <v>2.1868418439985775</v>
      </c>
      <c r="L63" s="58"/>
      <c r="M63" s="58">
        <v>2.1868418439985775</v>
      </c>
    </row>
    <row r="64" spans="6:13" x14ac:dyDescent="0.3">
      <c r="F64" s="48">
        <v>38961</v>
      </c>
      <c r="G64" s="57">
        <f t="shared" si="0"/>
        <v>-5.6323539917044103</v>
      </c>
      <c r="H64" s="49">
        <v>93.2</v>
      </c>
      <c r="I64" s="49">
        <v>90.4</v>
      </c>
      <c r="K64" s="58">
        <v>-2.8071429529211613</v>
      </c>
      <c r="L64" s="58"/>
      <c r="M64" s="58">
        <v>-2.8071429529211613</v>
      </c>
    </row>
    <row r="65" spans="6:13" x14ac:dyDescent="0.3">
      <c r="F65" s="48">
        <v>38991</v>
      </c>
      <c r="G65" s="57">
        <f t="shared" si="0"/>
        <v>4.5104656312255988</v>
      </c>
      <c r="H65" s="49">
        <v>97.5</v>
      </c>
      <c r="I65" s="49">
        <v>90.8</v>
      </c>
      <c r="K65" s="58">
        <v>0.93873264023485437</v>
      </c>
      <c r="L65" s="58"/>
      <c r="M65" s="58">
        <v>0.93873264023485437</v>
      </c>
    </row>
    <row r="66" spans="6:13" x14ac:dyDescent="0.3">
      <c r="F66" s="48">
        <v>39022</v>
      </c>
      <c r="G66" s="57">
        <f t="shared" si="0"/>
        <v>-1.6546396114408941</v>
      </c>
      <c r="H66" s="49">
        <v>95.9</v>
      </c>
      <c r="I66" s="49">
        <v>92.1</v>
      </c>
      <c r="K66" s="58">
        <v>3.8875283425535851</v>
      </c>
      <c r="L66" s="58"/>
      <c r="M66" s="58">
        <v>3.8875283425535851</v>
      </c>
    </row>
    <row r="67" spans="6:13" x14ac:dyDescent="0.3">
      <c r="F67" s="48">
        <v>39052</v>
      </c>
      <c r="G67" s="57">
        <f t="shared" si="0"/>
        <v>-9.7397863234808941</v>
      </c>
      <c r="H67" s="49">
        <v>87</v>
      </c>
      <c r="I67" s="49">
        <v>93.3</v>
      </c>
      <c r="K67" s="58">
        <v>1.3475020110042024</v>
      </c>
      <c r="L67" s="58"/>
      <c r="M67" s="58">
        <v>1.3475020110042024</v>
      </c>
    </row>
    <row r="68" spans="6:13" x14ac:dyDescent="0.3">
      <c r="F68" s="48">
        <v>39083</v>
      </c>
      <c r="G68" s="57">
        <f t="shared" si="0"/>
        <v>0</v>
      </c>
      <c r="H68" s="49">
        <v>87</v>
      </c>
      <c r="I68" s="49">
        <v>92.7</v>
      </c>
      <c r="K68" s="58">
        <v>0.56031776721630933</v>
      </c>
      <c r="L68" s="58"/>
      <c r="M68" s="58">
        <v>0.56031776721630933</v>
      </c>
    </row>
    <row r="69" spans="6:13" x14ac:dyDescent="0.3">
      <c r="F69" s="48">
        <v>39114</v>
      </c>
      <c r="G69" s="57">
        <f t="shared" si="0"/>
        <v>-5.1898438127651367</v>
      </c>
      <c r="H69" s="49">
        <v>82.6</v>
      </c>
      <c r="I69" s="49">
        <v>93.9</v>
      </c>
      <c r="K69" s="58">
        <v>-2.106784484132914</v>
      </c>
      <c r="L69" s="58"/>
      <c r="M69" s="58">
        <v>-2.106784484132914</v>
      </c>
    </row>
    <row r="70" spans="6:13" x14ac:dyDescent="0.3">
      <c r="F70" s="48">
        <v>39142</v>
      </c>
      <c r="G70" s="57">
        <f t="shared" si="0"/>
        <v>15.449652108956771</v>
      </c>
      <c r="H70" s="49">
        <v>96.4</v>
      </c>
      <c r="I70" s="49">
        <v>94.9</v>
      </c>
      <c r="K70" s="58">
        <v>5.1956087043082615</v>
      </c>
      <c r="L70" s="58"/>
      <c r="M70" s="58">
        <v>5.1956087043082615</v>
      </c>
    </row>
    <row r="71" spans="6:13" x14ac:dyDescent="0.3">
      <c r="F71" s="48">
        <v>39173</v>
      </c>
      <c r="G71" s="57">
        <f t="shared" si="0"/>
        <v>-6.205198856756641</v>
      </c>
      <c r="H71" s="49">
        <v>90.6</v>
      </c>
      <c r="I71" s="49">
        <v>96</v>
      </c>
      <c r="K71" s="58">
        <v>-2.1390879248201715</v>
      </c>
      <c r="L71" s="58"/>
      <c r="M71" s="58">
        <v>-2.1390879248201715</v>
      </c>
    </row>
    <row r="72" spans="6:13" x14ac:dyDescent="0.3">
      <c r="F72" s="48">
        <v>39203</v>
      </c>
      <c r="G72" s="57">
        <f t="shared" si="0"/>
        <v>9.7715472605574369</v>
      </c>
      <c r="H72" s="49">
        <v>99.9</v>
      </c>
      <c r="I72" s="49">
        <v>96.3</v>
      </c>
      <c r="K72" s="58">
        <v>3.2527111617758528</v>
      </c>
      <c r="L72" s="58"/>
      <c r="M72" s="58">
        <v>3.2527111617758528</v>
      </c>
    </row>
    <row r="73" spans="6:13" x14ac:dyDescent="0.3">
      <c r="F73" s="48">
        <v>39234</v>
      </c>
      <c r="G73" s="57">
        <f t="shared" si="0"/>
        <v>-3.0490166757787276</v>
      </c>
      <c r="H73" s="49">
        <v>96.9</v>
      </c>
      <c r="I73" s="49">
        <v>97</v>
      </c>
      <c r="K73" s="58">
        <v>-1.8066229521733124</v>
      </c>
      <c r="L73" s="58"/>
      <c r="M73" s="58">
        <v>-1.8066229521733124</v>
      </c>
    </row>
    <row r="74" spans="6:13" x14ac:dyDescent="0.3">
      <c r="F74" s="48">
        <v>39264</v>
      </c>
      <c r="G74" s="57">
        <f t="shared" ref="G74:G137" si="1">LN(H74/H73)*100</f>
        <v>2.9488664420697721</v>
      </c>
      <c r="H74" s="49">
        <v>99.8</v>
      </c>
      <c r="I74" s="49">
        <v>96.5</v>
      </c>
      <c r="K74" s="58">
        <v>-2.2812555381593209</v>
      </c>
      <c r="L74" s="58"/>
      <c r="M74" s="58">
        <v>-2.2812555381593209</v>
      </c>
    </row>
    <row r="75" spans="6:13" x14ac:dyDescent="0.3">
      <c r="F75" s="48">
        <v>39295</v>
      </c>
      <c r="G75" s="57">
        <f t="shared" si="1"/>
        <v>4.9839332084833199</v>
      </c>
      <c r="H75" s="49">
        <v>104.9</v>
      </c>
      <c r="I75" s="49">
        <v>97.9</v>
      </c>
      <c r="K75" s="58">
        <v>2.1801344928408271</v>
      </c>
      <c r="L75" s="58"/>
      <c r="M75" s="58">
        <v>2.1801344928408271</v>
      </c>
    </row>
    <row r="76" spans="6:13" x14ac:dyDescent="0.3">
      <c r="F76" s="48">
        <v>39326</v>
      </c>
      <c r="G76" s="57">
        <f t="shared" si="1"/>
        <v>-6.3966711344043752</v>
      </c>
      <c r="H76" s="49">
        <v>98.4</v>
      </c>
      <c r="I76" s="49">
        <v>97.2</v>
      </c>
      <c r="K76" s="58">
        <v>-3.5714600956211262</v>
      </c>
      <c r="L76" s="58"/>
      <c r="M76" s="58">
        <v>-3.5714600956211262</v>
      </c>
    </row>
    <row r="77" spans="6:13" x14ac:dyDescent="0.3">
      <c r="F77" s="48">
        <v>39356</v>
      </c>
      <c r="G77" s="57">
        <f t="shared" si="1"/>
        <v>9.1236854416688988</v>
      </c>
      <c r="H77" s="49">
        <v>107.8</v>
      </c>
      <c r="I77" s="49">
        <v>99.5</v>
      </c>
      <c r="K77" s="58">
        <v>5.5519524506781543</v>
      </c>
      <c r="L77" s="58"/>
      <c r="M77" s="58">
        <v>5.5519524506781543</v>
      </c>
    </row>
    <row r="78" spans="6:13" x14ac:dyDescent="0.3">
      <c r="F78" s="48">
        <v>39387</v>
      </c>
      <c r="G78" s="57">
        <f t="shared" si="1"/>
        <v>-5.1390945869489242</v>
      </c>
      <c r="H78" s="49">
        <v>102.4</v>
      </c>
      <c r="I78" s="49">
        <v>98.5</v>
      </c>
      <c r="K78" s="58">
        <v>0.40307336704555485</v>
      </c>
      <c r="L78" s="58"/>
      <c r="M78" s="58">
        <v>0.40307336704555485</v>
      </c>
    </row>
    <row r="79" spans="6:13" x14ac:dyDescent="0.3">
      <c r="F79" s="48">
        <v>39417</v>
      </c>
      <c r="G79" s="57">
        <f t="shared" si="1"/>
        <v>-10.059757095327383</v>
      </c>
      <c r="H79" s="49">
        <v>92.6</v>
      </c>
      <c r="I79" s="49">
        <v>98.9</v>
      </c>
      <c r="K79" s="58">
        <v>1.0275312391577138</v>
      </c>
      <c r="L79" s="58"/>
      <c r="M79" s="58">
        <v>1.0275312391577138</v>
      </c>
    </row>
    <row r="80" spans="6:13" x14ac:dyDescent="0.3">
      <c r="F80" s="48">
        <v>39448</v>
      </c>
      <c r="G80" s="57">
        <f t="shared" si="1"/>
        <v>2.3480267608842449</v>
      </c>
      <c r="H80" s="49">
        <v>94.8</v>
      </c>
      <c r="I80" s="49">
        <v>100.6</v>
      </c>
      <c r="K80" s="58">
        <v>2.908344528100554</v>
      </c>
      <c r="L80" s="58"/>
      <c r="M80" s="58">
        <v>2.908344528100554</v>
      </c>
    </row>
    <row r="81" spans="6:13" x14ac:dyDescent="0.3">
      <c r="F81" s="48">
        <v>39479</v>
      </c>
      <c r="G81" s="57">
        <f t="shared" si="1"/>
        <v>-3.9811604995063505</v>
      </c>
      <c r="H81" s="49">
        <v>91.1</v>
      </c>
      <c r="I81" s="49">
        <v>100.2</v>
      </c>
      <c r="K81" s="58">
        <v>-0.89810117087412777</v>
      </c>
      <c r="L81" s="58"/>
      <c r="M81" s="58">
        <v>-0.89810117087412777</v>
      </c>
    </row>
    <row r="82" spans="6:13" x14ac:dyDescent="0.3">
      <c r="F82" s="48">
        <v>39508</v>
      </c>
      <c r="G82" s="57">
        <f t="shared" si="1"/>
        <v>6.9943754782824428</v>
      </c>
      <c r="H82" s="49">
        <v>97.7</v>
      </c>
      <c r="I82" s="49">
        <v>100.5</v>
      </c>
      <c r="K82" s="58">
        <v>-3.2596679263660668</v>
      </c>
      <c r="L82" s="58"/>
      <c r="M82" s="58">
        <v>-3.2596679263660668</v>
      </c>
    </row>
    <row r="83" spans="6:13" x14ac:dyDescent="0.3">
      <c r="F83" s="48">
        <v>39539</v>
      </c>
      <c r="G83" s="57">
        <f t="shared" si="1"/>
        <v>1.5236455242089986</v>
      </c>
      <c r="H83" s="49">
        <v>99.2</v>
      </c>
      <c r="I83" s="49">
        <v>100.4</v>
      </c>
      <c r="K83" s="58">
        <v>5.5897564561454676</v>
      </c>
      <c r="L83" s="58"/>
      <c r="M83" s="58">
        <v>5.5897564561454676</v>
      </c>
    </row>
    <row r="84" spans="6:13" x14ac:dyDescent="0.3">
      <c r="F84" s="48">
        <v>39569</v>
      </c>
      <c r="G84" s="57">
        <f t="shared" si="1"/>
        <v>3.2724784287635709</v>
      </c>
      <c r="H84" s="49">
        <v>102.5</v>
      </c>
      <c r="I84" s="49">
        <v>101.1</v>
      </c>
      <c r="K84" s="58">
        <v>-3.2463576700180132</v>
      </c>
      <c r="L84" s="58"/>
      <c r="M84" s="58">
        <v>-3.2463576700180132</v>
      </c>
    </row>
    <row r="85" spans="6:13" x14ac:dyDescent="0.3">
      <c r="F85" s="48">
        <v>39600</v>
      </c>
      <c r="G85" s="57">
        <f t="shared" si="1"/>
        <v>0.77745775471300005</v>
      </c>
      <c r="H85" s="49">
        <v>103.3</v>
      </c>
      <c r="I85" s="49">
        <v>102.9</v>
      </c>
      <c r="K85" s="58">
        <v>2.0198514783184152</v>
      </c>
      <c r="L85" s="58"/>
      <c r="M85" s="58">
        <v>2.0198514783184152</v>
      </c>
    </row>
    <row r="86" spans="6:13" x14ac:dyDescent="0.3">
      <c r="F86" s="48">
        <v>39630</v>
      </c>
      <c r="G86" s="57">
        <f t="shared" si="1"/>
        <v>4.9112796854921346</v>
      </c>
      <c r="H86" s="49">
        <v>108.5</v>
      </c>
      <c r="I86" s="49">
        <v>103.2</v>
      </c>
      <c r="K86" s="58">
        <v>-0.31884229473695846</v>
      </c>
      <c r="L86" s="58"/>
      <c r="M86" s="58">
        <v>-0.31884229473695846</v>
      </c>
    </row>
    <row r="87" spans="6:13" x14ac:dyDescent="0.3">
      <c r="F87" s="48">
        <v>39661</v>
      </c>
      <c r="G87" s="57">
        <f t="shared" si="1"/>
        <v>-1.4856354949514659</v>
      </c>
      <c r="H87" s="49">
        <v>106.9</v>
      </c>
      <c r="I87" s="49">
        <v>101.9</v>
      </c>
      <c r="K87" s="58">
        <v>-4.2894342105939582</v>
      </c>
      <c r="L87" s="58"/>
      <c r="M87" s="58">
        <v>-4.2894342105939582</v>
      </c>
    </row>
    <row r="88" spans="6:13" x14ac:dyDescent="0.3">
      <c r="F88" s="48">
        <v>39692</v>
      </c>
      <c r="G88" s="57">
        <f t="shared" si="1"/>
        <v>0.37348316056530828</v>
      </c>
      <c r="H88" s="49">
        <v>107.3</v>
      </c>
      <c r="I88" s="49">
        <v>103.4</v>
      </c>
      <c r="K88" s="58">
        <v>3.1986941993485574</v>
      </c>
      <c r="L88" s="58"/>
      <c r="M88" s="58">
        <v>3.1986941993485574</v>
      </c>
    </row>
    <row r="89" spans="6:13" x14ac:dyDescent="0.3">
      <c r="F89" s="48">
        <v>39722</v>
      </c>
      <c r="G89" s="57">
        <f t="shared" si="1"/>
        <v>1.0199439368893048</v>
      </c>
      <c r="H89" s="49">
        <v>108.4</v>
      </c>
      <c r="I89" s="49">
        <v>100.1</v>
      </c>
      <c r="K89" s="58">
        <v>-2.5517890541014396</v>
      </c>
      <c r="L89" s="58"/>
      <c r="M89" s="58">
        <v>-2.5517890541014396</v>
      </c>
    </row>
    <row r="90" spans="6:13" x14ac:dyDescent="0.3">
      <c r="F90" s="48">
        <v>39753</v>
      </c>
      <c r="G90" s="57">
        <f t="shared" si="1"/>
        <v>-11.939873133388506</v>
      </c>
      <c r="H90" s="49">
        <v>96.2</v>
      </c>
      <c r="I90" s="49">
        <v>94.4</v>
      </c>
      <c r="K90" s="58">
        <v>-6.3977051793940269</v>
      </c>
      <c r="L90" s="58"/>
      <c r="M90" s="58">
        <v>-6.3977051793940269</v>
      </c>
    </row>
    <row r="91" spans="6:13" x14ac:dyDescent="0.3">
      <c r="F91" s="48">
        <v>39783</v>
      </c>
      <c r="G91" s="57">
        <f t="shared" si="1"/>
        <v>-19.571648289805267</v>
      </c>
      <c r="H91" s="49">
        <v>79.099999999999994</v>
      </c>
      <c r="I91" s="49">
        <v>83.8</v>
      </c>
      <c r="K91" s="58">
        <v>-8.484359955320171</v>
      </c>
      <c r="L91" s="58"/>
      <c r="M91" s="58">
        <v>-8.484359955320171</v>
      </c>
    </row>
    <row r="92" spans="6:13" x14ac:dyDescent="0.3">
      <c r="F92" s="48">
        <v>39814</v>
      </c>
      <c r="G92" s="57">
        <f t="shared" si="1"/>
        <v>-0.50697193502505111</v>
      </c>
      <c r="H92" s="49">
        <v>78.7</v>
      </c>
      <c r="I92" s="49">
        <v>85.6</v>
      </c>
      <c r="K92" s="58">
        <v>5.3345832191258193E-2</v>
      </c>
      <c r="L92" s="58"/>
      <c r="M92" s="58">
        <v>5.3345832191258193E-2</v>
      </c>
    </row>
    <row r="93" spans="6:13" x14ac:dyDescent="0.3">
      <c r="F93" s="48">
        <v>39845</v>
      </c>
      <c r="G93" s="57">
        <f t="shared" si="1"/>
        <v>-3.3594890555717507</v>
      </c>
      <c r="H93" s="49">
        <v>76.099999999999994</v>
      </c>
      <c r="I93" s="49">
        <v>87.6</v>
      </c>
      <c r="K93" s="58">
        <v>-0.27642972693952794</v>
      </c>
      <c r="L93" s="58"/>
      <c r="M93" s="58">
        <v>-0.27642972693952794</v>
      </c>
    </row>
    <row r="94" spans="6:13" x14ac:dyDescent="0.3">
      <c r="F94" s="48">
        <v>39873</v>
      </c>
      <c r="G94" s="57">
        <f t="shared" si="1"/>
        <v>15.208359274339509</v>
      </c>
      <c r="H94" s="49">
        <v>88.6</v>
      </c>
      <c r="I94" s="49">
        <v>88</v>
      </c>
      <c r="K94" s="58">
        <v>4.9543158696909995</v>
      </c>
      <c r="L94" s="58"/>
      <c r="M94" s="58">
        <v>4.9543158696909995</v>
      </c>
    </row>
    <row r="95" spans="6:13" x14ac:dyDescent="0.3">
      <c r="F95" s="48">
        <v>39904</v>
      </c>
      <c r="G95" s="57">
        <f t="shared" si="1"/>
        <v>-3.9130423775765082</v>
      </c>
      <c r="H95" s="49">
        <v>85.2</v>
      </c>
      <c r="I95" s="49">
        <v>89</v>
      </c>
      <c r="K95" s="58">
        <v>0.15306855435996122</v>
      </c>
      <c r="L95" s="58"/>
      <c r="M95" s="58">
        <v>0.15306855435996122</v>
      </c>
    </row>
    <row r="96" spans="6:13" x14ac:dyDescent="0.3">
      <c r="F96" s="48">
        <v>39934</v>
      </c>
      <c r="G96" s="57">
        <f t="shared" si="1"/>
        <v>6.9149353765652606</v>
      </c>
      <c r="H96" s="49">
        <v>91.3</v>
      </c>
      <c r="I96" s="49">
        <v>90.3</v>
      </c>
      <c r="K96" s="58">
        <v>0.39609927778367648</v>
      </c>
      <c r="L96" s="58"/>
      <c r="M96" s="58">
        <v>0.39609927778367648</v>
      </c>
    </row>
    <row r="97" spans="6:13" x14ac:dyDescent="0.3">
      <c r="F97" s="48">
        <v>39965</v>
      </c>
      <c r="G97" s="57">
        <f t="shared" si="1"/>
        <v>0.98093429616254413</v>
      </c>
      <c r="H97" s="49">
        <v>92.2</v>
      </c>
      <c r="I97" s="49">
        <v>91.6</v>
      </c>
      <c r="K97" s="58">
        <v>2.2233280197679592</v>
      </c>
      <c r="L97" s="58"/>
      <c r="M97" s="58">
        <v>2.2233280197679592</v>
      </c>
    </row>
    <row r="98" spans="6:13" x14ac:dyDescent="0.3">
      <c r="F98" s="48">
        <v>39995</v>
      </c>
      <c r="G98" s="57">
        <f t="shared" si="1"/>
        <v>5.7941428486188959</v>
      </c>
      <c r="H98" s="49">
        <v>97.7</v>
      </c>
      <c r="I98" s="49">
        <v>92.6</v>
      </c>
      <c r="K98" s="58">
        <v>0.56402086838980292</v>
      </c>
      <c r="L98" s="58"/>
      <c r="M98" s="58">
        <v>0.56402086838980292</v>
      </c>
    </row>
    <row r="99" spans="6:13" x14ac:dyDescent="0.3">
      <c r="F99" s="48">
        <v>40026</v>
      </c>
      <c r="G99" s="57">
        <f t="shared" si="1"/>
        <v>1.9260605541815436</v>
      </c>
      <c r="H99" s="49">
        <v>99.6</v>
      </c>
      <c r="I99" s="49">
        <v>94</v>
      </c>
      <c r="K99" s="58">
        <v>-0.87773816146094918</v>
      </c>
      <c r="L99" s="58"/>
      <c r="M99" s="58">
        <v>-0.87773816146094918</v>
      </c>
    </row>
    <row r="100" spans="6:13" x14ac:dyDescent="0.3">
      <c r="F100" s="48">
        <v>40057</v>
      </c>
      <c r="G100" s="57">
        <f t="shared" si="1"/>
        <v>-0.20100509280241119</v>
      </c>
      <c r="H100" s="49">
        <v>99.4</v>
      </c>
      <c r="I100" s="49">
        <v>95.6</v>
      </c>
      <c r="K100" s="58">
        <v>2.6242059459808376</v>
      </c>
      <c r="L100" s="58"/>
      <c r="M100" s="58">
        <v>2.6242059459808376</v>
      </c>
    </row>
    <row r="101" spans="6:13" x14ac:dyDescent="0.3">
      <c r="F101" s="48">
        <v>40087</v>
      </c>
      <c r="G101" s="57">
        <f t="shared" si="1"/>
        <v>6.0506257609632605</v>
      </c>
      <c r="H101" s="49">
        <v>105.6</v>
      </c>
      <c r="I101" s="49">
        <v>97.3</v>
      </c>
      <c r="K101" s="58">
        <v>2.4788927699725161</v>
      </c>
      <c r="L101" s="58"/>
      <c r="M101" s="58">
        <v>2.4788927699725161</v>
      </c>
    </row>
    <row r="102" spans="6:13" x14ac:dyDescent="0.3">
      <c r="F102" s="48">
        <v>40118</v>
      </c>
      <c r="G102" s="57">
        <f t="shared" si="1"/>
        <v>-4.0585280115078213</v>
      </c>
      <c r="H102" s="49">
        <v>101.4</v>
      </c>
      <c r="I102" s="49">
        <v>98.9</v>
      </c>
      <c r="K102" s="58">
        <v>1.4836399424866578</v>
      </c>
      <c r="L102" s="58"/>
      <c r="M102" s="58">
        <v>1.4836399424866578</v>
      </c>
    </row>
    <row r="103" spans="6:13" x14ac:dyDescent="0.3">
      <c r="F103" s="48">
        <v>40148</v>
      </c>
      <c r="G103" s="57">
        <f t="shared" si="1"/>
        <v>-7.4715044565749</v>
      </c>
      <c r="H103" s="49">
        <v>94.1</v>
      </c>
      <c r="I103" s="49">
        <v>99.1</v>
      </c>
      <c r="K103" s="58">
        <v>3.6157838779101965</v>
      </c>
      <c r="L103" s="58"/>
      <c r="M103" s="58">
        <v>3.6157838779101965</v>
      </c>
    </row>
    <row r="104" spans="6:13" x14ac:dyDescent="0.3">
      <c r="F104" s="48">
        <v>40179</v>
      </c>
      <c r="G104" s="57">
        <f t="shared" si="1"/>
        <v>-3.1303149511048107</v>
      </c>
      <c r="H104" s="49">
        <v>91.2</v>
      </c>
      <c r="I104" s="49">
        <v>100.7</v>
      </c>
      <c r="K104" s="58">
        <v>-2.5699971838885016</v>
      </c>
      <c r="L104" s="58"/>
      <c r="M104" s="58">
        <v>-2.5699971838885016</v>
      </c>
    </row>
    <row r="105" spans="6:13" x14ac:dyDescent="0.3">
      <c r="F105" s="48">
        <v>40210</v>
      </c>
      <c r="G105" s="57">
        <f t="shared" si="1"/>
        <v>-2.4418527348145886</v>
      </c>
      <c r="H105" s="49">
        <v>89</v>
      </c>
      <c r="I105" s="49">
        <v>100.5</v>
      </c>
      <c r="K105" s="58">
        <v>0.64120659381763412</v>
      </c>
      <c r="L105" s="58"/>
      <c r="M105" s="58">
        <v>0.64120659381763412</v>
      </c>
    </row>
    <row r="106" spans="6:13" x14ac:dyDescent="0.3">
      <c r="F106" s="48">
        <v>40238</v>
      </c>
      <c r="G106" s="57">
        <f t="shared" si="1"/>
        <v>16.627590815076555</v>
      </c>
      <c r="H106" s="49">
        <v>105.1</v>
      </c>
      <c r="I106" s="49">
        <v>103</v>
      </c>
      <c r="K106" s="58">
        <v>6.3735474104280456</v>
      </c>
      <c r="L106" s="58"/>
      <c r="M106" s="58">
        <v>6.3735474104280456</v>
      </c>
    </row>
    <row r="107" spans="6:13" x14ac:dyDescent="0.3">
      <c r="F107" s="48">
        <v>40269</v>
      </c>
      <c r="G107" s="57">
        <f t="shared" si="1"/>
        <v>-5.6766706831778553</v>
      </c>
      <c r="H107" s="49">
        <v>99.3</v>
      </c>
      <c r="I107" s="49">
        <v>103.2</v>
      </c>
      <c r="K107" s="58">
        <v>-1.6105597512413858</v>
      </c>
      <c r="L107" s="58"/>
      <c r="M107" s="58">
        <v>-1.6105597512413858</v>
      </c>
    </row>
    <row r="108" spans="6:13" x14ac:dyDescent="0.3">
      <c r="F108" s="48">
        <v>40299</v>
      </c>
      <c r="G108" s="57">
        <f t="shared" si="1"/>
        <v>4.9125790955599946</v>
      </c>
      <c r="H108" s="49">
        <v>104.3</v>
      </c>
      <c r="I108" s="49">
        <v>103</v>
      </c>
      <c r="K108" s="58">
        <v>-1.6062570032215895</v>
      </c>
      <c r="L108" s="58"/>
      <c r="M108" s="58">
        <v>-1.6062570032215895</v>
      </c>
    </row>
    <row r="109" spans="6:13" x14ac:dyDescent="0.3">
      <c r="F109" s="48">
        <v>40330</v>
      </c>
      <c r="G109" s="57">
        <f t="shared" si="1"/>
        <v>-1.7408563428263819</v>
      </c>
      <c r="H109" s="49">
        <v>102.5</v>
      </c>
      <c r="I109" s="49">
        <v>102.3</v>
      </c>
      <c r="K109" s="58">
        <v>-0.49846261922096669</v>
      </c>
      <c r="L109" s="58"/>
      <c r="M109" s="58">
        <v>-0.49846261922096669</v>
      </c>
    </row>
    <row r="110" spans="6:13" x14ac:dyDescent="0.3">
      <c r="F110" s="48">
        <v>40360</v>
      </c>
      <c r="G110" s="57">
        <f t="shared" si="1"/>
        <v>4.2031019452536711</v>
      </c>
      <c r="H110" s="49">
        <v>106.9</v>
      </c>
      <c r="I110" s="49">
        <v>101.8</v>
      </c>
      <c r="K110" s="58">
        <v>-1.0270200349754219</v>
      </c>
      <c r="L110" s="58"/>
      <c r="M110" s="58">
        <v>-1.0270200349754219</v>
      </c>
    </row>
    <row r="111" spans="6:13" x14ac:dyDescent="0.3">
      <c r="F111" s="48">
        <v>40391</v>
      </c>
      <c r="G111" s="57">
        <f t="shared" si="1"/>
        <v>1.1162906614163006</v>
      </c>
      <c r="H111" s="49">
        <v>108.1</v>
      </c>
      <c r="I111" s="49">
        <v>101.4</v>
      </c>
      <c r="K111" s="58">
        <v>-1.6875080542261922</v>
      </c>
      <c r="L111" s="58"/>
      <c r="M111" s="58">
        <v>-1.6875080542261922</v>
      </c>
    </row>
    <row r="112" spans="6:13" x14ac:dyDescent="0.3">
      <c r="F112" s="48">
        <v>40422</v>
      </c>
      <c r="G112" s="57">
        <f t="shared" si="1"/>
        <v>-2.1506205220963506</v>
      </c>
      <c r="H112" s="49">
        <v>105.8</v>
      </c>
      <c r="I112" s="49">
        <v>101.6</v>
      </c>
      <c r="K112" s="58">
        <v>0.6745905166868984</v>
      </c>
      <c r="L112" s="58"/>
      <c r="M112" s="58">
        <v>0.6745905166868984</v>
      </c>
    </row>
    <row r="113" spans="6:13" x14ac:dyDescent="0.3">
      <c r="F113" s="48">
        <v>40452</v>
      </c>
      <c r="G113" s="57">
        <f t="shared" si="1"/>
        <v>1.779906473814393</v>
      </c>
      <c r="H113" s="49">
        <v>107.7</v>
      </c>
      <c r="I113" s="49">
        <v>101.3</v>
      </c>
      <c r="K113" s="58">
        <v>-1.7918265171763514</v>
      </c>
      <c r="L113" s="58"/>
      <c r="M113" s="58">
        <v>-1.7918265171763514</v>
      </c>
    </row>
    <row r="114" spans="6:13" x14ac:dyDescent="0.3">
      <c r="F114" s="48">
        <v>40483</v>
      </c>
      <c r="G114" s="57">
        <f t="shared" si="1"/>
        <v>-0.83916576362485129</v>
      </c>
      <c r="H114" s="49">
        <v>106.8</v>
      </c>
      <c r="I114" s="49">
        <v>102.2</v>
      </c>
      <c r="K114" s="58">
        <v>4.7030021903696273</v>
      </c>
      <c r="L114" s="58"/>
      <c r="M114" s="58">
        <v>4.7030021903696273</v>
      </c>
    </row>
    <row r="115" spans="6:13" x14ac:dyDescent="0.3">
      <c r="F115" s="48">
        <v>40513</v>
      </c>
      <c r="G115" s="57">
        <f t="shared" si="1"/>
        <v>-10.037918530762216</v>
      </c>
      <c r="H115" s="49">
        <v>96.6</v>
      </c>
      <c r="I115" s="49">
        <v>102.6</v>
      </c>
      <c r="K115" s="58">
        <v>1.0493698037228807</v>
      </c>
      <c r="L115" s="58"/>
      <c r="M115" s="58">
        <v>1.0493698037228807</v>
      </c>
    </row>
    <row r="116" spans="6:13" x14ac:dyDescent="0.3">
      <c r="F116" s="48">
        <v>40544</v>
      </c>
      <c r="G116" s="57">
        <f t="shared" si="1"/>
        <v>-3.5831019526926728</v>
      </c>
      <c r="H116" s="49">
        <v>93.2</v>
      </c>
      <c r="I116" s="49">
        <v>102.8</v>
      </c>
      <c r="K116" s="58">
        <v>-3.0227841854763637</v>
      </c>
      <c r="L116" s="58"/>
      <c r="M116" s="58">
        <v>-3.0227841854763637</v>
      </c>
    </row>
    <row r="117" spans="6:13" x14ac:dyDescent="0.3">
      <c r="F117" s="48">
        <v>40575</v>
      </c>
      <c r="G117" s="57">
        <f t="shared" si="1"/>
        <v>2.3330856762695267</v>
      </c>
      <c r="H117" s="49">
        <v>95.4</v>
      </c>
      <c r="I117" s="49">
        <v>104.2</v>
      </c>
      <c r="K117" s="58">
        <v>5.4161450049017494</v>
      </c>
      <c r="L117" s="58"/>
      <c r="M117" s="58">
        <v>5.4161450049017494</v>
      </c>
    </row>
    <row r="118" spans="6:13" x14ac:dyDescent="0.3">
      <c r="F118" s="48">
        <v>40603</v>
      </c>
      <c r="G118" s="57">
        <f t="shared" si="1"/>
        <v>9.0151096994297486</v>
      </c>
      <c r="H118" s="49">
        <v>104.4</v>
      </c>
      <c r="I118" s="49">
        <v>104.8</v>
      </c>
      <c r="K118" s="58">
        <v>-1.238933705218761</v>
      </c>
      <c r="L118" s="58"/>
      <c r="M118" s="58">
        <v>-1.238933705218761</v>
      </c>
    </row>
    <row r="119" spans="6:13" x14ac:dyDescent="0.3">
      <c r="F119" s="48">
        <v>40634</v>
      </c>
      <c r="G119" s="57">
        <f t="shared" si="1"/>
        <v>-6.8377297444736849</v>
      </c>
      <c r="H119" s="49">
        <v>97.5</v>
      </c>
      <c r="I119" s="49">
        <v>102.1</v>
      </c>
      <c r="K119" s="58">
        <v>-2.7716188125372154</v>
      </c>
      <c r="L119" s="58"/>
      <c r="M119" s="58">
        <v>-2.7716188125372154</v>
      </c>
    </row>
    <row r="120" spans="6:13" x14ac:dyDescent="0.3">
      <c r="F120" s="48">
        <v>40664</v>
      </c>
      <c r="G120" s="57">
        <f t="shared" si="1"/>
        <v>9.3910599449901522</v>
      </c>
      <c r="H120" s="49">
        <v>107.1</v>
      </c>
      <c r="I120" s="49">
        <v>105.2</v>
      </c>
      <c r="K120" s="58">
        <v>2.8722238462085681</v>
      </c>
      <c r="L120" s="58"/>
      <c r="M120" s="58">
        <v>2.8722238462085681</v>
      </c>
    </row>
    <row r="121" spans="6:13" x14ac:dyDescent="0.3">
      <c r="F121" s="48">
        <v>40695</v>
      </c>
      <c r="G121" s="57">
        <f t="shared" si="1"/>
        <v>-4.0977624432638322</v>
      </c>
      <c r="H121" s="49">
        <v>102.8</v>
      </c>
      <c r="I121" s="49">
        <v>102.7</v>
      </c>
      <c r="K121" s="58">
        <v>-2.8553687196584168</v>
      </c>
      <c r="L121" s="58"/>
      <c r="M121" s="58">
        <v>-2.8553687196584168</v>
      </c>
    </row>
    <row r="122" spans="6:13" x14ac:dyDescent="0.3">
      <c r="F122" s="48">
        <v>40725</v>
      </c>
      <c r="G122" s="57">
        <f t="shared" si="1"/>
        <v>3.1596692598872607</v>
      </c>
      <c r="H122" s="49">
        <v>106.1</v>
      </c>
      <c r="I122" s="49">
        <v>103.1</v>
      </c>
      <c r="K122" s="58">
        <v>-2.0704527203418324</v>
      </c>
      <c r="L122" s="58"/>
      <c r="M122" s="58">
        <v>-2.0704527203418324</v>
      </c>
    </row>
    <row r="123" spans="6:13" x14ac:dyDescent="0.3">
      <c r="F123" s="48">
        <v>40756</v>
      </c>
      <c r="G123" s="57">
        <f t="shared" si="1"/>
        <v>4.3344728693245962</v>
      </c>
      <c r="H123" s="49">
        <v>110.8</v>
      </c>
      <c r="I123" s="49">
        <v>102.1</v>
      </c>
      <c r="K123" s="58">
        <v>1.5306741536821034</v>
      </c>
      <c r="L123" s="58"/>
      <c r="M123" s="58">
        <v>1.5306741536821034</v>
      </c>
    </row>
    <row r="124" spans="6:13" x14ac:dyDescent="0.3">
      <c r="F124" s="48">
        <v>40787</v>
      </c>
      <c r="G124" s="57">
        <f t="shared" si="1"/>
        <v>-5.5673002426241638</v>
      </c>
      <c r="H124" s="49">
        <v>104.8</v>
      </c>
      <c r="I124" s="49">
        <v>100.2</v>
      </c>
      <c r="K124" s="58">
        <v>-2.7420892038409148</v>
      </c>
      <c r="L124" s="58"/>
      <c r="M124" s="58">
        <v>-2.7420892038409148</v>
      </c>
    </row>
    <row r="125" spans="6:13" x14ac:dyDescent="0.3">
      <c r="F125" s="48">
        <v>40817</v>
      </c>
      <c r="G125" s="57">
        <f t="shared" si="1"/>
        <v>1.4211513460960548</v>
      </c>
      <c r="H125" s="49">
        <v>106.3</v>
      </c>
      <c r="I125" s="49">
        <v>99.2</v>
      </c>
      <c r="K125" s="58">
        <v>-2.1505816448946895</v>
      </c>
      <c r="L125" s="58"/>
      <c r="M125" s="58">
        <v>-2.1505816448946895</v>
      </c>
    </row>
    <row r="126" spans="6:13" x14ac:dyDescent="0.3">
      <c r="F126" s="48">
        <v>40848</v>
      </c>
      <c r="G126" s="57">
        <f t="shared" si="1"/>
        <v>-1.9953156028635677</v>
      </c>
      <c r="H126" s="49">
        <v>104.2</v>
      </c>
      <c r="I126" s="49">
        <v>99.9</v>
      </c>
      <c r="K126" s="58">
        <v>3.5468523511309114</v>
      </c>
      <c r="L126" s="58"/>
      <c r="M126" s="58">
        <v>3.5468523511309114</v>
      </c>
    </row>
    <row r="127" spans="6:13" x14ac:dyDescent="0.3">
      <c r="F127" s="48">
        <v>40878</v>
      </c>
      <c r="G127" s="57">
        <f t="shared" si="1"/>
        <v>-8.5093830860358022</v>
      </c>
      <c r="H127" s="49">
        <v>95.7</v>
      </c>
      <c r="I127" s="49">
        <v>102.5</v>
      </c>
      <c r="K127" s="58">
        <v>2.5779052484492944</v>
      </c>
      <c r="L127" s="58"/>
      <c r="M127" s="58">
        <v>2.5779052484492944</v>
      </c>
    </row>
    <row r="128" spans="6:13" x14ac:dyDescent="0.3">
      <c r="F128" s="48">
        <v>40909</v>
      </c>
      <c r="G128" s="57">
        <f t="shared" si="1"/>
        <v>-7.5958409143374785</v>
      </c>
      <c r="H128" s="49">
        <v>88.7</v>
      </c>
      <c r="I128" s="49">
        <v>98</v>
      </c>
      <c r="K128" s="58">
        <v>-7.035523147121169</v>
      </c>
      <c r="L128" s="58"/>
      <c r="M128" s="58">
        <v>-7.035523147121169</v>
      </c>
    </row>
    <row r="129" spans="6:13" x14ac:dyDescent="0.3">
      <c r="F129" s="48">
        <v>40940</v>
      </c>
      <c r="G129" s="57">
        <f t="shared" si="1"/>
        <v>1.2325085992620033</v>
      </c>
      <c r="H129" s="49">
        <v>89.8</v>
      </c>
      <c r="I129" s="49">
        <v>99</v>
      </c>
      <c r="K129" s="58">
        <v>4.3155679278942261</v>
      </c>
      <c r="L129" s="58"/>
      <c r="M129" s="58">
        <v>4.3155679278942261</v>
      </c>
    </row>
    <row r="130" spans="6:13" x14ac:dyDescent="0.3">
      <c r="F130" s="48">
        <v>40969</v>
      </c>
      <c r="G130" s="57">
        <f t="shared" si="1"/>
        <v>10.458070165963877</v>
      </c>
      <c r="H130" s="49">
        <v>99.7</v>
      </c>
      <c r="I130" s="49">
        <v>98.3</v>
      </c>
      <c r="K130" s="58">
        <v>0.20402676131536698</v>
      </c>
      <c r="L130" s="58"/>
      <c r="M130" s="58">
        <v>0.20402676131536698</v>
      </c>
    </row>
    <row r="131" spans="6:13" x14ac:dyDescent="0.3">
      <c r="F131" s="48">
        <v>41000</v>
      </c>
      <c r="G131" s="57">
        <f t="shared" si="1"/>
        <v>-7.1719037175637768</v>
      </c>
      <c r="H131" s="49">
        <v>92.8</v>
      </c>
      <c r="I131" s="49">
        <v>98.5</v>
      </c>
      <c r="K131" s="58">
        <v>-3.1057927856273073</v>
      </c>
      <c r="L131" s="58"/>
      <c r="M131" s="58">
        <v>-3.1057927856273073</v>
      </c>
    </row>
    <row r="132" spans="6:13" x14ac:dyDescent="0.3">
      <c r="F132" s="48">
        <v>41030</v>
      </c>
      <c r="G132" s="57">
        <f t="shared" si="1"/>
        <v>9.9416158786307989</v>
      </c>
      <c r="H132" s="49">
        <v>102.5</v>
      </c>
      <c r="I132" s="49">
        <v>98.9</v>
      </c>
      <c r="K132" s="58">
        <v>3.4227797798492148</v>
      </c>
      <c r="L132" s="58"/>
      <c r="M132" s="58">
        <v>3.4227797798492148</v>
      </c>
    </row>
    <row r="133" spans="6:13" x14ac:dyDescent="0.3">
      <c r="F133" s="48">
        <v>41061</v>
      </c>
      <c r="G133" s="57">
        <f t="shared" si="1"/>
        <v>-4.1838771425342038</v>
      </c>
      <c r="H133" s="49">
        <v>98.3</v>
      </c>
      <c r="I133" s="49">
        <v>99</v>
      </c>
      <c r="K133" s="58">
        <v>-2.9414834189287884</v>
      </c>
      <c r="L133" s="58"/>
      <c r="M133" s="58">
        <v>-2.9414834189287884</v>
      </c>
    </row>
    <row r="134" spans="6:13" x14ac:dyDescent="0.3">
      <c r="F134" s="48">
        <v>41091</v>
      </c>
      <c r="G134" s="57">
        <f t="shared" si="1"/>
        <v>6.1163044251744862</v>
      </c>
      <c r="H134" s="49">
        <v>104.5</v>
      </c>
      <c r="I134" s="49">
        <v>100.5</v>
      </c>
      <c r="K134" s="58">
        <v>0.88618244494539322</v>
      </c>
      <c r="L134" s="58"/>
      <c r="M134" s="58">
        <v>0.88618244494539322</v>
      </c>
    </row>
    <row r="135" spans="6:13" x14ac:dyDescent="0.3">
      <c r="F135" s="48">
        <v>41122</v>
      </c>
      <c r="G135" s="57">
        <f t="shared" si="1"/>
        <v>6.4837519495307667</v>
      </c>
      <c r="H135" s="49">
        <v>111.5</v>
      </c>
      <c r="I135" s="49">
        <v>102.5</v>
      </c>
      <c r="K135" s="58">
        <v>3.6799532338882739</v>
      </c>
      <c r="L135" s="58"/>
      <c r="M135" s="58">
        <v>3.6799532338882739</v>
      </c>
    </row>
    <row r="136" spans="6:13" x14ac:dyDescent="0.3">
      <c r="F136" s="48">
        <v>41153</v>
      </c>
      <c r="G136" s="57">
        <f t="shared" si="1"/>
        <v>-7.5419628825844658</v>
      </c>
      <c r="H136" s="49">
        <v>103.4</v>
      </c>
      <c r="I136" s="49">
        <v>100.6</v>
      </c>
      <c r="K136" s="58">
        <v>-4.7167518438012168</v>
      </c>
      <c r="L136" s="58"/>
      <c r="M136" s="58">
        <v>-4.7167518438012168</v>
      </c>
    </row>
    <row r="137" spans="6:13" x14ac:dyDescent="0.3">
      <c r="F137" s="48">
        <v>41183</v>
      </c>
      <c r="G137" s="57">
        <f t="shared" si="1"/>
        <v>7.8106598646669854</v>
      </c>
      <c r="H137" s="49">
        <v>111.8</v>
      </c>
      <c r="I137" s="49">
        <v>102.1</v>
      </c>
      <c r="K137" s="58">
        <v>4.2389268736762409</v>
      </c>
      <c r="L137" s="58"/>
      <c r="M137" s="58">
        <v>4.2389268736762409</v>
      </c>
    </row>
    <row r="138" spans="6:13" x14ac:dyDescent="0.3">
      <c r="F138" s="48">
        <v>41214</v>
      </c>
      <c r="G138" s="57">
        <f t="shared" ref="G138:G201" si="2">LN(H138/H137)*100</f>
        <v>-6.4657788834056955</v>
      </c>
      <c r="H138" s="49">
        <v>104.8</v>
      </c>
      <c r="I138" s="49">
        <v>100.6</v>
      </c>
      <c r="K138" s="58">
        <v>-0.92361092941121647</v>
      </c>
      <c r="L138" s="58"/>
      <c r="M138" s="58">
        <v>-0.92361092941121647</v>
      </c>
    </row>
    <row r="139" spans="6:13" x14ac:dyDescent="0.3">
      <c r="F139" s="48">
        <v>41244</v>
      </c>
      <c r="G139" s="57">
        <f t="shared" si="2"/>
        <v>-12.809364132439352</v>
      </c>
      <c r="H139" s="49">
        <v>92.2</v>
      </c>
      <c r="I139" s="49">
        <v>101.3</v>
      </c>
      <c r="K139" s="58">
        <v>-1.7220757979542558</v>
      </c>
      <c r="L139" s="58"/>
      <c r="M139" s="58">
        <v>-1.7220757979542558</v>
      </c>
    </row>
    <row r="140" spans="6:13" x14ac:dyDescent="0.3">
      <c r="F140" s="48">
        <v>41275</v>
      </c>
      <c r="G140" s="57">
        <f t="shared" si="2"/>
        <v>2.4639703937148925</v>
      </c>
      <c r="H140" s="49">
        <v>94.5</v>
      </c>
      <c r="I140" s="49">
        <v>102.1</v>
      </c>
      <c r="K140" s="58">
        <v>3.024288160931202</v>
      </c>
      <c r="L140" s="58"/>
      <c r="M140" s="58">
        <v>3.024288160931202</v>
      </c>
    </row>
    <row r="141" spans="6:13" x14ac:dyDescent="0.3">
      <c r="F141" s="48">
        <v>41306</v>
      </c>
      <c r="G141" s="57">
        <f t="shared" si="2"/>
        <v>-7.0127301557563264</v>
      </c>
      <c r="H141" s="49">
        <v>88.1</v>
      </c>
      <c r="I141" s="49">
        <v>99.7</v>
      </c>
      <c r="K141" s="58">
        <v>-3.9296708271241036</v>
      </c>
      <c r="L141" s="58"/>
      <c r="M141" s="58">
        <v>-3.9296708271241036</v>
      </c>
    </row>
    <row r="142" spans="6:13" x14ac:dyDescent="0.3">
      <c r="F142" s="48">
        <v>41334</v>
      </c>
      <c r="G142" s="57">
        <f t="shared" si="2"/>
        <v>10.342902610660323</v>
      </c>
      <c r="H142" s="49">
        <v>97.7</v>
      </c>
      <c r="I142" s="49">
        <v>101.2</v>
      </c>
      <c r="K142" s="58">
        <v>8.8859206011813158E-2</v>
      </c>
      <c r="L142" s="58"/>
      <c r="M142" s="58">
        <v>8.8859206011813158E-2</v>
      </c>
    </row>
    <row r="143" spans="6:13" x14ac:dyDescent="0.3">
      <c r="F143" s="48">
        <v>41365</v>
      </c>
      <c r="G143" s="57">
        <f t="shared" si="2"/>
        <v>4.1108545067685318</v>
      </c>
      <c r="H143" s="49">
        <v>101.8</v>
      </c>
      <c r="I143" s="49">
        <v>103</v>
      </c>
      <c r="K143" s="58">
        <v>8.1769654387050004</v>
      </c>
      <c r="L143" s="58"/>
      <c r="M143" s="58">
        <v>8.1769654387050004</v>
      </c>
    </row>
    <row r="144" spans="6:13" x14ac:dyDescent="0.3">
      <c r="F144" s="48">
        <v>41395</v>
      </c>
      <c r="G144" s="57">
        <f t="shared" si="2"/>
        <v>3.0950246041101059</v>
      </c>
      <c r="H144" s="49">
        <v>105</v>
      </c>
      <c r="I144" s="49">
        <v>102.5</v>
      </c>
      <c r="K144" s="58">
        <v>-3.4238114946714782</v>
      </c>
      <c r="L144" s="58"/>
      <c r="M144" s="58">
        <v>-3.4238114946714782</v>
      </c>
    </row>
    <row r="145" spans="6:13" x14ac:dyDescent="0.3">
      <c r="F145" s="48">
        <v>41426</v>
      </c>
      <c r="G145" s="57">
        <f t="shared" si="2"/>
        <v>-3.1933047103009029</v>
      </c>
      <c r="H145" s="49">
        <v>101.7</v>
      </c>
      <c r="I145" s="49">
        <v>103.2</v>
      </c>
      <c r="K145" s="58">
        <v>-1.9509109866954877</v>
      </c>
      <c r="L145" s="58"/>
      <c r="M145" s="58">
        <v>-1.9509109866954877</v>
      </c>
    </row>
    <row r="146" spans="6:13" x14ac:dyDescent="0.3">
      <c r="F146" s="48">
        <v>41456</v>
      </c>
      <c r="G146" s="57">
        <f t="shared" si="2"/>
        <v>6.0103924069705306</v>
      </c>
      <c r="H146" s="49">
        <v>108</v>
      </c>
      <c r="I146" s="49">
        <v>102.4</v>
      </c>
      <c r="K146" s="58">
        <v>0.78027042674143754</v>
      </c>
      <c r="L146" s="58"/>
      <c r="M146" s="58">
        <v>0.78027042674143754</v>
      </c>
    </row>
    <row r="147" spans="6:13" x14ac:dyDescent="0.3">
      <c r="F147" s="48">
        <v>41487</v>
      </c>
      <c r="G147" s="57">
        <f t="shared" si="2"/>
        <v>3.6367644170874791</v>
      </c>
      <c r="H147" s="49">
        <v>112</v>
      </c>
      <c r="I147" s="49">
        <v>102.9</v>
      </c>
      <c r="K147" s="58">
        <v>0.83296570144498627</v>
      </c>
      <c r="L147" s="58"/>
      <c r="M147" s="58">
        <v>0.83296570144498627</v>
      </c>
    </row>
    <row r="148" spans="6:13" x14ac:dyDescent="0.3">
      <c r="F148" s="48">
        <v>41518</v>
      </c>
      <c r="G148" s="57">
        <f t="shared" si="2"/>
        <v>-4.2870221658441832</v>
      </c>
      <c r="H148" s="49">
        <v>107.3</v>
      </c>
      <c r="I148" s="49">
        <v>103.5</v>
      </c>
      <c r="K148" s="58">
        <v>-1.4618111270609342</v>
      </c>
      <c r="L148" s="58"/>
      <c r="M148" s="58">
        <v>-1.4618111270609342</v>
      </c>
    </row>
    <row r="149" spans="6:13" x14ac:dyDescent="0.3">
      <c r="F149" s="48">
        <v>41548</v>
      </c>
      <c r="G149" s="57">
        <f t="shared" si="2"/>
        <v>4.8213066068937094</v>
      </c>
      <c r="H149" s="49">
        <v>112.6</v>
      </c>
      <c r="I149" s="49">
        <v>102.4</v>
      </c>
      <c r="K149" s="58">
        <v>1.2495736159029649</v>
      </c>
      <c r="L149" s="58"/>
      <c r="M149" s="58">
        <v>1.2495736159029649</v>
      </c>
    </row>
    <row r="150" spans="6:13" x14ac:dyDescent="0.3">
      <c r="F150" s="48">
        <v>41579</v>
      </c>
      <c r="G150" s="57">
        <f t="shared" si="2"/>
        <v>-5.9459670085652512</v>
      </c>
      <c r="H150" s="49">
        <v>106.1</v>
      </c>
      <c r="I150" s="49">
        <v>103</v>
      </c>
      <c r="K150" s="58">
        <v>-0.40379905457077214</v>
      </c>
      <c r="L150" s="58"/>
      <c r="M150" s="58">
        <v>-0.40379905457077214</v>
      </c>
    </row>
    <row r="151" spans="6:13" x14ac:dyDescent="0.3">
      <c r="F151" s="48">
        <v>41609</v>
      </c>
      <c r="G151" s="57">
        <f t="shared" si="2"/>
        <v>-16.346188100564525</v>
      </c>
      <c r="H151" s="49">
        <v>90.1</v>
      </c>
      <c r="I151" s="49">
        <v>99</v>
      </c>
      <c r="K151" s="58">
        <v>-5.2588997660794288</v>
      </c>
      <c r="L151" s="58"/>
      <c r="M151" s="58">
        <v>-5.2588997660794288</v>
      </c>
    </row>
    <row r="152" spans="6:13" x14ac:dyDescent="0.3">
      <c r="F152" s="48">
        <v>41640</v>
      </c>
      <c r="G152" s="57">
        <f t="shared" si="2"/>
        <v>2.7368977037841566</v>
      </c>
      <c r="H152" s="49">
        <v>92.6</v>
      </c>
      <c r="I152" s="49">
        <v>100.6</v>
      </c>
      <c r="K152" s="58">
        <v>3.2972154710004657</v>
      </c>
      <c r="L152" s="58"/>
      <c r="M152" s="58">
        <v>3.2972154710004657</v>
      </c>
    </row>
    <row r="153" spans="6:13" x14ac:dyDescent="0.3">
      <c r="F153" s="48">
        <v>41671</v>
      </c>
      <c r="G153" s="57">
        <f t="shared" si="2"/>
        <v>-0.32450001433271897</v>
      </c>
      <c r="H153" s="49">
        <v>92.3</v>
      </c>
      <c r="I153" s="49">
        <v>101.2</v>
      </c>
      <c r="K153" s="58">
        <v>2.7585593142995037</v>
      </c>
      <c r="L153" s="58"/>
      <c r="M153" s="58">
        <v>2.7585593142995037</v>
      </c>
    </row>
    <row r="154" spans="6:13" x14ac:dyDescent="0.3">
      <c r="F154" s="48">
        <v>41699</v>
      </c>
      <c r="G154" s="57">
        <f t="shared" si="2"/>
        <v>5.2754847683152821</v>
      </c>
      <c r="H154" s="49">
        <v>97.3</v>
      </c>
      <c r="I154" s="49">
        <v>101</v>
      </c>
      <c r="K154" s="58">
        <v>-4.9785586363332275</v>
      </c>
      <c r="L154" s="58"/>
      <c r="M154" s="58">
        <v>-4.9785586363332275</v>
      </c>
    </row>
    <row r="155" spans="6:13" x14ac:dyDescent="0.3">
      <c r="F155" s="48">
        <v>41730</v>
      </c>
      <c r="G155" s="57">
        <f t="shared" si="2"/>
        <v>-1.3450797724123105</v>
      </c>
      <c r="H155" s="49">
        <v>96</v>
      </c>
      <c r="I155" s="49">
        <v>100.2</v>
      </c>
      <c r="K155" s="58">
        <v>2.7210311595241592</v>
      </c>
      <c r="L155" s="58"/>
      <c r="M155" s="58">
        <v>2.7210311595241592</v>
      </c>
    </row>
    <row r="156" spans="6:13" x14ac:dyDescent="0.3">
      <c r="F156" s="48">
        <v>41760</v>
      </c>
      <c r="G156" s="57">
        <f t="shared" si="2"/>
        <v>5.7679111586677987</v>
      </c>
      <c r="H156" s="49">
        <v>101.7</v>
      </c>
      <c r="I156" s="49">
        <v>98.8</v>
      </c>
      <c r="K156" s="58">
        <v>-0.75092494011378541</v>
      </c>
      <c r="L156" s="58"/>
      <c r="M156" s="58">
        <v>-0.75092494011378541</v>
      </c>
    </row>
    <row r="157" spans="6:13" x14ac:dyDescent="0.3">
      <c r="F157" s="48">
        <v>41791</v>
      </c>
      <c r="G157" s="57">
        <f t="shared" si="2"/>
        <v>-6.920359743863207</v>
      </c>
      <c r="H157" s="49">
        <v>94.9</v>
      </c>
      <c r="I157" s="49">
        <v>96.1</v>
      </c>
      <c r="K157" s="58">
        <v>-5.6779660202577915</v>
      </c>
      <c r="L157" s="58"/>
      <c r="M157" s="58">
        <v>-5.6779660202577915</v>
      </c>
    </row>
    <row r="158" spans="6:13" x14ac:dyDescent="0.3">
      <c r="F158" s="48">
        <v>41821</v>
      </c>
      <c r="G158" s="57">
        <f t="shared" si="2"/>
        <v>9.5405969832656066</v>
      </c>
      <c r="H158" s="49">
        <v>104.4</v>
      </c>
      <c r="I158" s="49">
        <v>98.3</v>
      </c>
      <c r="K158" s="58">
        <v>4.3104750030365135</v>
      </c>
      <c r="L158" s="58"/>
      <c r="M158" s="58">
        <v>4.3104750030365135</v>
      </c>
    </row>
    <row r="159" spans="6:13" x14ac:dyDescent="0.3">
      <c r="F159" s="48">
        <v>41852</v>
      </c>
      <c r="G159" s="57">
        <f t="shared" si="2"/>
        <v>1.8035609899363723</v>
      </c>
      <c r="H159" s="49">
        <v>106.3</v>
      </c>
      <c r="I159" s="49">
        <v>99.2</v>
      </c>
      <c r="K159" s="58">
        <v>-1.0002377257061206</v>
      </c>
      <c r="L159" s="58"/>
      <c r="M159" s="58">
        <v>-1.0002377257061206</v>
      </c>
    </row>
    <row r="160" spans="6:13" x14ac:dyDescent="0.3">
      <c r="F160" s="48">
        <v>41883</v>
      </c>
      <c r="G160" s="57">
        <f t="shared" si="2"/>
        <v>-0.66069140757411748</v>
      </c>
      <c r="H160" s="49">
        <v>105.6</v>
      </c>
      <c r="I160" s="49">
        <v>99.4</v>
      </c>
      <c r="K160" s="58">
        <v>2.1645196312091315</v>
      </c>
      <c r="L160" s="58"/>
      <c r="M160" s="58">
        <v>2.1645196312091315</v>
      </c>
    </row>
    <row r="161" spans="6:13" x14ac:dyDescent="0.3">
      <c r="F161" s="48">
        <v>41913</v>
      </c>
      <c r="G161" s="57">
        <f t="shared" si="2"/>
        <v>3.4438023910331883</v>
      </c>
      <c r="H161" s="49">
        <v>109.3</v>
      </c>
      <c r="I161" s="49">
        <v>99.6</v>
      </c>
      <c r="K161" s="58">
        <v>-0.12793059995755621</v>
      </c>
      <c r="L161" s="58"/>
      <c r="M161" s="58">
        <v>-0.12793059995755621</v>
      </c>
    </row>
    <row r="162" spans="6:13" x14ac:dyDescent="0.3">
      <c r="F162" s="48">
        <v>41944</v>
      </c>
      <c r="G162" s="57">
        <f t="shared" si="2"/>
        <v>-9.0928211865074626</v>
      </c>
      <c r="H162" s="49">
        <v>99.8</v>
      </c>
      <c r="I162" s="49">
        <v>98.6</v>
      </c>
      <c r="K162" s="58">
        <v>-3.5506532325129836</v>
      </c>
      <c r="L162" s="58"/>
      <c r="M162" s="58">
        <v>-3.5506532325129836</v>
      </c>
    </row>
    <row r="163" spans="6:13" x14ac:dyDescent="0.3">
      <c r="F163" s="48">
        <v>41974</v>
      </c>
      <c r="G163" s="57">
        <f t="shared" si="2"/>
        <v>-12.924628393928089</v>
      </c>
      <c r="H163" s="49">
        <v>87.7</v>
      </c>
      <c r="I163" s="49">
        <v>95.4</v>
      </c>
      <c r="K163" s="58">
        <v>-1.8373400594429921</v>
      </c>
      <c r="L163" s="58"/>
      <c r="M163" s="58">
        <v>-1.8373400594429921</v>
      </c>
    </row>
    <row r="164" spans="6:13" x14ac:dyDescent="0.3">
      <c r="F164" s="48">
        <v>42005</v>
      </c>
      <c r="G164" s="57">
        <f t="shared" si="2"/>
        <v>0.45506335639962892</v>
      </c>
      <c r="H164" s="49">
        <v>88.1</v>
      </c>
      <c r="I164" s="49">
        <v>96</v>
      </c>
      <c r="K164" s="58">
        <v>1.0153811236159382</v>
      </c>
      <c r="L164" s="58"/>
      <c r="M164" s="58">
        <v>1.0153811236159382</v>
      </c>
    </row>
    <row r="165" spans="6:13" x14ac:dyDescent="0.3">
      <c r="F165" s="48">
        <v>42036</v>
      </c>
      <c r="G165" s="57">
        <f t="shared" si="2"/>
        <v>-5.1233555446704067</v>
      </c>
      <c r="H165" s="49">
        <v>83.7</v>
      </c>
      <c r="I165" s="49">
        <v>95.4</v>
      </c>
      <c r="K165" s="58">
        <v>-2.0402962160381839</v>
      </c>
      <c r="L165" s="58"/>
      <c r="M165" s="58">
        <v>-2.0402962160381839</v>
      </c>
    </row>
    <row r="166" spans="6:13" x14ac:dyDescent="0.3">
      <c r="F166" s="48">
        <v>42064</v>
      </c>
      <c r="G166" s="57">
        <f t="shared" si="2"/>
        <v>11.924221214398219</v>
      </c>
      <c r="H166" s="49">
        <v>94.3</v>
      </c>
      <c r="I166" s="49">
        <v>95</v>
      </c>
      <c r="K166" s="58">
        <v>1.6701778097497098</v>
      </c>
      <c r="L166" s="58"/>
      <c r="M166" s="58">
        <v>1.6701778097497098</v>
      </c>
    </row>
    <row r="167" spans="6:13" x14ac:dyDescent="0.3">
      <c r="F167" s="48">
        <v>42095</v>
      </c>
      <c r="G167" s="57">
        <f t="shared" si="2"/>
        <v>-6.0094539641287446</v>
      </c>
      <c r="H167" s="49">
        <v>88.8</v>
      </c>
      <c r="I167" s="49">
        <v>93</v>
      </c>
      <c r="K167" s="58">
        <v>-1.9433430321922751</v>
      </c>
      <c r="L167" s="58"/>
      <c r="M167" s="58">
        <v>-1.9433430321922751</v>
      </c>
    </row>
    <row r="168" spans="6:13" x14ac:dyDescent="0.3">
      <c r="F168" s="48">
        <v>42125</v>
      </c>
      <c r="G168" s="57">
        <f t="shared" si="2"/>
        <v>4.7287534284896902</v>
      </c>
      <c r="H168" s="49">
        <v>93.1</v>
      </c>
      <c r="I168" s="49">
        <v>92.2</v>
      </c>
      <c r="K168" s="58">
        <v>-1.7900826702918939</v>
      </c>
      <c r="L168" s="58"/>
      <c r="M168" s="58">
        <v>-1.7900826702918939</v>
      </c>
    </row>
    <row r="169" spans="6:13" x14ac:dyDescent="0.3">
      <c r="F169" s="48">
        <v>42156</v>
      </c>
      <c r="G169" s="57">
        <f t="shared" si="2"/>
        <v>-0.646553976464186</v>
      </c>
      <c r="H169" s="49">
        <v>92.5</v>
      </c>
      <c r="I169" s="49">
        <v>91.3</v>
      </c>
      <c r="K169" s="58">
        <v>0.59583974714122923</v>
      </c>
      <c r="L169" s="58"/>
      <c r="M169" s="58">
        <v>0.59583974714122923</v>
      </c>
    </row>
    <row r="170" spans="6:13" x14ac:dyDescent="0.3">
      <c r="F170" s="48">
        <v>42186</v>
      </c>
      <c r="G170" s="57">
        <f t="shared" si="2"/>
        <v>3.1917602968304948</v>
      </c>
      <c r="H170" s="49">
        <v>95.5</v>
      </c>
      <c r="I170" s="49">
        <v>89.5</v>
      </c>
      <c r="K170" s="58">
        <v>-2.0383616833985982</v>
      </c>
      <c r="L170" s="58"/>
      <c r="M170" s="58">
        <v>-2.0383616833985982</v>
      </c>
    </row>
    <row r="171" spans="6:13" x14ac:dyDescent="0.3">
      <c r="F171" s="48">
        <v>42217</v>
      </c>
      <c r="G171" s="57">
        <f t="shared" si="2"/>
        <v>2.175124593236212</v>
      </c>
      <c r="H171" s="49">
        <v>97.6</v>
      </c>
      <c r="I171" s="49">
        <v>90.3</v>
      </c>
      <c r="K171" s="58">
        <v>-0.62867412240628084</v>
      </c>
      <c r="L171" s="58"/>
      <c r="M171" s="58">
        <v>-0.62867412240628084</v>
      </c>
    </row>
    <row r="172" spans="6:13" x14ac:dyDescent="0.3">
      <c r="F172" s="48">
        <v>42248</v>
      </c>
      <c r="G172" s="57">
        <f t="shared" si="2"/>
        <v>-3.439630377963502</v>
      </c>
      <c r="H172" s="49">
        <v>94.3</v>
      </c>
      <c r="I172" s="49">
        <v>88.2</v>
      </c>
      <c r="K172" s="58">
        <v>-0.61441933918025304</v>
      </c>
      <c r="L172" s="58"/>
      <c r="M172" s="58">
        <v>-0.61441933918025304</v>
      </c>
    </row>
    <row r="173" spans="6:13" x14ac:dyDescent="0.3">
      <c r="F173" s="48">
        <v>42278</v>
      </c>
      <c r="G173" s="57">
        <f t="shared" si="2"/>
        <v>3.0289521826981729</v>
      </c>
      <c r="H173" s="49">
        <v>97.2</v>
      </c>
      <c r="I173" s="49">
        <v>88.1</v>
      </c>
      <c r="K173" s="58">
        <v>-0.54278080829257158</v>
      </c>
      <c r="L173" s="58"/>
      <c r="M173" s="58">
        <v>-0.54278080829257158</v>
      </c>
    </row>
    <row r="174" spans="6:13" x14ac:dyDescent="0.3">
      <c r="F174" s="48">
        <v>42309</v>
      </c>
      <c r="G174" s="57">
        <f t="shared" si="2"/>
        <v>-10.398971352404775</v>
      </c>
      <c r="H174" s="49">
        <v>87.6</v>
      </c>
      <c r="I174" s="49">
        <v>86.4</v>
      </c>
      <c r="K174" s="58">
        <v>-4.8568033984102961</v>
      </c>
      <c r="L174" s="58"/>
      <c r="M174" s="58">
        <v>-4.8568033984102961</v>
      </c>
    </row>
    <row r="175" spans="6:13" x14ac:dyDescent="0.3">
      <c r="F175" s="48">
        <v>42339</v>
      </c>
      <c r="G175" s="57">
        <f t="shared" si="2"/>
        <v>-12.638154091161514</v>
      </c>
      <c r="H175" s="49">
        <v>77.2</v>
      </c>
      <c r="I175" s="49">
        <v>84.8</v>
      </c>
      <c r="K175" s="58">
        <v>-1.5508657566764175</v>
      </c>
      <c r="L175" s="58"/>
      <c r="M175" s="58">
        <v>-1.5508657566764175</v>
      </c>
    </row>
    <row r="176" spans="6:13" x14ac:dyDescent="0.3">
      <c r="F176" s="48">
        <v>42370</v>
      </c>
      <c r="G176" s="57">
        <f t="shared" si="2"/>
        <v>-1.1726518740319207</v>
      </c>
      <c r="H176" s="49">
        <v>76.3</v>
      </c>
      <c r="I176" s="49">
        <v>86.1</v>
      </c>
      <c r="K176" s="58">
        <v>-0.6123341068156114</v>
      </c>
      <c r="L176" s="58"/>
      <c r="M176" s="58">
        <v>-0.6123341068156114</v>
      </c>
    </row>
    <row r="177" spans="6:13" x14ac:dyDescent="0.3">
      <c r="F177" s="48">
        <v>42401</v>
      </c>
      <c r="G177" s="57">
        <f t="shared" si="2"/>
        <v>-0.65746456420853572</v>
      </c>
      <c r="H177" s="49">
        <v>75.8</v>
      </c>
      <c r="I177" s="49">
        <v>84.8</v>
      </c>
      <c r="K177" s="58">
        <v>2.4255947644236873</v>
      </c>
      <c r="L177" s="58"/>
      <c r="M177" s="58">
        <v>2.4255947644236873</v>
      </c>
    </row>
    <row r="178" spans="6:13" x14ac:dyDescent="0.3">
      <c r="F178" s="48">
        <v>42430</v>
      </c>
      <c r="G178" s="57">
        <f t="shared" si="2"/>
        <v>9.9140684847103628</v>
      </c>
      <c r="H178" s="49">
        <v>83.7</v>
      </c>
      <c r="I178" s="49">
        <v>85.6</v>
      </c>
      <c r="K178" s="58">
        <v>-0.33997491993814677</v>
      </c>
      <c r="L178" s="58"/>
      <c r="M178" s="58">
        <v>-0.33997491993814677</v>
      </c>
    </row>
    <row r="179" spans="6:13" x14ac:dyDescent="0.3">
      <c r="F179" s="48">
        <v>42461</v>
      </c>
      <c r="G179" s="57">
        <f t="shared" si="2"/>
        <v>-0.8398369698831718</v>
      </c>
      <c r="H179" s="49">
        <v>83</v>
      </c>
      <c r="I179" s="49">
        <v>85.4</v>
      </c>
      <c r="K179" s="58">
        <v>3.2262739620532974</v>
      </c>
      <c r="L179" s="58"/>
      <c r="M179" s="58">
        <v>3.2262739620532974</v>
      </c>
    </row>
    <row r="180" spans="6:13" x14ac:dyDescent="0.3">
      <c r="F180" s="48">
        <v>42491</v>
      </c>
      <c r="G180" s="57">
        <f t="shared" si="2"/>
        <v>3.8988990292784345</v>
      </c>
      <c r="H180" s="49">
        <v>86.3</v>
      </c>
      <c r="I180" s="49">
        <v>85.8</v>
      </c>
      <c r="K180" s="58">
        <v>-2.6199370695031496</v>
      </c>
      <c r="L180" s="58"/>
      <c r="M180" s="58">
        <v>-2.6199370695031496</v>
      </c>
    </row>
    <row r="181" spans="6:13" x14ac:dyDescent="0.3">
      <c r="F181" s="48">
        <v>42522</v>
      </c>
      <c r="G181" s="57">
        <f t="shared" si="2"/>
        <v>1.6092301288755131</v>
      </c>
      <c r="H181" s="49">
        <v>87.7</v>
      </c>
      <c r="I181" s="49">
        <v>84.8</v>
      </c>
      <c r="K181" s="58">
        <v>2.8516238524809285</v>
      </c>
      <c r="L181" s="58"/>
      <c r="M181" s="58">
        <v>2.8516238524809285</v>
      </c>
    </row>
    <row r="182" spans="6:13" x14ac:dyDescent="0.3">
      <c r="F182" s="48">
        <v>42552</v>
      </c>
      <c r="G182" s="57">
        <f t="shared" si="2"/>
        <v>2.1433420602747244</v>
      </c>
      <c r="H182" s="49">
        <v>89.6</v>
      </c>
      <c r="I182" s="49">
        <v>85.5</v>
      </c>
      <c r="K182" s="58">
        <v>-3.0867799199543686</v>
      </c>
      <c r="L182" s="58"/>
      <c r="M182" s="58">
        <v>-3.0867799199543686</v>
      </c>
    </row>
    <row r="183" spans="6:13" x14ac:dyDescent="0.3">
      <c r="F183" s="48">
        <v>42583</v>
      </c>
      <c r="G183" s="57">
        <f t="shared" si="2"/>
        <v>3.7244173172371178</v>
      </c>
      <c r="H183" s="49">
        <v>93</v>
      </c>
      <c r="I183" s="49">
        <v>83.5</v>
      </c>
      <c r="K183" s="58">
        <v>0.92061860159462494</v>
      </c>
      <c r="L183" s="58"/>
      <c r="M183" s="58">
        <v>0.92061860159462494</v>
      </c>
    </row>
    <row r="184" spans="6:13" x14ac:dyDescent="0.3">
      <c r="F184" s="48">
        <v>42614</v>
      </c>
      <c r="G184" s="57">
        <f t="shared" si="2"/>
        <v>-2.504213603216495</v>
      </c>
      <c r="H184" s="49">
        <v>90.7</v>
      </c>
      <c r="I184" s="49">
        <v>84.4</v>
      </c>
      <c r="K184" s="58">
        <v>0.32099743556675397</v>
      </c>
      <c r="L184" s="58"/>
      <c r="M184" s="58">
        <v>0.32099743556675397</v>
      </c>
    </row>
    <row r="185" spans="6:13" x14ac:dyDescent="0.3">
      <c r="F185" s="48">
        <v>42644</v>
      </c>
      <c r="G185" s="57">
        <f t="shared" si="2"/>
        <v>-0.55279300525129427</v>
      </c>
      <c r="H185" s="49">
        <v>90.2</v>
      </c>
      <c r="I185" s="49">
        <v>83.3</v>
      </c>
      <c r="K185" s="58">
        <v>-4.1245259962420384</v>
      </c>
      <c r="L185" s="58"/>
      <c r="M185" s="58">
        <v>-4.1245259962420384</v>
      </c>
    </row>
    <row r="186" spans="6:13" x14ac:dyDescent="0.3">
      <c r="F186" s="48">
        <v>42675</v>
      </c>
      <c r="G186" s="57">
        <f t="shared" si="2"/>
        <v>-4.1885013130744326</v>
      </c>
      <c r="H186" s="49">
        <v>86.5</v>
      </c>
      <c r="I186" s="49">
        <v>84</v>
      </c>
      <c r="K186" s="58">
        <v>1.3536666409200464</v>
      </c>
      <c r="L186" s="58"/>
      <c r="M186" s="58">
        <v>1.3536666409200464</v>
      </c>
    </row>
    <row r="187" spans="6:13" x14ac:dyDescent="0.3">
      <c r="F187" s="48">
        <v>42705</v>
      </c>
      <c r="G187" s="57">
        <f t="shared" si="2"/>
        <v>-11.374495690710315</v>
      </c>
      <c r="H187" s="49">
        <v>77.2</v>
      </c>
      <c r="I187" s="49">
        <v>85.5</v>
      </c>
      <c r="K187" s="58">
        <v>-0.28720735622521865</v>
      </c>
      <c r="L187" s="58"/>
      <c r="M187" s="58">
        <v>-0.28720735622521865</v>
      </c>
    </row>
    <row r="188" spans="6:13" x14ac:dyDescent="0.3">
      <c r="F188" s="48">
        <v>42736</v>
      </c>
      <c r="G188" s="57">
        <f t="shared" si="2"/>
        <v>0.90264958459721245</v>
      </c>
      <c r="H188" s="49">
        <v>77.900000000000006</v>
      </c>
      <c r="I188" s="49">
        <v>86.4</v>
      </c>
      <c r="K188" s="58">
        <v>1.4629673518135218</v>
      </c>
      <c r="L188" s="58"/>
      <c r="M188" s="58">
        <v>1.4629673518135218</v>
      </c>
    </row>
    <row r="189" spans="6:13" x14ac:dyDescent="0.3">
      <c r="F189" s="48">
        <v>42767</v>
      </c>
      <c r="G189" s="57">
        <f t="shared" si="2"/>
        <v>-2.6009268475118326</v>
      </c>
      <c r="H189" s="49">
        <v>75.900000000000006</v>
      </c>
      <c r="I189" s="49">
        <v>87.4</v>
      </c>
      <c r="K189" s="58">
        <v>0.4821324811203902</v>
      </c>
      <c r="L189" s="58"/>
      <c r="M189" s="58">
        <v>0.4821324811203902</v>
      </c>
    </row>
    <row r="190" spans="6:13" x14ac:dyDescent="0.3">
      <c r="F190" s="48">
        <v>42795</v>
      </c>
      <c r="G190" s="57">
        <f t="shared" si="2"/>
        <v>11.792941639294002</v>
      </c>
      <c r="H190" s="49">
        <v>85.4</v>
      </c>
      <c r="I190" s="49">
        <v>85.6</v>
      </c>
      <c r="K190" s="58">
        <v>1.538898234645492</v>
      </c>
      <c r="L190" s="58"/>
      <c r="M190" s="58">
        <v>1.538898234645492</v>
      </c>
    </row>
    <row r="191" spans="6:13" x14ac:dyDescent="0.3">
      <c r="F191" s="48">
        <v>42826</v>
      </c>
      <c r="G191" s="57">
        <f t="shared" si="2"/>
        <v>-7.4107972153721962</v>
      </c>
      <c r="H191" s="49">
        <v>79.3</v>
      </c>
      <c r="I191" s="49">
        <v>85.9</v>
      </c>
      <c r="K191" s="58">
        <v>-3.3446862834357267</v>
      </c>
      <c r="L191" s="58"/>
      <c r="M191" s="58">
        <v>-3.3446862834357267</v>
      </c>
    </row>
    <row r="192" spans="6:13" x14ac:dyDescent="0.3">
      <c r="F192" s="48">
        <v>42856</v>
      </c>
      <c r="G192" s="57">
        <f t="shared" si="2"/>
        <v>12.768203597348998</v>
      </c>
      <c r="H192" s="49">
        <v>90.1</v>
      </c>
      <c r="I192" s="49">
        <v>86.2</v>
      </c>
      <c r="K192" s="58">
        <v>6.2493674985674144</v>
      </c>
      <c r="L192" s="58"/>
      <c r="M192" s="58">
        <v>6.2493674985674144</v>
      </c>
    </row>
    <row r="193" spans="6:13" x14ac:dyDescent="0.3">
      <c r="F193" s="48">
        <v>42887</v>
      </c>
      <c r="G193" s="57">
        <f t="shared" si="2"/>
        <v>-1.9048194970694363</v>
      </c>
      <c r="H193" s="49">
        <v>88.4</v>
      </c>
      <c r="I193" s="49">
        <v>87</v>
      </c>
      <c r="K193" s="58">
        <v>-0.66242577346402109</v>
      </c>
      <c r="L193" s="58"/>
      <c r="M193" s="58">
        <v>-0.66242577346402109</v>
      </c>
    </row>
    <row r="194" spans="6:13" x14ac:dyDescent="0.3">
      <c r="F194" s="48">
        <v>42917</v>
      </c>
      <c r="G194" s="57">
        <f t="shared" si="2"/>
        <v>4.1002973617663265</v>
      </c>
      <c r="H194" s="49">
        <v>92.1</v>
      </c>
      <c r="I194" s="49">
        <v>87.3</v>
      </c>
      <c r="K194" s="58">
        <v>-1.1298246184627665</v>
      </c>
      <c r="L194" s="58"/>
      <c r="M194" s="58">
        <v>-1.1298246184627665</v>
      </c>
    </row>
    <row r="195" spans="6:13" x14ac:dyDescent="0.3">
      <c r="F195" s="48">
        <v>42948</v>
      </c>
      <c r="G195" s="57">
        <f t="shared" si="2"/>
        <v>4.8738459197987503</v>
      </c>
      <c r="H195" s="49">
        <v>96.7</v>
      </c>
      <c r="I195" s="49">
        <v>87</v>
      </c>
      <c r="K195" s="58">
        <v>2.0700472041562574</v>
      </c>
      <c r="L195" s="58"/>
      <c r="M195" s="58">
        <v>2.0700472041562574</v>
      </c>
    </row>
    <row r="196" spans="6:13" x14ac:dyDescent="0.3">
      <c r="F196" s="48">
        <v>42979</v>
      </c>
      <c r="G196" s="57">
        <f t="shared" si="2"/>
        <v>-3.901390930599276</v>
      </c>
      <c r="H196" s="49">
        <v>93</v>
      </c>
      <c r="I196" s="49">
        <v>87.4</v>
      </c>
      <c r="K196" s="58">
        <v>-1.076179891816027</v>
      </c>
      <c r="L196" s="58"/>
      <c r="M196" s="58">
        <v>-1.076179891816027</v>
      </c>
    </row>
    <row r="197" spans="6:13" x14ac:dyDescent="0.3">
      <c r="F197" s="48">
        <v>43009</v>
      </c>
      <c r="G197" s="57">
        <f t="shared" si="2"/>
        <v>2.2329476398088577</v>
      </c>
      <c r="H197" s="49">
        <v>95.1</v>
      </c>
      <c r="I197" s="49">
        <v>88</v>
      </c>
      <c r="K197" s="58">
        <v>-1.3387853511818868</v>
      </c>
      <c r="L197" s="58"/>
      <c r="M197" s="58">
        <v>-1.3387853511818868</v>
      </c>
    </row>
    <row r="198" spans="6:13" x14ac:dyDescent="0.3">
      <c r="F198" s="48">
        <v>43040</v>
      </c>
      <c r="G198" s="57">
        <f t="shared" si="2"/>
        <v>-4.8474756502411021</v>
      </c>
      <c r="H198" s="49">
        <v>90.6</v>
      </c>
      <c r="I198" s="49">
        <v>88.4</v>
      </c>
      <c r="K198" s="58">
        <v>0.69469230375337698</v>
      </c>
      <c r="L198" s="58"/>
      <c r="M198" s="58">
        <v>0.69469230375337698</v>
      </c>
    </row>
    <row r="199" spans="6:13" x14ac:dyDescent="0.3">
      <c r="F199" s="48">
        <v>43070</v>
      </c>
      <c r="G199" s="57">
        <f t="shared" si="2"/>
        <v>-11.200505837649487</v>
      </c>
      <c r="H199" s="49">
        <v>81</v>
      </c>
      <c r="I199" s="49">
        <v>91.3</v>
      </c>
      <c r="K199" s="58">
        <v>-0.11321750316439075</v>
      </c>
      <c r="L199" s="58"/>
      <c r="M199" s="58">
        <v>-0.11321750316439075</v>
      </c>
    </row>
    <row r="200" spans="6:13" x14ac:dyDescent="0.3">
      <c r="F200" s="48">
        <v>43101</v>
      </c>
      <c r="G200" s="57">
        <f t="shared" si="2"/>
        <v>1.5921953010585257</v>
      </c>
      <c r="H200" s="49">
        <v>82.3</v>
      </c>
      <c r="I200" s="49">
        <v>88.9</v>
      </c>
      <c r="K200" s="58">
        <v>2.152513068274835</v>
      </c>
      <c r="L200" s="58"/>
      <c r="M200" s="58">
        <v>2.152513068274835</v>
      </c>
    </row>
    <row r="201" spans="6:13" x14ac:dyDescent="0.3">
      <c r="F201" s="48">
        <v>43132</v>
      </c>
      <c r="G201" s="57">
        <f t="shared" si="2"/>
        <v>-6.2677152089647858</v>
      </c>
      <c r="H201" s="49">
        <v>77.3</v>
      </c>
      <c r="I201" s="49">
        <v>88.6</v>
      </c>
      <c r="K201" s="58">
        <v>-3.1846558803325631</v>
      </c>
      <c r="L201" s="58"/>
      <c r="M201" s="58">
        <v>-3.1846558803325631</v>
      </c>
    </row>
    <row r="202" spans="6:13" x14ac:dyDescent="0.3">
      <c r="F202" s="48">
        <v>43160</v>
      </c>
      <c r="G202" s="57">
        <f t="shared" ref="G202:G247" si="3">LN(H202/H201)*100</f>
        <v>10.897622207627112</v>
      </c>
      <c r="H202" s="49">
        <v>86.2</v>
      </c>
      <c r="I202" s="49">
        <v>89.7</v>
      </c>
      <c r="K202" s="58">
        <v>0.64357880297860248</v>
      </c>
      <c r="L202" s="58"/>
      <c r="M202" s="58">
        <v>0.64357880297860248</v>
      </c>
    </row>
    <row r="203" spans="6:13" x14ac:dyDescent="0.3">
      <c r="F203" s="48">
        <v>43191</v>
      </c>
      <c r="G203" s="57">
        <f t="shared" si="3"/>
        <v>0.34742362681862726</v>
      </c>
      <c r="H203" s="49">
        <v>86.5</v>
      </c>
      <c r="I203" s="49">
        <v>90.1</v>
      </c>
      <c r="K203" s="58">
        <v>4.4135345587550967</v>
      </c>
      <c r="L203" s="58"/>
      <c r="M203" s="58">
        <v>4.4135345587550967</v>
      </c>
    </row>
    <row r="204" spans="6:13" x14ac:dyDescent="0.3">
      <c r="F204" s="48">
        <v>43221</v>
      </c>
      <c r="G204" s="57">
        <f t="shared" si="3"/>
        <v>-2.4577012335922137</v>
      </c>
      <c r="H204" s="49">
        <v>84.4</v>
      </c>
      <c r="I204" s="49">
        <v>80.2</v>
      </c>
      <c r="K204" s="58">
        <v>-8.9765373323737983</v>
      </c>
      <c r="L204" s="58"/>
      <c r="M204" s="58">
        <v>-8.9765373323737983</v>
      </c>
    </row>
    <row r="205" spans="6:13" x14ac:dyDescent="0.3">
      <c r="F205" s="48">
        <v>43252</v>
      </c>
      <c r="G205" s="57">
        <f t="shared" si="3"/>
        <v>7.6390402664001016</v>
      </c>
      <c r="H205" s="49">
        <v>91.1</v>
      </c>
      <c r="I205" s="49">
        <v>90.3</v>
      </c>
      <c r="K205" s="58">
        <v>8.881433990005517</v>
      </c>
      <c r="L205" s="58"/>
      <c r="M205" s="58">
        <v>8.881433990005517</v>
      </c>
    </row>
    <row r="206" spans="6:13" x14ac:dyDescent="0.3">
      <c r="F206" s="48">
        <v>43282</v>
      </c>
      <c r="G206" s="57">
        <f t="shared" si="3"/>
        <v>5.0304880710902253</v>
      </c>
      <c r="H206" s="49">
        <v>95.8</v>
      </c>
      <c r="I206" s="49">
        <v>90.1</v>
      </c>
      <c r="K206" s="58">
        <v>-0.19963390913886772</v>
      </c>
      <c r="L206" s="58"/>
      <c r="M206" s="58">
        <v>-0.19963390913886772</v>
      </c>
    </row>
    <row r="207" spans="6:13" x14ac:dyDescent="0.3">
      <c r="F207" s="48">
        <v>43313</v>
      </c>
      <c r="G207" s="57">
        <f t="shared" si="3"/>
        <v>2.4743530383605368</v>
      </c>
      <c r="H207" s="49">
        <v>98.2</v>
      </c>
      <c r="I207" s="49">
        <v>88.9</v>
      </c>
      <c r="K207" s="58">
        <v>-0.32944567728195606</v>
      </c>
      <c r="L207" s="58"/>
      <c r="M207" s="58">
        <v>-0.32944567728195606</v>
      </c>
    </row>
    <row r="208" spans="6:13" x14ac:dyDescent="0.3">
      <c r="F208" s="48">
        <v>43344</v>
      </c>
      <c r="G208" s="57">
        <f t="shared" si="3"/>
        <v>-7.9448858239329327</v>
      </c>
      <c r="H208" s="49">
        <v>90.7</v>
      </c>
      <c r="I208" s="49">
        <v>86.5</v>
      </c>
      <c r="K208" s="58">
        <v>-5.1196747851496838</v>
      </c>
      <c r="L208" s="58"/>
      <c r="M208" s="58">
        <v>-5.1196747851496838</v>
      </c>
    </row>
    <row r="209" spans="6:13" x14ac:dyDescent="0.3">
      <c r="F209" s="48">
        <v>43374</v>
      </c>
      <c r="G209" s="57">
        <f t="shared" si="3"/>
        <v>5.4705327855723951</v>
      </c>
      <c r="H209" s="49">
        <v>95.8</v>
      </c>
      <c r="I209" s="49">
        <v>87.5</v>
      </c>
      <c r="K209" s="58">
        <v>1.8987997945816506</v>
      </c>
      <c r="L209" s="58"/>
      <c r="M209" s="58">
        <v>1.8987997945816506</v>
      </c>
    </row>
    <row r="210" spans="6:13" x14ac:dyDescent="0.3">
      <c r="F210" s="48">
        <v>43405</v>
      </c>
      <c r="G210" s="57">
        <f t="shared" si="3"/>
        <v>-6.8024059696005086</v>
      </c>
      <c r="H210" s="49">
        <v>89.5</v>
      </c>
      <c r="I210" s="49">
        <v>87.5</v>
      </c>
      <c r="K210" s="58">
        <v>-1.2602380156060295</v>
      </c>
      <c r="L210" s="58"/>
      <c r="M210" s="58">
        <v>-1.2602380156060295</v>
      </c>
    </row>
    <row r="211" spans="6:13" x14ac:dyDescent="0.3">
      <c r="F211" s="48">
        <v>43435</v>
      </c>
      <c r="G211" s="57">
        <f t="shared" si="3"/>
        <v>-13.752979859121798</v>
      </c>
      <c r="H211" s="49">
        <v>78</v>
      </c>
      <c r="I211" s="49">
        <v>87.8</v>
      </c>
      <c r="K211" s="58">
        <v>-2.665691524636701</v>
      </c>
      <c r="L211" s="58"/>
      <c r="M211" s="58">
        <v>-2.665691524636701</v>
      </c>
    </row>
    <row r="212" spans="6:13" x14ac:dyDescent="0.3">
      <c r="F212" s="48">
        <v>43466</v>
      </c>
      <c r="G212" s="57">
        <f t="shared" si="3"/>
        <v>3.402974858631147</v>
      </c>
      <c r="H212" s="49">
        <v>80.7</v>
      </c>
      <c r="I212" s="49">
        <v>86.9</v>
      </c>
      <c r="K212" s="58">
        <v>3.9632926258474566</v>
      </c>
      <c r="L212" s="58"/>
      <c r="M212" s="58">
        <v>3.9632926258474566</v>
      </c>
    </row>
    <row r="213" spans="6:13" x14ac:dyDescent="0.3">
      <c r="F213" s="48">
        <v>43497</v>
      </c>
      <c r="G213" s="57">
        <f t="shared" si="3"/>
        <v>-2.0025700502295027</v>
      </c>
      <c r="H213" s="49">
        <v>79.099999999999994</v>
      </c>
      <c r="I213" s="49">
        <v>87.4</v>
      </c>
      <c r="K213" s="58">
        <v>1.08048927840272</v>
      </c>
      <c r="L213" s="58"/>
      <c r="M213" s="58">
        <v>1.08048927840272</v>
      </c>
    </row>
    <row r="214" spans="6:13" x14ac:dyDescent="0.3">
      <c r="F214" s="48">
        <v>43525</v>
      </c>
      <c r="G214" s="57">
        <f t="shared" si="3"/>
        <v>2.3736279898830737</v>
      </c>
      <c r="H214" s="49">
        <v>81</v>
      </c>
      <c r="I214" s="49">
        <v>87.2</v>
      </c>
      <c r="K214" s="58">
        <v>-7.8804154147654355</v>
      </c>
      <c r="L214" s="58"/>
      <c r="M214" s="58">
        <v>-7.8804154147654355</v>
      </c>
    </row>
    <row r="215" spans="6:13" x14ac:dyDescent="0.3">
      <c r="F215" s="48">
        <v>43556</v>
      </c>
      <c r="G215" s="57">
        <f t="shared" si="3"/>
        <v>2.799939450035819</v>
      </c>
      <c r="H215" s="49">
        <v>83.3</v>
      </c>
      <c r="I215" s="49">
        <v>87.5</v>
      </c>
      <c r="K215" s="58">
        <v>6.866050381972288</v>
      </c>
      <c r="L215" s="58"/>
      <c r="M215" s="58">
        <v>6.866050381972288</v>
      </c>
    </row>
    <row r="216" spans="6:13" x14ac:dyDescent="0.3">
      <c r="F216" s="48">
        <v>43586</v>
      </c>
      <c r="G216" s="57">
        <f t="shared" si="3"/>
        <v>8.8410957344053145</v>
      </c>
      <c r="H216" s="49">
        <v>91</v>
      </c>
      <c r="I216" s="49">
        <v>87.4</v>
      </c>
      <c r="K216" s="58">
        <v>2.3222596356237304</v>
      </c>
      <c r="L216" s="58"/>
      <c r="M216" s="58">
        <v>2.3222596356237304</v>
      </c>
    </row>
    <row r="217" spans="6:13" x14ac:dyDescent="0.3">
      <c r="F217" s="48">
        <v>43617</v>
      </c>
      <c r="G217" s="57">
        <f t="shared" si="3"/>
        <v>-5.8840500022933462</v>
      </c>
      <c r="H217" s="49">
        <v>85.8</v>
      </c>
      <c r="I217" s="49">
        <v>86.6</v>
      </c>
      <c r="K217" s="58">
        <v>-4.6416562786879307</v>
      </c>
      <c r="L217" s="58"/>
      <c r="M217" s="58">
        <v>-4.6416562786879307</v>
      </c>
    </row>
    <row r="218" spans="6:13" x14ac:dyDescent="0.3">
      <c r="F218" s="48">
        <v>43647</v>
      </c>
      <c r="G218" s="57">
        <f t="shared" si="3"/>
        <v>8.4872338740880444</v>
      </c>
      <c r="H218" s="49">
        <v>93.4</v>
      </c>
      <c r="I218" s="49">
        <v>86</v>
      </c>
      <c r="K218" s="58">
        <v>3.2571118938589514</v>
      </c>
      <c r="L218" s="58"/>
      <c r="M218" s="58">
        <v>3.2571118938589514</v>
      </c>
    </row>
    <row r="219" spans="6:13" x14ac:dyDescent="0.3">
      <c r="F219" s="48">
        <v>43678</v>
      </c>
      <c r="G219" s="57">
        <f t="shared" si="3"/>
        <v>2.9538012436863874</v>
      </c>
      <c r="H219" s="49">
        <v>96.2</v>
      </c>
      <c r="I219" s="49">
        <v>87</v>
      </c>
      <c r="K219" s="58">
        <v>0.15000252804389455</v>
      </c>
      <c r="L219" s="58"/>
      <c r="M219" s="58">
        <v>0.15000252804389455</v>
      </c>
    </row>
    <row r="220" spans="6:13" x14ac:dyDescent="0.3">
      <c r="F220" s="48">
        <v>43709</v>
      </c>
      <c r="G220" s="57">
        <f t="shared" si="3"/>
        <v>-4.6817060045216028</v>
      </c>
      <c r="H220" s="49">
        <v>91.8</v>
      </c>
      <c r="I220" s="49">
        <v>86.9</v>
      </c>
      <c r="K220" s="58">
        <v>-1.8564949657383538</v>
      </c>
      <c r="L220" s="58"/>
      <c r="M220" s="58">
        <v>-1.8564949657383538</v>
      </c>
    </row>
    <row r="221" spans="6:13" x14ac:dyDescent="0.3">
      <c r="F221" s="48">
        <v>43739</v>
      </c>
      <c r="G221" s="57">
        <f t="shared" si="3"/>
        <v>5.5098680876938131</v>
      </c>
      <c r="H221" s="49">
        <v>97</v>
      </c>
      <c r="I221" s="49">
        <v>88.6</v>
      </c>
      <c r="K221" s="58">
        <v>1.9381350967030686</v>
      </c>
      <c r="L221" s="58"/>
      <c r="M221" s="58">
        <v>1.9381350967030686</v>
      </c>
    </row>
    <row r="222" spans="6:13" x14ac:dyDescent="0.3">
      <c r="F222" s="48">
        <v>43770</v>
      </c>
      <c r="G222" s="57">
        <f t="shared" si="3"/>
        <v>-9.7374164025176366</v>
      </c>
      <c r="H222" s="49">
        <v>88</v>
      </c>
      <c r="I222" s="49">
        <v>86.8</v>
      </c>
      <c r="K222" s="58">
        <v>-4.1952484485231576</v>
      </c>
      <c r="L222" s="58"/>
      <c r="M222" s="58">
        <v>-4.1952484485231576</v>
      </c>
    </row>
    <row r="223" spans="6:13" x14ac:dyDescent="0.3">
      <c r="F223" s="48">
        <v>43800</v>
      </c>
      <c r="G223" s="57">
        <f t="shared" si="3"/>
        <v>-13.483093796660814</v>
      </c>
      <c r="H223" s="49">
        <v>76.900000000000006</v>
      </c>
      <c r="I223" s="49">
        <v>85.8</v>
      </c>
      <c r="K223" s="58">
        <v>-2.3958054621757174</v>
      </c>
      <c r="L223" s="58"/>
      <c r="M223" s="58">
        <v>-2.3958054621757174</v>
      </c>
    </row>
    <row r="224" spans="6:13" x14ac:dyDescent="0.3">
      <c r="F224" s="48">
        <v>43831</v>
      </c>
      <c r="G224" s="57">
        <f t="shared" si="3"/>
        <v>3.9520758162283198</v>
      </c>
      <c r="H224" s="49">
        <v>80</v>
      </c>
      <c r="I224" s="49">
        <v>86.6</v>
      </c>
      <c r="K224" s="58">
        <v>4.5123935834446289</v>
      </c>
      <c r="L224" s="58"/>
      <c r="M224" s="58">
        <v>4.5123935834446289</v>
      </c>
    </row>
    <row r="225" spans="6:13" x14ac:dyDescent="0.3">
      <c r="F225" s="48">
        <v>43862</v>
      </c>
      <c r="G225" s="57">
        <f t="shared" si="3"/>
        <v>-1.3845406822052981</v>
      </c>
      <c r="H225" s="49">
        <v>78.900000000000006</v>
      </c>
      <c r="I225" s="49">
        <v>87.5</v>
      </c>
      <c r="K225" s="58">
        <v>1.6985186464269246</v>
      </c>
      <c r="L225" s="58"/>
      <c r="M225" s="58">
        <v>1.6985186464269246</v>
      </c>
    </row>
    <row r="226" spans="6:13" x14ac:dyDescent="0.3">
      <c r="F226" s="48">
        <v>43891</v>
      </c>
      <c r="G226" s="57">
        <f t="shared" si="3"/>
        <v>-1.2755274975126014</v>
      </c>
      <c r="H226" s="49">
        <v>77.900000000000006</v>
      </c>
      <c r="I226" s="49">
        <v>80.7</v>
      </c>
      <c r="K226" s="58">
        <v>-11.529570902161112</v>
      </c>
      <c r="L226" s="58"/>
      <c r="M226" s="58">
        <v>-11.529570902161112</v>
      </c>
    </row>
    <row r="227" spans="6:13" x14ac:dyDescent="0.3">
      <c r="F227" s="48">
        <v>43922</v>
      </c>
      <c r="G227" s="57">
        <f t="shared" si="3"/>
        <v>-25.609384914356298</v>
      </c>
      <c r="H227" s="49">
        <v>60.3</v>
      </c>
      <c r="I227" s="49">
        <v>64.900000000000006</v>
      </c>
      <c r="K227" s="58">
        <v>-21.54327398241983</v>
      </c>
      <c r="L227" s="58"/>
      <c r="M227" s="58">
        <v>-21.54327398241983</v>
      </c>
    </row>
    <row r="228" spans="6:13" x14ac:dyDescent="0.3">
      <c r="F228" s="48">
        <v>43952</v>
      </c>
      <c r="G228" s="57">
        <f t="shared" si="3"/>
        <v>16.616071468479046</v>
      </c>
      <c r="H228" s="49">
        <v>71.2</v>
      </c>
      <c r="I228" s="49">
        <v>70.099999999999994</v>
      </c>
      <c r="K228" s="58">
        <v>10.097235369697461</v>
      </c>
      <c r="L228" s="58"/>
      <c r="M228" s="58">
        <v>10.097235369697461</v>
      </c>
    </row>
    <row r="229" spans="6:13" x14ac:dyDescent="0.3">
      <c r="F229" s="48">
        <v>43983</v>
      </c>
      <c r="G229" s="57">
        <f t="shared" si="3"/>
        <v>9.6331108938432113</v>
      </c>
      <c r="H229" s="49">
        <v>78.400000000000006</v>
      </c>
      <c r="I229" s="49">
        <v>76.8</v>
      </c>
      <c r="K229" s="58">
        <v>10.875504617448627</v>
      </c>
      <c r="L229" s="58"/>
      <c r="M229" s="58">
        <v>10.875504617448627</v>
      </c>
    </row>
    <row r="230" spans="6:13" x14ac:dyDescent="0.3">
      <c r="F230" s="48">
        <v>44013</v>
      </c>
      <c r="G230" s="57">
        <f t="shared" si="3"/>
        <v>14.903557916048776</v>
      </c>
      <c r="H230" s="49">
        <v>91</v>
      </c>
      <c r="I230" s="49">
        <v>83.9</v>
      </c>
      <c r="K230" s="58">
        <v>9.6734359358196826</v>
      </c>
      <c r="L230" s="58"/>
      <c r="M230" s="58">
        <v>9.6734359358196826</v>
      </c>
    </row>
    <row r="231" spans="6:13" x14ac:dyDescent="0.3">
      <c r="F231" s="48">
        <v>44044</v>
      </c>
      <c r="G231" s="57">
        <f t="shared" si="3"/>
        <v>3.1370879697367284</v>
      </c>
      <c r="H231" s="49">
        <v>93.9</v>
      </c>
      <c r="I231" s="49">
        <v>86.3</v>
      </c>
      <c r="K231" s="58">
        <v>0.3332892540942356</v>
      </c>
      <c r="L231" s="58"/>
      <c r="M231" s="58">
        <v>0.3332892540942356</v>
      </c>
    </row>
    <row r="232" spans="6:13" x14ac:dyDescent="0.3">
      <c r="F232" s="48">
        <v>44075</v>
      </c>
      <c r="G232" s="57">
        <f t="shared" si="3"/>
        <v>1.5848192240023713</v>
      </c>
      <c r="H232" s="49">
        <v>95.4</v>
      </c>
      <c r="I232" s="49">
        <v>88.6</v>
      </c>
      <c r="K232" s="58">
        <v>4.4100302627856198</v>
      </c>
      <c r="L232" s="58"/>
      <c r="M232" s="58">
        <v>4.4100302627856198</v>
      </c>
    </row>
    <row r="233" spans="6:13" x14ac:dyDescent="0.3">
      <c r="F233" s="48">
        <v>44105</v>
      </c>
      <c r="G233" s="57">
        <f t="shared" si="3"/>
        <v>1.9720410737718495</v>
      </c>
      <c r="H233" s="49">
        <v>97.3</v>
      </c>
      <c r="I233" s="49">
        <v>89.6</v>
      </c>
      <c r="K233" s="58">
        <v>-1.599691917218895</v>
      </c>
      <c r="L233" s="58"/>
      <c r="M233" s="58">
        <v>-1.599691917218895</v>
      </c>
    </row>
    <row r="234" spans="6:13" x14ac:dyDescent="0.3">
      <c r="F234" s="48">
        <v>44136</v>
      </c>
      <c r="G234" s="57">
        <f t="shared" si="3"/>
        <v>-7.5769562123381347</v>
      </c>
      <c r="H234" s="49">
        <v>90.2</v>
      </c>
      <c r="I234" s="49">
        <v>90</v>
      </c>
      <c r="K234" s="58">
        <v>-2.0347882583436556</v>
      </c>
      <c r="L234" s="58"/>
      <c r="M234" s="58">
        <v>-2.0347882583436556</v>
      </c>
    </row>
    <row r="235" spans="6:13" x14ac:dyDescent="0.3">
      <c r="F235" s="48">
        <v>44166</v>
      </c>
      <c r="G235" s="57">
        <f t="shared" si="3"/>
        <v>-7.9580877895781015</v>
      </c>
      <c r="H235" s="49">
        <v>83.3</v>
      </c>
      <c r="I235" s="49">
        <v>90.3</v>
      </c>
      <c r="K235" s="58">
        <v>3.1292005449069951</v>
      </c>
      <c r="L235" s="58"/>
      <c r="M235" s="58">
        <v>3.1292005449069951</v>
      </c>
    </row>
    <row r="236" spans="6:13" x14ac:dyDescent="0.3">
      <c r="F236" s="48">
        <v>44197</v>
      </c>
      <c r="G236" s="57">
        <f t="shared" si="3"/>
        <v>-1.6949558313773205</v>
      </c>
      <c r="H236" s="49">
        <v>81.900000000000006</v>
      </c>
      <c r="I236" s="49">
        <v>90.7</v>
      </c>
      <c r="K236" s="58">
        <v>-1.1346380641610112</v>
      </c>
      <c r="L236" s="58"/>
      <c r="M236" s="58">
        <v>-1.1346380641610112</v>
      </c>
    </row>
    <row r="237" spans="6:13" x14ac:dyDescent="0.3">
      <c r="F237" s="48">
        <v>44228</v>
      </c>
      <c r="G237" s="57">
        <f t="shared" si="3"/>
        <v>-3.4786116085415655</v>
      </c>
      <c r="H237" s="49">
        <v>79.099999999999994</v>
      </c>
      <c r="I237" s="49">
        <v>89.7</v>
      </c>
      <c r="K237" s="58">
        <v>-0.39555227990934272</v>
      </c>
      <c r="L237" s="58"/>
      <c r="M237" s="58">
        <v>-0.39555227990934272</v>
      </c>
    </row>
    <row r="238" spans="6:13" x14ac:dyDescent="0.3">
      <c r="F238" s="48">
        <v>44256</v>
      </c>
      <c r="G238" s="57">
        <f t="shared" si="3"/>
        <v>8.4796536660076853</v>
      </c>
      <c r="H238" s="49">
        <v>86.1</v>
      </c>
      <c r="I238" s="49">
        <v>87.5</v>
      </c>
      <c r="K238" s="58">
        <v>-1.7743897386408243</v>
      </c>
      <c r="L238" s="58"/>
      <c r="M238" s="58">
        <v>-1.7743897386408243</v>
      </c>
    </row>
    <row r="239" spans="6:13" x14ac:dyDescent="0.3">
      <c r="F239" s="48">
        <v>44287</v>
      </c>
      <c r="G239" s="57">
        <f t="shared" si="3"/>
        <v>-5.7363394879920193</v>
      </c>
      <c r="H239" s="49">
        <v>81.3</v>
      </c>
      <c r="I239" s="49">
        <v>86.1</v>
      </c>
      <c r="K239" s="58">
        <v>-1.6702285560555499</v>
      </c>
      <c r="L239" s="58"/>
      <c r="M239" s="58">
        <v>-1.6702285560555499</v>
      </c>
    </row>
    <row r="240" spans="6:13" x14ac:dyDescent="0.3">
      <c r="F240" s="48">
        <v>44317</v>
      </c>
      <c r="G240" s="57">
        <f t="shared" si="3"/>
        <v>8.3725953089832981</v>
      </c>
      <c r="H240" s="49">
        <v>88.4</v>
      </c>
      <c r="I240" s="49">
        <v>87.1</v>
      </c>
      <c r="K240" s="58">
        <v>1.853759210201714</v>
      </c>
      <c r="L240" s="58"/>
      <c r="M240" s="58">
        <v>1.853759210201714</v>
      </c>
    </row>
    <row r="241" spans="6:13" x14ac:dyDescent="0.3">
      <c r="F241" s="48">
        <v>44348</v>
      </c>
      <c r="G241" s="57">
        <f t="shared" si="3"/>
        <v>-0.56721649524664175</v>
      </c>
      <c r="H241" s="49">
        <v>87.9</v>
      </c>
      <c r="I241" s="49">
        <v>86.7</v>
      </c>
      <c r="K241" s="58">
        <v>0.67517722835877347</v>
      </c>
      <c r="L241" s="58"/>
      <c r="M241" s="58">
        <v>0.67517722835877347</v>
      </c>
    </row>
    <row r="242" spans="6:13" x14ac:dyDescent="0.3">
      <c r="F242" s="48">
        <v>44378</v>
      </c>
      <c r="G242" s="57">
        <f t="shared" si="3"/>
        <v>4.7760325871416818</v>
      </c>
      <c r="H242" s="49">
        <v>92.2</v>
      </c>
      <c r="I242" s="49">
        <v>85.4</v>
      </c>
      <c r="K242" s="58">
        <v>-0.45408939308741125</v>
      </c>
      <c r="L242" s="58"/>
      <c r="M242" s="58">
        <v>-0.45408939308741125</v>
      </c>
    </row>
    <row r="243" spans="6:13" x14ac:dyDescent="0.3">
      <c r="F243" s="48">
        <v>44409</v>
      </c>
      <c r="G243" s="57">
        <f t="shared" si="3"/>
        <v>1.2931214672248785</v>
      </c>
      <c r="H243" s="49">
        <v>93.4</v>
      </c>
      <c r="I243" s="49">
        <v>85</v>
      </c>
      <c r="K243" s="58">
        <v>-1.5106772484176143</v>
      </c>
      <c r="L243" s="58"/>
      <c r="M243" s="58">
        <v>-1.5106772484176143</v>
      </c>
    </row>
    <row r="244" spans="6:13" x14ac:dyDescent="0.3">
      <c r="F244" s="48">
        <v>44440</v>
      </c>
      <c r="G244" s="57">
        <f t="shared" si="3"/>
        <v>-2.0552372953321347</v>
      </c>
      <c r="H244" s="49">
        <v>91.5</v>
      </c>
      <c r="I244" s="49">
        <v>84.6</v>
      </c>
      <c r="K244" s="58">
        <v>0.76997374345111425</v>
      </c>
      <c r="L244" s="58"/>
      <c r="M244" s="58">
        <v>0.76997374345111425</v>
      </c>
    </row>
    <row r="245" spans="6:13" x14ac:dyDescent="0.3">
      <c r="F245" s="48">
        <v>44470</v>
      </c>
      <c r="G245" s="57">
        <f t="shared" si="3"/>
        <v>-1.9868203216725173</v>
      </c>
      <c r="H245" s="49">
        <v>89.7</v>
      </c>
      <c r="I245" s="49">
        <v>84.1</v>
      </c>
      <c r="K245" s="58">
        <v>-5.5585533126632622</v>
      </c>
      <c r="L245" s="58"/>
      <c r="M245" s="58">
        <v>-5.5585533126632622</v>
      </c>
    </row>
    <row r="246" spans="6:13" x14ac:dyDescent="0.3">
      <c r="F246" s="48">
        <v>44501</v>
      </c>
      <c r="G246" s="57">
        <f t="shared" si="3"/>
        <v>-3.8641170975368224</v>
      </c>
      <c r="H246" s="49">
        <v>86.3</v>
      </c>
      <c r="I246" s="49">
        <v>84.1</v>
      </c>
      <c r="K246" s="58">
        <v>1.6780508564576566</v>
      </c>
      <c r="L246" s="58"/>
      <c r="M246" s="58">
        <v>1.6780508564576566</v>
      </c>
    </row>
    <row r="247" spans="6:13" x14ac:dyDescent="0.3">
      <c r="F247" s="48">
        <v>44531</v>
      </c>
      <c r="G247" s="57">
        <f t="shared" si="3"/>
        <v>-8.5853299269002026</v>
      </c>
      <c r="H247" s="49">
        <v>79.2</v>
      </c>
      <c r="I247" s="49">
        <v>86.5</v>
      </c>
      <c r="K247" s="58">
        <v>2.501958407584894</v>
      </c>
      <c r="L247" s="58"/>
      <c r="M247" s="58">
        <v>2.501958407584894</v>
      </c>
    </row>
    <row r="248" spans="6:13" x14ac:dyDescent="0.3">
      <c r="K248" s="28"/>
      <c r="M248" s="28"/>
    </row>
    <row r="249" spans="6:13" x14ac:dyDescent="0.3">
      <c r="K249" s="28"/>
      <c r="M249" s="28"/>
    </row>
    <row r="250" spans="6:13" x14ac:dyDescent="0.3">
      <c r="K250" s="28"/>
      <c r="M250" s="28"/>
    </row>
    <row r="251" spans="6:13" x14ac:dyDescent="0.3">
      <c r="K251" s="28"/>
      <c r="M251" s="28"/>
    </row>
    <row r="252" spans="6:13" x14ac:dyDescent="0.3">
      <c r="K252" s="28"/>
      <c r="M252" s="28"/>
    </row>
    <row r="253" spans="6:13" x14ac:dyDescent="0.3">
      <c r="K253" s="28"/>
      <c r="M253" s="28"/>
    </row>
    <row r="254" spans="6:13" x14ac:dyDescent="0.3">
      <c r="K254" s="28"/>
      <c r="M254" s="28"/>
    </row>
    <row r="255" spans="6:13" x14ac:dyDescent="0.3">
      <c r="K255" s="28"/>
      <c r="M255" s="28"/>
    </row>
    <row r="256" spans="6:13" x14ac:dyDescent="0.3">
      <c r="K256" s="28"/>
      <c r="M256" s="28"/>
    </row>
    <row r="257" spans="11:13" x14ac:dyDescent="0.3">
      <c r="K257" s="28"/>
      <c r="M257" s="28"/>
    </row>
    <row r="258" spans="11:13" x14ac:dyDescent="0.3">
      <c r="K258" s="28"/>
      <c r="M258" s="28"/>
    </row>
    <row r="259" spans="11:13" x14ac:dyDescent="0.3">
      <c r="K259" s="28"/>
      <c r="M259" s="28"/>
    </row>
    <row r="260" spans="11:13" x14ac:dyDescent="0.3">
      <c r="K260" s="28"/>
      <c r="M260" s="28"/>
    </row>
    <row r="261" spans="11:13" x14ac:dyDescent="0.3">
      <c r="K261" s="28"/>
      <c r="M261" s="28"/>
    </row>
    <row r="262" spans="11:13" x14ac:dyDescent="0.3">
      <c r="K262" s="28"/>
      <c r="M262" s="28"/>
    </row>
    <row r="263" spans="11:13" x14ac:dyDescent="0.3">
      <c r="K263" s="28"/>
      <c r="M263" s="28"/>
    </row>
    <row r="264" spans="11:13" x14ac:dyDescent="0.3">
      <c r="K264" s="28"/>
      <c r="M264" s="28"/>
    </row>
    <row r="265" spans="11:13" x14ac:dyDescent="0.3">
      <c r="K265" s="28"/>
      <c r="M265" s="28"/>
    </row>
    <row r="266" spans="11:13" x14ac:dyDescent="0.3">
      <c r="K266" s="28"/>
      <c r="M266" s="28"/>
    </row>
    <row r="267" spans="11:13" x14ac:dyDescent="0.3">
      <c r="K267" s="28"/>
      <c r="M267" s="28"/>
    </row>
    <row r="268" spans="11:13" x14ac:dyDescent="0.3">
      <c r="K268" s="28"/>
      <c r="M268" s="28"/>
    </row>
    <row r="269" spans="11:13" x14ac:dyDescent="0.3">
      <c r="K269" s="28"/>
      <c r="M269" s="28"/>
    </row>
    <row r="270" spans="11:13" x14ac:dyDescent="0.3">
      <c r="K270" s="28"/>
      <c r="M270" s="28"/>
    </row>
    <row r="271" spans="11:13" x14ac:dyDescent="0.3">
      <c r="K271" s="28"/>
      <c r="M271" s="28"/>
    </row>
    <row r="272" spans="11:13" x14ac:dyDescent="0.3">
      <c r="K272" s="28"/>
      <c r="M272" s="28"/>
    </row>
    <row r="273" spans="11:13" x14ac:dyDescent="0.3">
      <c r="K273" s="28"/>
      <c r="M273" s="28"/>
    </row>
    <row r="274" spans="11:13" x14ac:dyDescent="0.3">
      <c r="K274" s="28"/>
      <c r="M274" s="28"/>
    </row>
    <row r="275" spans="11:13" x14ac:dyDescent="0.3">
      <c r="K275" s="28"/>
      <c r="M275" s="28"/>
    </row>
    <row r="276" spans="11:13" x14ac:dyDescent="0.3">
      <c r="K276" s="28"/>
      <c r="M276" s="28"/>
    </row>
    <row r="277" spans="11:13" x14ac:dyDescent="0.3">
      <c r="K277" s="28"/>
      <c r="M277" s="28"/>
    </row>
    <row r="278" spans="11:13" x14ac:dyDescent="0.3">
      <c r="K278" s="28"/>
      <c r="M278" s="28"/>
    </row>
    <row r="279" spans="11:13" x14ac:dyDescent="0.3">
      <c r="K279" s="28"/>
      <c r="M279" s="28"/>
    </row>
    <row r="280" spans="11:13" x14ac:dyDescent="0.3">
      <c r="K280" s="28"/>
      <c r="M280" s="28"/>
    </row>
    <row r="281" spans="11:13" x14ac:dyDescent="0.3">
      <c r="K281" s="28"/>
      <c r="M281" s="28"/>
    </row>
    <row r="282" spans="11:13" x14ac:dyDescent="0.3">
      <c r="K282" s="28"/>
      <c r="M282" s="28"/>
    </row>
    <row r="283" spans="11:13" x14ac:dyDescent="0.3">
      <c r="K283" s="28"/>
      <c r="M283" s="28"/>
    </row>
    <row r="284" spans="11:13" x14ac:dyDescent="0.3">
      <c r="K284" s="28"/>
      <c r="M284" s="28"/>
    </row>
    <row r="285" spans="11:13" x14ac:dyDescent="0.3">
      <c r="K285" s="28"/>
      <c r="M285" s="28"/>
    </row>
    <row r="286" spans="11:13" x14ac:dyDescent="0.3">
      <c r="K286" s="28"/>
      <c r="M286" s="28"/>
    </row>
    <row r="287" spans="11:13" x14ac:dyDescent="0.3">
      <c r="K287" s="28"/>
      <c r="M287" s="28"/>
    </row>
    <row r="288" spans="11:13" x14ac:dyDescent="0.3">
      <c r="K288" s="28"/>
      <c r="M288" s="28"/>
    </row>
    <row r="289" spans="11:13" x14ac:dyDescent="0.3">
      <c r="K289" s="28"/>
      <c r="M289" s="28"/>
    </row>
    <row r="290" spans="11:13" x14ac:dyDescent="0.3">
      <c r="K290" s="28"/>
      <c r="M290" s="28"/>
    </row>
    <row r="291" spans="11:13" x14ac:dyDescent="0.3">
      <c r="K291" s="28"/>
      <c r="M291" s="28"/>
    </row>
    <row r="292" spans="11:13" x14ac:dyDescent="0.3">
      <c r="K292" s="28"/>
      <c r="M292" s="28"/>
    </row>
    <row r="293" spans="11:13" x14ac:dyDescent="0.3">
      <c r="K293" s="28"/>
      <c r="M293" s="28"/>
    </row>
    <row r="294" spans="11:13" x14ac:dyDescent="0.3">
      <c r="K294" s="28"/>
      <c r="M294" s="28"/>
    </row>
    <row r="295" spans="11:13" x14ac:dyDescent="0.3">
      <c r="K295" s="28"/>
      <c r="M295" s="28"/>
    </row>
    <row r="296" spans="11:13" x14ac:dyDescent="0.3">
      <c r="K296" s="28"/>
      <c r="M296" s="28"/>
    </row>
    <row r="297" spans="11:13" x14ac:dyDescent="0.3">
      <c r="K297" s="28"/>
      <c r="M297" s="28"/>
    </row>
  </sheetData>
  <mergeCells count="1">
    <mergeCell ref="D11:D12"/>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60F0-C835-440B-97C3-A053D654C59E}">
  <sheetPr codeName="Planilha13">
    <tabColor theme="9" tint="0.59999389629810485"/>
  </sheetPr>
  <dimension ref="A1:T58"/>
  <sheetViews>
    <sheetView showGridLines="0" workbookViewId="0"/>
  </sheetViews>
  <sheetFormatPr defaultColWidth="8.85546875" defaultRowHeight="18.75" x14ac:dyDescent="0.3"/>
  <cols>
    <col min="1" max="1" width="12.7109375" style="18" customWidth="1"/>
    <col min="2" max="2" width="24.85546875" bestFit="1" customWidth="1"/>
    <col min="4" max="4" width="4.5703125" customWidth="1"/>
    <col min="5" max="5" width="10.5703125" customWidth="1"/>
    <col min="6" max="6" width="10.140625" bestFit="1" customWidth="1"/>
    <col min="7" max="7" width="12.42578125" bestFit="1" customWidth="1"/>
    <col min="9" max="10" width="8.85546875" style="16"/>
    <col min="11" max="11" width="12.42578125" style="16" bestFit="1" customWidth="1"/>
    <col min="12" max="20" width="8.85546875" style="16"/>
    <col min="23" max="23" width="8.85546875" customWidth="1"/>
  </cols>
  <sheetData>
    <row r="1" spans="1:20" x14ac:dyDescent="0.3">
      <c r="A1" s="17" t="s">
        <v>172</v>
      </c>
      <c r="I1" s="15"/>
      <c r="J1" s="15"/>
      <c r="K1" s="15"/>
      <c r="L1" s="15"/>
      <c r="M1" s="15"/>
      <c r="N1" s="15"/>
      <c r="O1" s="15"/>
      <c r="P1" s="15"/>
      <c r="Q1" s="15"/>
      <c r="R1" s="15"/>
      <c r="S1" s="15"/>
      <c r="T1" s="15"/>
    </row>
    <row r="2" spans="1:20" x14ac:dyDescent="0.3">
      <c r="A2" s="18" t="s">
        <v>177</v>
      </c>
      <c r="I2" s="15"/>
      <c r="J2" s="15"/>
      <c r="K2" s="15"/>
      <c r="L2" s="15"/>
      <c r="M2" s="15"/>
      <c r="N2" s="15"/>
      <c r="O2" s="15"/>
      <c r="P2" s="15"/>
      <c r="Q2" s="15"/>
      <c r="R2" s="15"/>
      <c r="S2" s="15"/>
      <c r="T2" s="15"/>
    </row>
    <row r="4" spans="1:20" ht="15.75" x14ac:dyDescent="0.25">
      <c r="A4" s="2" t="s">
        <v>15</v>
      </c>
      <c r="B4" s="2" t="s">
        <v>16</v>
      </c>
    </row>
    <row r="5" spans="1:20" ht="47.25" x14ac:dyDescent="0.25">
      <c r="A5" s="24" t="s">
        <v>173</v>
      </c>
      <c r="B5" s="25" t="s">
        <v>175</v>
      </c>
    </row>
    <row r="6" spans="1:20" ht="78.75" x14ac:dyDescent="0.25">
      <c r="A6" s="24" t="s">
        <v>174</v>
      </c>
      <c r="B6" s="25" t="s">
        <v>178</v>
      </c>
    </row>
    <row r="7" spans="1:20" x14ac:dyDescent="0.3">
      <c r="E7" s="50" t="s">
        <v>171</v>
      </c>
      <c r="F7" s="53" t="s">
        <v>173</v>
      </c>
      <c r="G7" s="53" t="s">
        <v>176</v>
      </c>
    </row>
    <row r="8" spans="1:20" x14ac:dyDescent="0.3">
      <c r="E8" s="54">
        <v>35796</v>
      </c>
      <c r="F8" s="52">
        <f>MONTH(E8)</f>
        <v>1</v>
      </c>
      <c r="G8" s="52">
        <v>12</v>
      </c>
      <c r="I8" s="16" cm="1">
        <f t="array" ref="I8:S31">_xlfn.LAMBDA(_xlpm.categories,_xlop.exclude,
_xlfn.LET(
_xlpm.check, IF( _xlfn.XOR( ROWS(_xlpm.categories)&gt;1, COLUMNS(_xlpm.categories)&gt;1 ), TRUE, FALSE),
_xlpm.categories, IF(ROWS(_xlpm.categories)&gt;1, _xlpm.categories, TRANSPOSE(_xlpm.categories) ),
_xlpm.uniqueCategories, _xlfn._xlws.SORT( _xlfn.UNIQUE(_xlpm.categories) ),
_xlpm.nCategories, COUNTA(_xlpm.uniqueCategories),
_xlpm.matrix,
1 * ( REPMAT(_xlpm.categories,1,_xlpm.nCategories)=REPMAT( TRANSPOSE(_xlpm.uniqueCategories),ROWS(_xlpm.categories),1) ),
IF( _xlpm.check=FALSE, "# categories must be a 1-column or 1-row vector",
IF( OR( _xlfn.ISOMITTED(_xlpm.exclude), _xlpm.exclude = FALSE), _xlpm.matrix, SLICE(_xlpm.matrix, 0, 0, _xlfn._xlws.FILTER(_xlfn.SEQUENCE(1,_xlpm.nCategories), _xlfn.SEQUENCE(1,_xlpm.nCategories)&lt;&gt; (1*_xlpm.exclude) ), 0) )
) ) )($F$8:$F$31, $G$8)</f>
        <v>1</v>
      </c>
      <c r="J8" s="16">
        <v>0</v>
      </c>
      <c r="K8" s="16">
        <v>0</v>
      </c>
      <c r="L8" s="16">
        <v>0</v>
      </c>
      <c r="M8" s="16">
        <v>0</v>
      </c>
      <c r="N8" s="16">
        <v>0</v>
      </c>
      <c r="O8" s="16">
        <v>0</v>
      </c>
      <c r="P8" s="16">
        <v>0</v>
      </c>
      <c r="Q8" s="16">
        <v>0</v>
      </c>
      <c r="R8" s="16">
        <v>0</v>
      </c>
      <c r="S8" s="16">
        <v>0</v>
      </c>
    </row>
    <row r="9" spans="1:20" x14ac:dyDescent="0.3">
      <c r="E9" s="54">
        <v>35827</v>
      </c>
      <c r="F9" s="52">
        <f t="shared" ref="F9:F31" si="0">MONTH(E9)</f>
        <v>2</v>
      </c>
      <c r="I9" s="16">
        <v>0</v>
      </c>
      <c r="J9" s="16">
        <v>1</v>
      </c>
      <c r="K9" s="16">
        <v>0</v>
      </c>
      <c r="L9" s="16">
        <v>0</v>
      </c>
      <c r="M9" s="16">
        <v>0</v>
      </c>
      <c r="N9" s="16">
        <v>0</v>
      </c>
      <c r="O9" s="16">
        <v>0</v>
      </c>
      <c r="P9" s="16">
        <v>0</v>
      </c>
      <c r="Q9" s="16">
        <v>0</v>
      </c>
      <c r="R9" s="16">
        <v>0</v>
      </c>
      <c r="S9" s="16">
        <v>0</v>
      </c>
    </row>
    <row r="10" spans="1:20" x14ac:dyDescent="0.3">
      <c r="E10" s="54">
        <v>35855</v>
      </c>
      <c r="F10" s="52">
        <f t="shared" si="0"/>
        <v>3</v>
      </c>
      <c r="I10" s="16">
        <v>0</v>
      </c>
      <c r="J10" s="16">
        <v>0</v>
      </c>
      <c r="K10" s="16">
        <v>1</v>
      </c>
      <c r="L10" s="16">
        <v>0</v>
      </c>
      <c r="M10" s="16">
        <v>0</v>
      </c>
      <c r="N10" s="16">
        <v>0</v>
      </c>
      <c r="O10" s="16">
        <v>0</v>
      </c>
      <c r="P10" s="16">
        <v>0</v>
      </c>
      <c r="Q10" s="16">
        <v>0</v>
      </c>
      <c r="R10" s="16">
        <v>0</v>
      </c>
      <c r="S10" s="16">
        <v>0</v>
      </c>
    </row>
    <row r="11" spans="1:20" ht="18.75" customHeight="1" x14ac:dyDescent="0.3">
      <c r="E11" s="54">
        <v>35886</v>
      </c>
      <c r="F11" s="52">
        <f t="shared" si="0"/>
        <v>4</v>
      </c>
      <c r="I11" s="16">
        <v>0</v>
      </c>
      <c r="J11" s="16">
        <v>0</v>
      </c>
      <c r="K11" s="16">
        <v>0</v>
      </c>
      <c r="L11" s="16">
        <v>1</v>
      </c>
      <c r="M11" s="16">
        <v>0</v>
      </c>
      <c r="N11" s="16">
        <v>0</v>
      </c>
      <c r="O11" s="16">
        <v>0</v>
      </c>
      <c r="P11" s="16">
        <v>0</v>
      </c>
      <c r="Q11" s="16">
        <v>0</v>
      </c>
      <c r="R11" s="16">
        <v>0</v>
      </c>
      <c r="S11" s="16">
        <v>0</v>
      </c>
    </row>
    <row r="12" spans="1:20" x14ac:dyDescent="0.3">
      <c r="E12" s="54">
        <v>35916</v>
      </c>
      <c r="F12" s="52">
        <f t="shared" si="0"/>
        <v>5</v>
      </c>
      <c r="I12" s="16">
        <v>0</v>
      </c>
      <c r="J12" s="16">
        <v>0</v>
      </c>
      <c r="K12" s="16">
        <v>0</v>
      </c>
      <c r="L12" s="16">
        <v>0</v>
      </c>
      <c r="M12" s="16">
        <v>1</v>
      </c>
      <c r="N12" s="16">
        <v>0</v>
      </c>
      <c r="O12" s="16">
        <v>0</v>
      </c>
      <c r="P12" s="16">
        <v>0</v>
      </c>
      <c r="Q12" s="16">
        <v>0</v>
      </c>
      <c r="R12" s="16">
        <v>0</v>
      </c>
      <c r="S12" s="16">
        <v>0</v>
      </c>
    </row>
    <row r="13" spans="1:20" x14ac:dyDescent="0.3">
      <c r="E13" s="54">
        <v>35947</v>
      </c>
      <c r="F13" s="52">
        <f t="shared" si="0"/>
        <v>6</v>
      </c>
      <c r="I13" s="16">
        <v>0</v>
      </c>
      <c r="J13" s="16">
        <v>0</v>
      </c>
      <c r="K13" s="16">
        <v>0</v>
      </c>
      <c r="L13" s="16">
        <v>0</v>
      </c>
      <c r="M13" s="16">
        <v>0</v>
      </c>
      <c r="N13" s="16">
        <v>1</v>
      </c>
      <c r="O13" s="16">
        <v>0</v>
      </c>
      <c r="P13" s="16">
        <v>0</v>
      </c>
      <c r="Q13" s="16">
        <v>0</v>
      </c>
      <c r="R13" s="16">
        <v>0</v>
      </c>
      <c r="S13" s="16">
        <v>0</v>
      </c>
    </row>
    <row r="14" spans="1:20" x14ac:dyDescent="0.3">
      <c r="E14" s="54">
        <v>35977</v>
      </c>
      <c r="F14" s="52">
        <f t="shared" si="0"/>
        <v>7</v>
      </c>
      <c r="I14" s="16">
        <v>0</v>
      </c>
      <c r="J14" s="16">
        <v>0</v>
      </c>
      <c r="K14" s="16">
        <v>0</v>
      </c>
      <c r="L14" s="16">
        <v>0</v>
      </c>
      <c r="M14" s="16">
        <v>0</v>
      </c>
      <c r="N14" s="16">
        <v>0</v>
      </c>
      <c r="O14" s="16">
        <v>1</v>
      </c>
      <c r="P14" s="16">
        <v>0</v>
      </c>
      <c r="Q14" s="16">
        <v>0</v>
      </c>
      <c r="R14" s="16">
        <v>0</v>
      </c>
      <c r="S14" s="16">
        <v>0</v>
      </c>
    </row>
    <row r="15" spans="1:20" x14ac:dyDescent="0.3">
      <c r="E15" s="54">
        <v>36008</v>
      </c>
      <c r="F15" s="52">
        <f t="shared" si="0"/>
        <v>8</v>
      </c>
      <c r="I15" s="16">
        <v>0</v>
      </c>
      <c r="J15" s="16">
        <v>0</v>
      </c>
      <c r="K15" s="16">
        <v>0</v>
      </c>
      <c r="L15" s="16">
        <v>0</v>
      </c>
      <c r="M15" s="16">
        <v>0</v>
      </c>
      <c r="N15" s="16">
        <v>0</v>
      </c>
      <c r="O15" s="16">
        <v>0</v>
      </c>
      <c r="P15" s="16">
        <v>1</v>
      </c>
      <c r="Q15" s="16">
        <v>0</v>
      </c>
      <c r="R15" s="16">
        <v>0</v>
      </c>
      <c r="S15" s="16">
        <v>0</v>
      </c>
    </row>
    <row r="16" spans="1:20" x14ac:dyDescent="0.3">
      <c r="E16" s="54">
        <v>36039</v>
      </c>
      <c r="F16" s="52">
        <f t="shared" si="0"/>
        <v>9</v>
      </c>
      <c r="I16" s="16">
        <v>0</v>
      </c>
      <c r="J16" s="16">
        <v>0</v>
      </c>
      <c r="K16" s="16">
        <v>0</v>
      </c>
      <c r="L16" s="16">
        <v>0</v>
      </c>
      <c r="M16" s="16">
        <v>0</v>
      </c>
      <c r="N16" s="16">
        <v>0</v>
      </c>
      <c r="O16" s="16">
        <v>0</v>
      </c>
      <c r="P16" s="16">
        <v>0</v>
      </c>
      <c r="Q16" s="16">
        <v>1</v>
      </c>
      <c r="R16" s="16">
        <v>0</v>
      </c>
      <c r="S16" s="16">
        <v>0</v>
      </c>
    </row>
    <row r="17" spans="5:19" x14ac:dyDescent="0.3">
      <c r="E17" s="54">
        <v>36069</v>
      </c>
      <c r="F17" s="52">
        <f t="shared" si="0"/>
        <v>10</v>
      </c>
      <c r="I17" s="16">
        <v>0</v>
      </c>
      <c r="J17" s="16">
        <v>0</v>
      </c>
      <c r="K17" s="16">
        <v>0</v>
      </c>
      <c r="L17" s="16">
        <v>0</v>
      </c>
      <c r="M17" s="16">
        <v>0</v>
      </c>
      <c r="N17" s="16">
        <v>0</v>
      </c>
      <c r="O17" s="16">
        <v>0</v>
      </c>
      <c r="P17" s="16">
        <v>0</v>
      </c>
      <c r="Q17" s="16">
        <v>0</v>
      </c>
      <c r="R17" s="16">
        <v>1</v>
      </c>
      <c r="S17" s="16">
        <v>0</v>
      </c>
    </row>
    <row r="18" spans="5:19" x14ac:dyDescent="0.3">
      <c r="E18" s="54">
        <v>36100</v>
      </c>
      <c r="F18" s="52">
        <f t="shared" si="0"/>
        <v>11</v>
      </c>
      <c r="I18" s="16">
        <v>0</v>
      </c>
      <c r="J18" s="16">
        <v>0</v>
      </c>
      <c r="K18" s="16">
        <v>0</v>
      </c>
      <c r="L18" s="16">
        <v>0</v>
      </c>
      <c r="M18" s="16">
        <v>0</v>
      </c>
      <c r="N18" s="16">
        <v>0</v>
      </c>
      <c r="O18" s="16">
        <v>0</v>
      </c>
      <c r="P18" s="16">
        <v>0</v>
      </c>
      <c r="Q18" s="16">
        <v>0</v>
      </c>
      <c r="R18" s="16">
        <v>0</v>
      </c>
      <c r="S18" s="16">
        <v>1</v>
      </c>
    </row>
    <row r="19" spans="5:19" x14ac:dyDescent="0.3">
      <c r="E19" s="54">
        <v>36130</v>
      </c>
      <c r="F19" s="52">
        <f t="shared" si="0"/>
        <v>12</v>
      </c>
      <c r="I19" s="16">
        <v>0</v>
      </c>
      <c r="J19" s="16">
        <v>0</v>
      </c>
      <c r="K19" s="16">
        <v>0</v>
      </c>
      <c r="L19" s="16">
        <v>0</v>
      </c>
      <c r="M19" s="16">
        <v>0</v>
      </c>
      <c r="N19" s="16">
        <v>0</v>
      </c>
      <c r="O19" s="16">
        <v>0</v>
      </c>
      <c r="P19" s="16">
        <v>0</v>
      </c>
      <c r="Q19" s="16">
        <v>0</v>
      </c>
      <c r="R19" s="16">
        <v>0</v>
      </c>
      <c r="S19" s="16">
        <v>0</v>
      </c>
    </row>
    <row r="20" spans="5:19" x14ac:dyDescent="0.3">
      <c r="E20" s="54">
        <v>36161</v>
      </c>
      <c r="F20" s="52">
        <f t="shared" si="0"/>
        <v>1</v>
      </c>
      <c r="I20" s="16">
        <v>1</v>
      </c>
      <c r="J20" s="16">
        <v>0</v>
      </c>
      <c r="K20" s="16">
        <v>0</v>
      </c>
      <c r="L20" s="16">
        <v>0</v>
      </c>
      <c r="M20" s="16">
        <v>0</v>
      </c>
      <c r="N20" s="16">
        <v>0</v>
      </c>
      <c r="O20" s="16">
        <v>0</v>
      </c>
      <c r="P20" s="16">
        <v>0</v>
      </c>
      <c r="Q20" s="16">
        <v>0</v>
      </c>
      <c r="R20" s="16">
        <v>0</v>
      </c>
      <c r="S20" s="16">
        <v>0</v>
      </c>
    </row>
    <row r="21" spans="5:19" x14ac:dyDescent="0.3">
      <c r="E21" s="54">
        <v>36192</v>
      </c>
      <c r="F21" s="52">
        <f t="shared" si="0"/>
        <v>2</v>
      </c>
      <c r="I21" s="16">
        <v>0</v>
      </c>
      <c r="J21" s="16">
        <v>1</v>
      </c>
      <c r="K21" s="16">
        <v>0</v>
      </c>
      <c r="L21" s="16">
        <v>0</v>
      </c>
      <c r="M21" s="16">
        <v>0</v>
      </c>
      <c r="N21" s="16">
        <v>0</v>
      </c>
      <c r="O21" s="16">
        <v>0</v>
      </c>
      <c r="P21" s="16">
        <v>0</v>
      </c>
      <c r="Q21" s="16">
        <v>0</v>
      </c>
      <c r="R21" s="16">
        <v>0</v>
      </c>
      <c r="S21" s="16">
        <v>0</v>
      </c>
    </row>
    <row r="22" spans="5:19" x14ac:dyDescent="0.3">
      <c r="E22" s="54">
        <v>36220</v>
      </c>
      <c r="F22" s="52">
        <f t="shared" si="0"/>
        <v>3</v>
      </c>
      <c r="I22" s="16">
        <v>0</v>
      </c>
      <c r="J22" s="16">
        <v>0</v>
      </c>
      <c r="K22" s="16">
        <v>1</v>
      </c>
      <c r="L22" s="16">
        <v>0</v>
      </c>
      <c r="M22" s="16">
        <v>0</v>
      </c>
      <c r="N22" s="16">
        <v>0</v>
      </c>
      <c r="O22" s="16">
        <v>0</v>
      </c>
      <c r="P22" s="16">
        <v>0</v>
      </c>
      <c r="Q22" s="16">
        <v>0</v>
      </c>
      <c r="R22" s="16">
        <v>0</v>
      </c>
      <c r="S22" s="16">
        <v>0</v>
      </c>
    </row>
    <row r="23" spans="5:19" x14ac:dyDescent="0.3">
      <c r="E23" s="54">
        <v>36251</v>
      </c>
      <c r="F23" s="52">
        <f t="shared" si="0"/>
        <v>4</v>
      </c>
      <c r="I23" s="16">
        <v>0</v>
      </c>
      <c r="J23" s="16">
        <v>0</v>
      </c>
      <c r="K23" s="16">
        <v>0</v>
      </c>
      <c r="L23" s="16">
        <v>1</v>
      </c>
      <c r="M23" s="16">
        <v>0</v>
      </c>
      <c r="N23" s="16">
        <v>0</v>
      </c>
      <c r="O23" s="16">
        <v>0</v>
      </c>
      <c r="P23" s="16">
        <v>0</v>
      </c>
      <c r="Q23" s="16">
        <v>0</v>
      </c>
      <c r="R23" s="16">
        <v>0</v>
      </c>
      <c r="S23" s="16">
        <v>0</v>
      </c>
    </row>
    <row r="24" spans="5:19" x14ac:dyDescent="0.3">
      <c r="E24" s="54">
        <v>36281</v>
      </c>
      <c r="F24" s="52">
        <f t="shared" si="0"/>
        <v>5</v>
      </c>
      <c r="I24" s="16">
        <v>0</v>
      </c>
      <c r="J24" s="16">
        <v>0</v>
      </c>
      <c r="K24" s="16">
        <v>0</v>
      </c>
      <c r="L24" s="16">
        <v>0</v>
      </c>
      <c r="M24" s="16">
        <v>1</v>
      </c>
      <c r="N24" s="16">
        <v>0</v>
      </c>
      <c r="O24" s="16">
        <v>0</v>
      </c>
      <c r="P24" s="16">
        <v>0</v>
      </c>
      <c r="Q24" s="16">
        <v>0</v>
      </c>
      <c r="R24" s="16">
        <v>0</v>
      </c>
      <c r="S24" s="16">
        <v>0</v>
      </c>
    </row>
    <row r="25" spans="5:19" x14ac:dyDescent="0.3">
      <c r="E25" s="54">
        <v>36312</v>
      </c>
      <c r="F25" s="52">
        <f t="shared" si="0"/>
        <v>6</v>
      </c>
      <c r="I25" s="16">
        <v>0</v>
      </c>
      <c r="J25" s="16">
        <v>0</v>
      </c>
      <c r="K25" s="16">
        <v>0</v>
      </c>
      <c r="L25" s="16">
        <v>0</v>
      </c>
      <c r="M25" s="16">
        <v>0</v>
      </c>
      <c r="N25" s="16">
        <v>1</v>
      </c>
      <c r="O25" s="16">
        <v>0</v>
      </c>
      <c r="P25" s="16">
        <v>0</v>
      </c>
      <c r="Q25" s="16">
        <v>0</v>
      </c>
      <c r="R25" s="16">
        <v>0</v>
      </c>
      <c r="S25" s="16">
        <v>0</v>
      </c>
    </row>
    <row r="26" spans="5:19" x14ac:dyDescent="0.3">
      <c r="E26" s="54">
        <v>36342</v>
      </c>
      <c r="F26" s="52">
        <f t="shared" si="0"/>
        <v>7</v>
      </c>
      <c r="I26" s="16">
        <v>0</v>
      </c>
      <c r="J26" s="16">
        <v>0</v>
      </c>
      <c r="K26" s="16">
        <v>0</v>
      </c>
      <c r="L26" s="16">
        <v>0</v>
      </c>
      <c r="M26" s="16">
        <v>0</v>
      </c>
      <c r="N26" s="16">
        <v>0</v>
      </c>
      <c r="O26" s="16">
        <v>1</v>
      </c>
      <c r="P26" s="16">
        <v>0</v>
      </c>
      <c r="Q26" s="16">
        <v>0</v>
      </c>
      <c r="R26" s="16">
        <v>0</v>
      </c>
      <c r="S26" s="16">
        <v>0</v>
      </c>
    </row>
    <row r="27" spans="5:19" x14ac:dyDescent="0.3">
      <c r="E27" s="54">
        <v>36373</v>
      </c>
      <c r="F27" s="52">
        <f t="shared" si="0"/>
        <v>8</v>
      </c>
      <c r="I27" s="16">
        <v>0</v>
      </c>
      <c r="J27" s="16">
        <v>0</v>
      </c>
      <c r="K27" s="16">
        <v>0</v>
      </c>
      <c r="L27" s="16">
        <v>0</v>
      </c>
      <c r="M27" s="16">
        <v>0</v>
      </c>
      <c r="N27" s="16">
        <v>0</v>
      </c>
      <c r="O27" s="16">
        <v>0</v>
      </c>
      <c r="P27" s="16">
        <v>1</v>
      </c>
      <c r="Q27" s="16">
        <v>0</v>
      </c>
      <c r="R27" s="16">
        <v>0</v>
      </c>
      <c r="S27" s="16">
        <v>0</v>
      </c>
    </row>
    <row r="28" spans="5:19" x14ac:dyDescent="0.3">
      <c r="E28" s="54">
        <v>36404</v>
      </c>
      <c r="F28" s="52">
        <f t="shared" si="0"/>
        <v>9</v>
      </c>
      <c r="I28" s="16">
        <v>0</v>
      </c>
      <c r="J28" s="16">
        <v>0</v>
      </c>
      <c r="K28" s="16">
        <v>0</v>
      </c>
      <c r="L28" s="16">
        <v>0</v>
      </c>
      <c r="M28" s="16">
        <v>0</v>
      </c>
      <c r="N28" s="16">
        <v>0</v>
      </c>
      <c r="O28" s="16">
        <v>0</v>
      </c>
      <c r="P28" s="16">
        <v>0</v>
      </c>
      <c r="Q28" s="16">
        <v>1</v>
      </c>
      <c r="R28" s="16">
        <v>0</v>
      </c>
      <c r="S28" s="16">
        <v>0</v>
      </c>
    </row>
    <row r="29" spans="5:19" x14ac:dyDescent="0.3">
      <c r="E29" s="54">
        <v>36434</v>
      </c>
      <c r="F29" s="52">
        <f t="shared" si="0"/>
        <v>10</v>
      </c>
      <c r="I29" s="16">
        <v>0</v>
      </c>
      <c r="J29" s="16">
        <v>0</v>
      </c>
      <c r="K29" s="16">
        <v>0</v>
      </c>
      <c r="L29" s="16">
        <v>0</v>
      </c>
      <c r="M29" s="16">
        <v>0</v>
      </c>
      <c r="N29" s="16">
        <v>0</v>
      </c>
      <c r="O29" s="16">
        <v>0</v>
      </c>
      <c r="P29" s="16">
        <v>0</v>
      </c>
      <c r="Q29" s="16">
        <v>0</v>
      </c>
      <c r="R29" s="16">
        <v>1</v>
      </c>
      <c r="S29" s="16">
        <v>0</v>
      </c>
    </row>
    <row r="30" spans="5:19" x14ac:dyDescent="0.3">
      <c r="E30" s="54">
        <v>36465</v>
      </c>
      <c r="F30" s="52">
        <f t="shared" si="0"/>
        <v>11</v>
      </c>
      <c r="I30" s="16">
        <v>0</v>
      </c>
      <c r="J30" s="16">
        <v>0</v>
      </c>
      <c r="K30" s="16">
        <v>0</v>
      </c>
      <c r="L30" s="16">
        <v>0</v>
      </c>
      <c r="M30" s="16">
        <v>0</v>
      </c>
      <c r="N30" s="16">
        <v>0</v>
      </c>
      <c r="O30" s="16">
        <v>0</v>
      </c>
      <c r="P30" s="16">
        <v>0</v>
      </c>
      <c r="Q30" s="16">
        <v>0</v>
      </c>
      <c r="R30" s="16">
        <v>0</v>
      </c>
      <c r="S30" s="16">
        <v>1</v>
      </c>
    </row>
    <row r="31" spans="5:19" x14ac:dyDescent="0.3">
      <c r="E31" s="54">
        <v>36495</v>
      </c>
      <c r="F31" s="52">
        <f t="shared" si="0"/>
        <v>12</v>
      </c>
      <c r="I31" s="16">
        <v>0</v>
      </c>
      <c r="J31" s="16">
        <v>0</v>
      </c>
      <c r="K31" s="16">
        <v>0</v>
      </c>
      <c r="L31" s="16">
        <v>0</v>
      </c>
      <c r="M31" s="16">
        <v>0</v>
      </c>
      <c r="N31" s="16">
        <v>0</v>
      </c>
      <c r="O31" s="16">
        <v>0</v>
      </c>
      <c r="P31" s="16">
        <v>0</v>
      </c>
      <c r="Q31" s="16">
        <v>0</v>
      </c>
      <c r="R31" s="16">
        <v>0</v>
      </c>
      <c r="S31" s="16">
        <v>0</v>
      </c>
    </row>
    <row r="34" spans="5:19" x14ac:dyDescent="0.3">
      <c r="E34" s="50" t="s">
        <v>171</v>
      </c>
      <c r="F34" s="53" t="s">
        <v>173</v>
      </c>
      <c r="G34" s="53" t="s">
        <v>176</v>
      </c>
    </row>
    <row r="35" spans="5:19" x14ac:dyDescent="0.3">
      <c r="E35" s="54">
        <v>35796</v>
      </c>
      <c r="F35" s="52">
        <f>MONTH(E35)</f>
        <v>1</v>
      </c>
      <c r="G35" s="52">
        <v>1</v>
      </c>
      <c r="I35" s="16" cm="1">
        <f t="array" ref="I35:S58">DUMMYVAR($F$35:$F$58, $G$35)</f>
        <v>0</v>
      </c>
      <c r="J35" s="16">
        <v>0</v>
      </c>
      <c r="K35" s="16">
        <v>0</v>
      </c>
      <c r="L35" s="16">
        <v>0</v>
      </c>
      <c r="M35" s="16">
        <v>0</v>
      </c>
      <c r="N35" s="16">
        <v>0</v>
      </c>
      <c r="O35" s="16">
        <v>0</v>
      </c>
      <c r="P35" s="16">
        <v>0</v>
      </c>
      <c r="Q35" s="16">
        <v>0</v>
      </c>
      <c r="R35" s="16">
        <v>0</v>
      </c>
      <c r="S35" s="16">
        <v>0</v>
      </c>
    </row>
    <row r="36" spans="5:19" x14ac:dyDescent="0.3">
      <c r="E36" s="54">
        <v>35827</v>
      </c>
      <c r="F36" s="52">
        <f t="shared" ref="F36:F58" si="1">MONTH(E36)</f>
        <v>2</v>
      </c>
      <c r="I36" s="16">
        <v>1</v>
      </c>
      <c r="J36" s="16">
        <v>0</v>
      </c>
      <c r="K36" s="16">
        <v>0</v>
      </c>
      <c r="L36" s="16">
        <v>0</v>
      </c>
      <c r="M36" s="16">
        <v>0</v>
      </c>
      <c r="N36" s="16">
        <v>0</v>
      </c>
      <c r="O36" s="16">
        <v>0</v>
      </c>
      <c r="P36" s="16">
        <v>0</v>
      </c>
      <c r="Q36" s="16">
        <v>0</v>
      </c>
      <c r="R36" s="16">
        <v>0</v>
      </c>
      <c r="S36" s="16">
        <v>0</v>
      </c>
    </row>
    <row r="37" spans="5:19" x14ac:dyDescent="0.3">
      <c r="E37" s="54">
        <v>35855</v>
      </c>
      <c r="F37" s="52">
        <f t="shared" si="1"/>
        <v>3</v>
      </c>
      <c r="I37" s="16">
        <v>0</v>
      </c>
      <c r="J37" s="16">
        <v>1</v>
      </c>
      <c r="K37" s="16">
        <v>0</v>
      </c>
      <c r="L37" s="16">
        <v>0</v>
      </c>
      <c r="M37" s="16">
        <v>0</v>
      </c>
      <c r="N37" s="16">
        <v>0</v>
      </c>
      <c r="O37" s="16">
        <v>0</v>
      </c>
      <c r="P37" s="16">
        <v>0</v>
      </c>
      <c r="Q37" s="16">
        <v>0</v>
      </c>
      <c r="R37" s="16">
        <v>0</v>
      </c>
      <c r="S37" s="16">
        <v>0</v>
      </c>
    </row>
    <row r="38" spans="5:19" x14ac:dyDescent="0.3">
      <c r="E38" s="54">
        <v>35886</v>
      </c>
      <c r="F38" s="52">
        <f t="shared" si="1"/>
        <v>4</v>
      </c>
      <c r="I38" s="16">
        <v>0</v>
      </c>
      <c r="J38" s="16">
        <v>0</v>
      </c>
      <c r="K38" s="16">
        <v>1</v>
      </c>
      <c r="L38" s="16">
        <v>0</v>
      </c>
      <c r="M38" s="16">
        <v>0</v>
      </c>
      <c r="N38" s="16">
        <v>0</v>
      </c>
      <c r="O38" s="16">
        <v>0</v>
      </c>
      <c r="P38" s="16">
        <v>0</v>
      </c>
      <c r="Q38" s="16">
        <v>0</v>
      </c>
      <c r="R38" s="16">
        <v>0</v>
      </c>
      <c r="S38" s="16">
        <v>0</v>
      </c>
    </row>
    <row r="39" spans="5:19" x14ac:dyDescent="0.3">
      <c r="E39" s="54">
        <v>35916</v>
      </c>
      <c r="F39" s="52">
        <f t="shared" si="1"/>
        <v>5</v>
      </c>
      <c r="I39" s="16">
        <v>0</v>
      </c>
      <c r="J39" s="16">
        <v>0</v>
      </c>
      <c r="K39" s="16">
        <v>0</v>
      </c>
      <c r="L39" s="16">
        <v>1</v>
      </c>
      <c r="M39" s="16">
        <v>0</v>
      </c>
      <c r="N39" s="16">
        <v>0</v>
      </c>
      <c r="O39" s="16">
        <v>0</v>
      </c>
      <c r="P39" s="16">
        <v>0</v>
      </c>
      <c r="Q39" s="16">
        <v>0</v>
      </c>
      <c r="R39" s="16">
        <v>0</v>
      </c>
      <c r="S39" s="16">
        <v>0</v>
      </c>
    </row>
    <row r="40" spans="5:19" x14ac:dyDescent="0.3">
      <c r="E40" s="54">
        <v>35947</v>
      </c>
      <c r="F40" s="52">
        <f t="shared" si="1"/>
        <v>6</v>
      </c>
      <c r="I40" s="16">
        <v>0</v>
      </c>
      <c r="J40" s="16">
        <v>0</v>
      </c>
      <c r="K40" s="16">
        <v>0</v>
      </c>
      <c r="L40" s="16">
        <v>0</v>
      </c>
      <c r="M40" s="16">
        <v>1</v>
      </c>
      <c r="N40" s="16">
        <v>0</v>
      </c>
      <c r="O40" s="16">
        <v>0</v>
      </c>
      <c r="P40" s="16">
        <v>0</v>
      </c>
      <c r="Q40" s="16">
        <v>0</v>
      </c>
      <c r="R40" s="16">
        <v>0</v>
      </c>
      <c r="S40" s="16">
        <v>0</v>
      </c>
    </row>
    <row r="41" spans="5:19" x14ac:dyDescent="0.3">
      <c r="E41" s="54">
        <v>35977</v>
      </c>
      <c r="F41" s="52">
        <f t="shared" si="1"/>
        <v>7</v>
      </c>
      <c r="I41" s="16">
        <v>0</v>
      </c>
      <c r="J41" s="16">
        <v>0</v>
      </c>
      <c r="K41" s="16">
        <v>0</v>
      </c>
      <c r="L41" s="16">
        <v>0</v>
      </c>
      <c r="M41" s="16">
        <v>0</v>
      </c>
      <c r="N41" s="16">
        <v>1</v>
      </c>
      <c r="O41" s="16">
        <v>0</v>
      </c>
      <c r="P41" s="16">
        <v>0</v>
      </c>
      <c r="Q41" s="16">
        <v>0</v>
      </c>
      <c r="R41" s="16">
        <v>0</v>
      </c>
      <c r="S41" s="16">
        <v>0</v>
      </c>
    </row>
    <row r="42" spans="5:19" x14ac:dyDescent="0.3">
      <c r="E42" s="54">
        <v>36008</v>
      </c>
      <c r="F42" s="52">
        <f t="shared" si="1"/>
        <v>8</v>
      </c>
      <c r="I42" s="16">
        <v>0</v>
      </c>
      <c r="J42" s="16">
        <v>0</v>
      </c>
      <c r="K42" s="16">
        <v>0</v>
      </c>
      <c r="L42" s="16">
        <v>0</v>
      </c>
      <c r="M42" s="16">
        <v>0</v>
      </c>
      <c r="N42" s="16">
        <v>0</v>
      </c>
      <c r="O42" s="16">
        <v>1</v>
      </c>
      <c r="P42" s="16">
        <v>0</v>
      </c>
      <c r="Q42" s="16">
        <v>0</v>
      </c>
      <c r="R42" s="16">
        <v>0</v>
      </c>
      <c r="S42" s="16">
        <v>0</v>
      </c>
    </row>
    <row r="43" spans="5:19" x14ac:dyDescent="0.3">
      <c r="E43" s="54">
        <v>36039</v>
      </c>
      <c r="F43" s="52">
        <f t="shared" si="1"/>
        <v>9</v>
      </c>
      <c r="I43" s="16">
        <v>0</v>
      </c>
      <c r="J43" s="16">
        <v>0</v>
      </c>
      <c r="K43" s="16">
        <v>0</v>
      </c>
      <c r="L43" s="16">
        <v>0</v>
      </c>
      <c r="M43" s="16">
        <v>0</v>
      </c>
      <c r="N43" s="16">
        <v>0</v>
      </c>
      <c r="O43" s="16">
        <v>0</v>
      </c>
      <c r="P43" s="16">
        <v>1</v>
      </c>
      <c r="Q43" s="16">
        <v>0</v>
      </c>
      <c r="R43" s="16">
        <v>0</v>
      </c>
      <c r="S43" s="16">
        <v>0</v>
      </c>
    </row>
    <row r="44" spans="5:19" x14ac:dyDescent="0.3">
      <c r="E44" s="54">
        <v>36069</v>
      </c>
      <c r="F44" s="52">
        <f t="shared" si="1"/>
        <v>10</v>
      </c>
      <c r="I44" s="16">
        <v>0</v>
      </c>
      <c r="J44" s="16">
        <v>0</v>
      </c>
      <c r="K44" s="16">
        <v>0</v>
      </c>
      <c r="L44" s="16">
        <v>0</v>
      </c>
      <c r="M44" s="16">
        <v>0</v>
      </c>
      <c r="N44" s="16">
        <v>0</v>
      </c>
      <c r="O44" s="16">
        <v>0</v>
      </c>
      <c r="P44" s="16">
        <v>0</v>
      </c>
      <c r="Q44" s="16">
        <v>1</v>
      </c>
      <c r="R44" s="16">
        <v>0</v>
      </c>
      <c r="S44" s="16">
        <v>0</v>
      </c>
    </row>
    <row r="45" spans="5:19" x14ac:dyDescent="0.3">
      <c r="E45" s="54">
        <v>36100</v>
      </c>
      <c r="F45" s="52">
        <f t="shared" si="1"/>
        <v>11</v>
      </c>
      <c r="I45" s="16">
        <v>0</v>
      </c>
      <c r="J45" s="16">
        <v>0</v>
      </c>
      <c r="K45" s="16">
        <v>0</v>
      </c>
      <c r="L45" s="16">
        <v>0</v>
      </c>
      <c r="M45" s="16">
        <v>0</v>
      </c>
      <c r="N45" s="16">
        <v>0</v>
      </c>
      <c r="O45" s="16">
        <v>0</v>
      </c>
      <c r="P45" s="16">
        <v>0</v>
      </c>
      <c r="Q45" s="16">
        <v>0</v>
      </c>
      <c r="R45" s="16">
        <v>1</v>
      </c>
      <c r="S45" s="16">
        <v>0</v>
      </c>
    </row>
    <row r="46" spans="5:19" x14ac:dyDescent="0.3">
      <c r="E46" s="54">
        <v>36130</v>
      </c>
      <c r="F46" s="52">
        <f t="shared" si="1"/>
        <v>12</v>
      </c>
      <c r="I46" s="16">
        <v>0</v>
      </c>
      <c r="J46" s="16">
        <v>0</v>
      </c>
      <c r="K46" s="16">
        <v>0</v>
      </c>
      <c r="L46" s="16">
        <v>0</v>
      </c>
      <c r="M46" s="16">
        <v>0</v>
      </c>
      <c r="N46" s="16">
        <v>0</v>
      </c>
      <c r="O46" s="16">
        <v>0</v>
      </c>
      <c r="P46" s="16">
        <v>0</v>
      </c>
      <c r="Q46" s="16">
        <v>0</v>
      </c>
      <c r="R46" s="16">
        <v>0</v>
      </c>
      <c r="S46" s="16">
        <v>1</v>
      </c>
    </row>
    <row r="47" spans="5:19" x14ac:dyDescent="0.3">
      <c r="E47" s="54">
        <v>36161</v>
      </c>
      <c r="F47" s="52">
        <f t="shared" si="1"/>
        <v>1</v>
      </c>
      <c r="I47" s="16">
        <v>0</v>
      </c>
      <c r="J47" s="16">
        <v>0</v>
      </c>
      <c r="K47" s="16">
        <v>0</v>
      </c>
      <c r="L47" s="16">
        <v>0</v>
      </c>
      <c r="M47" s="16">
        <v>0</v>
      </c>
      <c r="N47" s="16">
        <v>0</v>
      </c>
      <c r="O47" s="16">
        <v>0</v>
      </c>
      <c r="P47" s="16">
        <v>0</v>
      </c>
      <c r="Q47" s="16">
        <v>0</v>
      </c>
      <c r="R47" s="16">
        <v>0</v>
      </c>
      <c r="S47" s="16">
        <v>0</v>
      </c>
    </row>
    <row r="48" spans="5:19" x14ac:dyDescent="0.3">
      <c r="E48" s="54">
        <v>36192</v>
      </c>
      <c r="F48" s="52">
        <f t="shared" si="1"/>
        <v>2</v>
      </c>
      <c r="I48" s="16">
        <v>1</v>
      </c>
      <c r="J48" s="16">
        <v>0</v>
      </c>
      <c r="K48" s="16">
        <v>0</v>
      </c>
      <c r="L48" s="16">
        <v>0</v>
      </c>
      <c r="M48" s="16">
        <v>0</v>
      </c>
      <c r="N48" s="16">
        <v>0</v>
      </c>
      <c r="O48" s="16">
        <v>0</v>
      </c>
      <c r="P48" s="16">
        <v>0</v>
      </c>
      <c r="Q48" s="16">
        <v>0</v>
      </c>
      <c r="R48" s="16">
        <v>0</v>
      </c>
      <c r="S48" s="16">
        <v>0</v>
      </c>
    </row>
    <row r="49" spans="5:19" x14ac:dyDescent="0.3">
      <c r="E49" s="54">
        <v>36220</v>
      </c>
      <c r="F49" s="52">
        <f t="shared" si="1"/>
        <v>3</v>
      </c>
      <c r="I49" s="16">
        <v>0</v>
      </c>
      <c r="J49" s="16">
        <v>1</v>
      </c>
      <c r="K49" s="16">
        <v>0</v>
      </c>
      <c r="L49" s="16">
        <v>0</v>
      </c>
      <c r="M49" s="16">
        <v>0</v>
      </c>
      <c r="N49" s="16">
        <v>0</v>
      </c>
      <c r="O49" s="16">
        <v>0</v>
      </c>
      <c r="P49" s="16">
        <v>0</v>
      </c>
      <c r="Q49" s="16">
        <v>0</v>
      </c>
      <c r="R49" s="16">
        <v>0</v>
      </c>
      <c r="S49" s="16">
        <v>0</v>
      </c>
    </row>
    <row r="50" spans="5:19" x14ac:dyDescent="0.3">
      <c r="E50" s="54">
        <v>36251</v>
      </c>
      <c r="F50" s="52">
        <f t="shared" si="1"/>
        <v>4</v>
      </c>
      <c r="I50" s="16">
        <v>0</v>
      </c>
      <c r="J50" s="16">
        <v>0</v>
      </c>
      <c r="K50" s="16">
        <v>1</v>
      </c>
      <c r="L50" s="16">
        <v>0</v>
      </c>
      <c r="M50" s="16">
        <v>0</v>
      </c>
      <c r="N50" s="16">
        <v>0</v>
      </c>
      <c r="O50" s="16">
        <v>0</v>
      </c>
      <c r="P50" s="16">
        <v>0</v>
      </c>
      <c r="Q50" s="16">
        <v>0</v>
      </c>
      <c r="R50" s="16">
        <v>0</v>
      </c>
      <c r="S50" s="16">
        <v>0</v>
      </c>
    </row>
    <row r="51" spans="5:19" x14ac:dyDescent="0.3">
      <c r="E51" s="54">
        <v>36281</v>
      </c>
      <c r="F51" s="52">
        <f t="shared" si="1"/>
        <v>5</v>
      </c>
      <c r="I51" s="16">
        <v>0</v>
      </c>
      <c r="J51" s="16">
        <v>0</v>
      </c>
      <c r="K51" s="16">
        <v>0</v>
      </c>
      <c r="L51" s="16">
        <v>1</v>
      </c>
      <c r="M51" s="16">
        <v>0</v>
      </c>
      <c r="N51" s="16">
        <v>0</v>
      </c>
      <c r="O51" s="16">
        <v>0</v>
      </c>
      <c r="P51" s="16">
        <v>0</v>
      </c>
      <c r="Q51" s="16">
        <v>0</v>
      </c>
      <c r="R51" s="16">
        <v>0</v>
      </c>
      <c r="S51" s="16">
        <v>0</v>
      </c>
    </row>
    <row r="52" spans="5:19" x14ac:dyDescent="0.3">
      <c r="E52" s="54">
        <v>36312</v>
      </c>
      <c r="F52" s="52">
        <f t="shared" si="1"/>
        <v>6</v>
      </c>
      <c r="I52" s="16">
        <v>0</v>
      </c>
      <c r="J52" s="16">
        <v>0</v>
      </c>
      <c r="K52" s="16">
        <v>0</v>
      </c>
      <c r="L52" s="16">
        <v>0</v>
      </c>
      <c r="M52" s="16">
        <v>1</v>
      </c>
      <c r="N52" s="16">
        <v>0</v>
      </c>
      <c r="O52" s="16">
        <v>0</v>
      </c>
      <c r="P52" s="16">
        <v>0</v>
      </c>
      <c r="Q52" s="16">
        <v>0</v>
      </c>
      <c r="R52" s="16">
        <v>0</v>
      </c>
      <c r="S52" s="16">
        <v>0</v>
      </c>
    </row>
    <row r="53" spans="5:19" x14ac:dyDescent="0.3">
      <c r="E53" s="54">
        <v>36342</v>
      </c>
      <c r="F53" s="52">
        <f t="shared" si="1"/>
        <v>7</v>
      </c>
      <c r="I53" s="16">
        <v>0</v>
      </c>
      <c r="J53" s="16">
        <v>0</v>
      </c>
      <c r="K53" s="16">
        <v>0</v>
      </c>
      <c r="L53" s="16">
        <v>0</v>
      </c>
      <c r="M53" s="16">
        <v>0</v>
      </c>
      <c r="N53" s="16">
        <v>1</v>
      </c>
      <c r="O53" s="16">
        <v>0</v>
      </c>
      <c r="P53" s="16">
        <v>0</v>
      </c>
      <c r="Q53" s="16">
        <v>0</v>
      </c>
      <c r="R53" s="16">
        <v>0</v>
      </c>
      <c r="S53" s="16">
        <v>0</v>
      </c>
    </row>
    <row r="54" spans="5:19" x14ac:dyDescent="0.3">
      <c r="E54" s="54">
        <v>36373</v>
      </c>
      <c r="F54" s="52">
        <f t="shared" si="1"/>
        <v>8</v>
      </c>
      <c r="I54" s="16">
        <v>0</v>
      </c>
      <c r="J54" s="16">
        <v>0</v>
      </c>
      <c r="K54" s="16">
        <v>0</v>
      </c>
      <c r="L54" s="16">
        <v>0</v>
      </c>
      <c r="M54" s="16">
        <v>0</v>
      </c>
      <c r="N54" s="16">
        <v>0</v>
      </c>
      <c r="O54" s="16">
        <v>1</v>
      </c>
      <c r="P54" s="16">
        <v>0</v>
      </c>
      <c r="Q54" s="16">
        <v>0</v>
      </c>
      <c r="R54" s="16">
        <v>0</v>
      </c>
      <c r="S54" s="16">
        <v>0</v>
      </c>
    </row>
    <row r="55" spans="5:19" x14ac:dyDescent="0.3">
      <c r="E55" s="54">
        <v>36404</v>
      </c>
      <c r="F55" s="52">
        <f t="shared" si="1"/>
        <v>9</v>
      </c>
      <c r="I55" s="16">
        <v>0</v>
      </c>
      <c r="J55" s="16">
        <v>0</v>
      </c>
      <c r="K55" s="16">
        <v>0</v>
      </c>
      <c r="L55" s="16">
        <v>0</v>
      </c>
      <c r="M55" s="16">
        <v>0</v>
      </c>
      <c r="N55" s="16">
        <v>0</v>
      </c>
      <c r="O55" s="16">
        <v>0</v>
      </c>
      <c r="P55" s="16">
        <v>1</v>
      </c>
      <c r="Q55" s="16">
        <v>0</v>
      </c>
      <c r="R55" s="16">
        <v>0</v>
      </c>
      <c r="S55" s="16">
        <v>0</v>
      </c>
    </row>
    <row r="56" spans="5:19" x14ac:dyDescent="0.3">
      <c r="E56" s="54">
        <v>36434</v>
      </c>
      <c r="F56" s="52">
        <f t="shared" si="1"/>
        <v>10</v>
      </c>
      <c r="I56" s="16">
        <v>0</v>
      </c>
      <c r="J56" s="16">
        <v>0</v>
      </c>
      <c r="K56" s="16">
        <v>0</v>
      </c>
      <c r="L56" s="16">
        <v>0</v>
      </c>
      <c r="M56" s="16">
        <v>0</v>
      </c>
      <c r="N56" s="16">
        <v>0</v>
      </c>
      <c r="O56" s="16">
        <v>0</v>
      </c>
      <c r="P56" s="16">
        <v>0</v>
      </c>
      <c r="Q56" s="16">
        <v>1</v>
      </c>
      <c r="R56" s="16">
        <v>0</v>
      </c>
      <c r="S56" s="16">
        <v>0</v>
      </c>
    </row>
    <row r="57" spans="5:19" x14ac:dyDescent="0.3">
      <c r="E57" s="54">
        <v>36465</v>
      </c>
      <c r="F57" s="52">
        <f t="shared" si="1"/>
        <v>11</v>
      </c>
      <c r="I57" s="16">
        <v>0</v>
      </c>
      <c r="J57" s="16">
        <v>0</v>
      </c>
      <c r="K57" s="16">
        <v>0</v>
      </c>
      <c r="L57" s="16">
        <v>0</v>
      </c>
      <c r="M57" s="16">
        <v>0</v>
      </c>
      <c r="N57" s="16">
        <v>0</v>
      </c>
      <c r="O57" s="16">
        <v>0</v>
      </c>
      <c r="P57" s="16">
        <v>0</v>
      </c>
      <c r="Q57" s="16">
        <v>0</v>
      </c>
      <c r="R57" s="16">
        <v>1</v>
      </c>
      <c r="S57" s="16">
        <v>0</v>
      </c>
    </row>
    <row r="58" spans="5:19" x14ac:dyDescent="0.3">
      <c r="E58" s="54">
        <v>36495</v>
      </c>
      <c r="F58" s="52">
        <f t="shared" si="1"/>
        <v>12</v>
      </c>
      <c r="I58" s="16">
        <v>0</v>
      </c>
      <c r="J58" s="16">
        <v>0</v>
      </c>
      <c r="K58" s="16">
        <v>0</v>
      </c>
      <c r="L58" s="16">
        <v>0</v>
      </c>
      <c r="M58" s="16">
        <v>0</v>
      </c>
      <c r="N58" s="16">
        <v>0</v>
      </c>
      <c r="O58" s="16">
        <v>0</v>
      </c>
      <c r="P58" s="16">
        <v>0</v>
      </c>
      <c r="Q58" s="16">
        <v>0</v>
      </c>
      <c r="R58" s="16">
        <v>0</v>
      </c>
      <c r="S58" s="16">
        <v>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3F2D-A8BC-401E-865C-28CDC3F31F43}">
  <sheetPr codeName="Planilha14">
    <tabColor theme="9" tint="0.59999389629810485"/>
  </sheetPr>
  <dimension ref="A1:T28"/>
  <sheetViews>
    <sheetView showGridLines="0" workbookViewId="0">
      <selection activeCell="I8" sqref="I8"/>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7" width="12.42578125" bestFit="1" customWidth="1"/>
    <col min="9" max="11" width="9.42578125" style="55" customWidth="1"/>
    <col min="12" max="20" width="8.85546875" style="16"/>
    <col min="23" max="23" width="8.85546875" customWidth="1"/>
  </cols>
  <sheetData>
    <row r="1" spans="1:20" x14ac:dyDescent="0.3">
      <c r="A1" s="17" t="s">
        <v>184</v>
      </c>
      <c r="I1" s="56"/>
      <c r="J1" s="56"/>
      <c r="K1" s="56"/>
      <c r="L1" s="15"/>
      <c r="M1" s="15"/>
      <c r="N1" s="15"/>
      <c r="O1" s="15"/>
      <c r="P1" s="15"/>
      <c r="Q1" s="15"/>
      <c r="R1" s="15"/>
      <c r="S1" s="15"/>
      <c r="T1" s="15"/>
    </row>
    <row r="2" spans="1:20" x14ac:dyDescent="0.3">
      <c r="A2" s="18" t="s">
        <v>185</v>
      </c>
      <c r="I2" s="56"/>
      <c r="J2" s="56"/>
      <c r="K2" s="56"/>
      <c r="L2" s="15"/>
      <c r="M2" s="15"/>
      <c r="N2" s="15"/>
      <c r="O2" s="15"/>
      <c r="P2" s="15"/>
      <c r="Q2" s="15"/>
      <c r="R2" s="15"/>
      <c r="S2" s="15"/>
      <c r="T2" s="15"/>
    </row>
    <row r="4" spans="1:20" ht="15.75" x14ac:dyDescent="0.25">
      <c r="A4" s="2" t="s">
        <v>15</v>
      </c>
      <c r="B4" s="2" t="s">
        <v>16</v>
      </c>
    </row>
    <row r="5" spans="1:20" ht="47.25" x14ac:dyDescent="0.25">
      <c r="A5" s="24" t="s">
        <v>22</v>
      </c>
      <c r="B5" s="25" t="s">
        <v>186</v>
      </c>
    </row>
    <row r="6" spans="1:20" ht="63" x14ac:dyDescent="0.25">
      <c r="A6" s="24" t="s">
        <v>188</v>
      </c>
      <c r="B6" s="25" t="s">
        <v>189</v>
      </c>
    </row>
    <row r="7" spans="1:20" x14ac:dyDescent="0.3">
      <c r="E7" s="63" t="s">
        <v>22</v>
      </c>
      <c r="F7" s="64"/>
      <c r="G7" s="53" t="s">
        <v>187</v>
      </c>
    </row>
    <row r="8" spans="1:20" x14ac:dyDescent="0.3">
      <c r="E8" s="52">
        <v>1</v>
      </c>
      <c r="F8" s="52">
        <v>2</v>
      </c>
      <c r="G8" s="52">
        <v>1</v>
      </c>
      <c r="I8" s="55" cm="1">
        <f t="array" ref="I8:K16">_xlfn.LAMBDA(_xlpm.matrix,_xlop.position,
_xlfn.LET(_xlpm.position, IF( _xlfn.ISOMITTED(_xlpm.position), 1, _xlpm.position),
IF( OR( _xlpm.position&lt;1, _xlpm.position&gt;COLUMNS(_xlpm.matrix)+1),
"#position exceeds matrix columns",
IF(_xlpm.position=1,
HORZCAT( ONES(ROWS(_xlpm.matrix),1), SLICE(_xlpm.matrix,0,0,1,-1) ),
IF(_xlpm.position=COLUMNS(_xlpm.matrix)+1,
HORZCAT(_xlpm.matrix, ONES(ROWS(_xlpm.matrix),1) ),
HORZCAT( HORZCAT( SLICE(_xlpm.matrix,0,0,1,_xlpm.position-1), ONES(ROWS(_xlpm.matrix),1) ), SLICE(_xlpm.matrix,0,0,_xlpm.position,-1) )
) ) )
) )($E$8:$F$16, $G$8)</f>
        <v>1</v>
      </c>
      <c r="J8" s="55">
        <v>1</v>
      </c>
      <c r="K8" s="55">
        <v>2</v>
      </c>
    </row>
    <row r="9" spans="1:20" x14ac:dyDescent="0.3">
      <c r="E9" s="52">
        <v>2</v>
      </c>
      <c r="F9" s="52">
        <v>3</v>
      </c>
      <c r="I9" s="55">
        <v>1</v>
      </c>
      <c r="J9" s="55">
        <v>2</v>
      </c>
      <c r="K9" s="55">
        <v>3</v>
      </c>
    </row>
    <row r="10" spans="1:20" x14ac:dyDescent="0.3">
      <c r="E10" s="52">
        <v>3</v>
      </c>
      <c r="F10" s="52">
        <v>4</v>
      </c>
      <c r="I10" s="55">
        <v>1</v>
      </c>
      <c r="J10" s="55">
        <v>3</v>
      </c>
      <c r="K10" s="55">
        <v>4</v>
      </c>
    </row>
    <row r="11" spans="1:20" ht="18.75" customHeight="1" x14ac:dyDescent="0.3">
      <c r="E11" s="52">
        <v>4</v>
      </c>
      <c r="F11" s="52">
        <v>5</v>
      </c>
      <c r="I11" s="55">
        <v>1</v>
      </c>
      <c r="J11" s="55">
        <v>4</v>
      </c>
      <c r="K11" s="55">
        <v>5</v>
      </c>
    </row>
    <row r="12" spans="1:20" x14ac:dyDescent="0.3">
      <c r="E12" s="52">
        <v>5</v>
      </c>
      <c r="F12" s="52">
        <v>6</v>
      </c>
      <c r="I12" s="55">
        <v>1</v>
      </c>
      <c r="J12" s="55">
        <v>5</v>
      </c>
      <c r="K12" s="55">
        <v>6</v>
      </c>
    </row>
    <row r="13" spans="1:20" x14ac:dyDescent="0.3">
      <c r="E13" s="52">
        <v>6</v>
      </c>
      <c r="F13" s="52">
        <v>7</v>
      </c>
      <c r="I13" s="55">
        <v>1</v>
      </c>
      <c r="J13" s="55">
        <v>6</v>
      </c>
      <c r="K13" s="55">
        <v>7</v>
      </c>
    </row>
    <row r="14" spans="1:20" x14ac:dyDescent="0.3">
      <c r="E14" s="52">
        <v>7</v>
      </c>
      <c r="F14" s="52">
        <v>8</v>
      </c>
      <c r="I14" s="55">
        <v>1</v>
      </c>
      <c r="J14" s="55">
        <v>7</v>
      </c>
      <c r="K14" s="55">
        <v>8</v>
      </c>
    </row>
    <row r="15" spans="1:20" x14ac:dyDescent="0.3">
      <c r="E15" s="52">
        <v>8</v>
      </c>
      <c r="F15" s="52">
        <v>9</v>
      </c>
      <c r="I15" s="55">
        <v>1</v>
      </c>
      <c r="J15" s="55">
        <v>8</v>
      </c>
      <c r="K15" s="55">
        <v>9</v>
      </c>
    </row>
    <row r="16" spans="1:20" x14ac:dyDescent="0.3">
      <c r="E16" s="52">
        <v>9</v>
      </c>
      <c r="F16" s="52">
        <v>10</v>
      </c>
      <c r="I16" s="55">
        <v>1</v>
      </c>
      <c r="J16" s="55">
        <v>9</v>
      </c>
      <c r="K16" s="55">
        <v>10</v>
      </c>
    </row>
    <row r="19" spans="5:11" x14ac:dyDescent="0.3">
      <c r="E19" s="63" t="s">
        <v>22</v>
      </c>
      <c r="F19" s="64"/>
      <c r="G19" s="53" t="s">
        <v>187</v>
      </c>
    </row>
    <row r="20" spans="5:11" x14ac:dyDescent="0.3">
      <c r="E20" s="52">
        <v>1</v>
      </c>
      <c r="F20" s="52">
        <v>2</v>
      </c>
      <c r="G20" s="52">
        <v>3</v>
      </c>
      <c r="I20" s="55" cm="1">
        <f t="array" ref="I20:K28">ADDCONST($E$20:$F$28, $G$20)</f>
        <v>1</v>
      </c>
      <c r="J20" s="55">
        <v>2</v>
      </c>
      <c r="K20" s="55">
        <v>1</v>
      </c>
    </row>
    <row r="21" spans="5:11" x14ac:dyDescent="0.3">
      <c r="E21" s="52">
        <v>2</v>
      </c>
      <c r="F21" s="52">
        <v>3</v>
      </c>
      <c r="I21" s="55">
        <v>2</v>
      </c>
      <c r="J21" s="55">
        <v>3</v>
      </c>
      <c r="K21" s="55">
        <v>1</v>
      </c>
    </row>
    <row r="22" spans="5:11" x14ac:dyDescent="0.3">
      <c r="E22" s="52">
        <v>3</v>
      </c>
      <c r="F22" s="52">
        <v>4</v>
      </c>
      <c r="I22" s="55">
        <v>3</v>
      </c>
      <c r="J22" s="55">
        <v>4</v>
      </c>
      <c r="K22" s="55">
        <v>1</v>
      </c>
    </row>
    <row r="23" spans="5:11" x14ac:dyDescent="0.3">
      <c r="E23" s="52">
        <v>4</v>
      </c>
      <c r="F23" s="52">
        <v>5</v>
      </c>
      <c r="I23" s="55">
        <v>4</v>
      </c>
      <c r="J23" s="55">
        <v>5</v>
      </c>
      <c r="K23" s="55">
        <v>1</v>
      </c>
    </row>
    <row r="24" spans="5:11" x14ac:dyDescent="0.3">
      <c r="E24" s="52">
        <v>5</v>
      </c>
      <c r="F24" s="52">
        <v>6</v>
      </c>
      <c r="I24" s="55">
        <v>5</v>
      </c>
      <c r="J24" s="55">
        <v>6</v>
      </c>
      <c r="K24" s="55">
        <v>1</v>
      </c>
    </row>
    <row r="25" spans="5:11" x14ac:dyDescent="0.3">
      <c r="E25" s="52">
        <v>6</v>
      </c>
      <c r="F25" s="52">
        <v>7</v>
      </c>
      <c r="I25" s="55">
        <v>6</v>
      </c>
      <c r="J25" s="55">
        <v>7</v>
      </c>
      <c r="K25" s="55">
        <v>1</v>
      </c>
    </row>
    <row r="26" spans="5:11" x14ac:dyDescent="0.3">
      <c r="E26" s="52">
        <v>7</v>
      </c>
      <c r="F26" s="52">
        <v>8</v>
      </c>
      <c r="I26" s="55">
        <v>7</v>
      </c>
      <c r="J26" s="55">
        <v>8</v>
      </c>
      <c r="K26" s="55">
        <v>1</v>
      </c>
    </row>
    <row r="27" spans="5:11" x14ac:dyDescent="0.3">
      <c r="E27" s="52">
        <v>8</v>
      </c>
      <c r="F27" s="52">
        <v>9</v>
      </c>
      <c r="I27" s="55">
        <v>8</v>
      </c>
      <c r="J27" s="55">
        <v>9</v>
      </c>
      <c r="K27" s="55">
        <v>1</v>
      </c>
    </row>
    <row r="28" spans="5:11" x14ac:dyDescent="0.3">
      <c r="E28" s="52">
        <v>9</v>
      </c>
      <c r="F28" s="52">
        <v>10</v>
      </c>
      <c r="I28" s="55">
        <v>9</v>
      </c>
      <c r="J28" s="55">
        <v>10</v>
      </c>
      <c r="K28" s="55">
        <v>1</v>
      </c>
    </row>
  </sheetData>
  <mergeCells count="2">
    <mergeCell ref="E7:F7"/>
    <mergeCell ref="E19:F19"/>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CDC0-8161-4FBD-9F0A-BB3D4A32450B}">
  <sheetPr codeName="Planilha15">
    <tabColor theme="9" tint="0.59999389629810485"/>
  </sheetPr>
  <dimension ref="A1:U29"/>
  <sheetViews>
    <sheetView showGridLines="0" workbookViewId="0">
      <selection activeCell="G6" sqref="G6"/>
    </sheetView>
  </sheetViews>
  <sheetFormatPr defaultColWidth="8.85546875" defaultRowHeight="18.75" x14ac:dyDescent="0.3"/>
  <cols>
    <col min="1" max="1" width="12.7109375" style="18" customWidth="1"/>
    <col min="2" max="2" width="24.85546875" bestFit="1" customWidth="1"/>
    <col min="4" max="4" width="4.5703125" customWidth="1"/>
    <col min="5" max="5" width="10.140625" bestFit="1" customWidth="1"/>
    <col min="6" max="6" width="10.140625" customWidth="1"/>
    <col min="7" max="8" width="12.42578125" bestFit="1" customWidth="1"/>
    <col min="10" max="12" width="9.42578125" style="55" customWidth="1"/>
    <col min="13" max="21" width="8.85546875" style="16"/>
    <col min="24" max="24" width="8.85546875" customWidth="1"/>
  </cols>
  <sheetData>
    <row r="1" spans="1:21" x14ac:dyDescent="0.3">
      <c r="A1" s="17" t="s">
        <v>190</v>
      </c>
      <c r="J1" s="56"/>
      <c r="K1" s="56"/>
      <c r="L1" s="56"/>
      <c r="M1" s="15"/>
      <c r="N1" s="15"/>
      <c r="O1" s="15"/>
      <c r="P1" s="15"/>
      <c r="Q1" s="15"/>
      <c r="R1" s="15"/>
      <c r="S1" s="15"/>
      <c r="T1" s="15"/>
      <c r="U1" s="15"/>
    </row>
    <row r="2" spans="1:21" x14ac:dyDescent="0.3">
      <c r="A2" s="18" t="s">
        <v>191</v>
      </c>
      <c r="J2" s="56"/>
      <c r="K2" s="56"/>
      <c r="L2" s="56"/>
      <c r="M2" s="15"/>
      <c r="N2" s="15"/>
      <c r="O2" s="15"/>
      <c r="P2" s="15"/>
      <c r="Q2" s="15"/>
      <c r="R2" s="15"/>
      <c r="S2" s="15"/>
      <c r="T2" s="15"/>
      <c r="U2" s="15"/>
    </row>
    <row r="4" spans="1:21" ht="15.75" x14ac:dyDescent="0.25">
      <c r="A4" s="2" t="s">
        <v>15</v>
      </c>
      <c r="B4" s="2" t="s">
        <v>16</v>
      </c>
    </row>
    <row r="5" spans="1:21" ht="63" x14ac:dyDescent="0.25">
      <c r="A5" s="24" t="s">
        <v>22</v>
      </c>
      <c r="B5" s="25" t="s">
        <v>193</v>
      </c>
    </row>
    <row r="6" spans="1:21" ht="78.75" x14ac:dyDescent="0.25">
      <c r="A6" s="24" t="s">
        <v>188</v>
      </c>
      <c r="B6" s="25" t="s">
        <v>192</v>
      </c>
    </row>
    <row r="7" spans="1:21" ht="47.25" x14ac:dyDescent="0.25">
      <c r="A7" s="24" t="s">
        <v>201</v>
      </c>
      <c r="B7" s="25" t="s">
        <v>199</v>
      </c>
    </row>
    <row r="8" spans="1:21" x14ac:dyDescent="0.3">
      <c r="E8" s="63" t="s">
        <v>22</v>
      </c>
      <c r="F8" s="64"/>
      <c r="G8" s="53" t="s">
        <v>187</v>
      </c>
      <c r="H8" s="53" t="s">
        <v>200</v>
      </c>
    </row>
    <row r="9" spans="1:21" x14ac:dyDescent="0.3">
      <c r="E9" s="52">
        <v>42</v>
      </c>
      <c r="F9" s="52">
        <v>49</v>
      </c>
      <c r="G9" s="52">
        <v>1</v>
      </c>
      <c r="H9" s="52">
        <v>1</v>
      </c>
      <c r="J9" s="55" cm="1">
        <f t="array" ref="J9:L17">_xlfn.LAMBDA(_xlpm.matrix,_xlop.position,_xlop.nPower,
_xlfn.LET(
_xlpm.position, IF( _xlfn.ISOMITTED(_xlpm.position), 1, _xlpm.position),
_xlpm.power, IF( _xlfn.ISOMITTED(_xlpm.nPower), 1, _xlpm.nPower),
IF( OR( _xlpm.position&lt;1, _xlpm.position&gt;COLUMNS(_xlpm.matrix)+1),
"#position exceeds matrix columns",
IF(_xlpm.position=1,
HORZCAT( _xlfn.SEQUENCE(ROWS(_xlpm.matrix),1)^_xlpm.nPower, SLICE(_xlpm.matrix,0,0,1,-1) ),
IF(_xlpm.position=COLUMNS(_xlpm.matrix)+1,
HORZCAT(_xlpm.matrix, _xlfn.SEQUENCE(ROWS(_xlpm.matrix),1)^_xlpm.nPower ),
HORZCAT( HORZCAT( SLICE(_xlpm.matrix,0,0,1,_xlpm.position-1), _xlfn.SEQUENCE(ROWS(_xlpm.matrix),1)^_xlpm.nPower ), SLICE(_xlpm.matrix,0,0,_xlpm.position,-1) )
) ) )
) )($E$9:$F$17, $G$9,$H$9)</f>
        <v>1</v>
      </c>
      <c r="K9" s="55">
        <v>42</v>
      </c>
      <c r="L9" s="55">
        <v>49</v>
      </c>
    </row>
    <row r="10" spans="1:21" x14ac:dyDescent="0.3">
      <c r="E10" s="52">
        <v>19</v>
      </c>
      <c r="F10" s="52">
        <v>40</v>
      </c>
      <c r="J10" s="55">
        <v>2</v>
      </c>
      <c r="K10" s="55">
        <v>19</v>
      </c>
      <c r="L10" s="55">
        <v>40</v>
      </c>
    </row>
    <row r="11" spans="1:21" x14ac:dyDescent="0.3">
      <c r="E11" s="52">
        <v>76</v>
      </c>
      <c r="F11" s="52">
        <v>86</v>
      </c>
      <c r="J11" s="55">
        <v>3</v>
      </c>
      <c r="K11" s="55">
        <v>76</v>
      </c>
      <c r="L11" s="55">
        <v>86</v>
      </c>
    </row>
    <row r="12" spans="1:21" ht="18.75" customHeight="1" x14ac:dyDescent="0.3">
      <c r="E12" s="52">
        <v>5</v>
      </c>
      <c r="F12" s="52">
        <v>48</v>
      </c>
      <c r="J12" s="55">
        <v>4</v>
      </c>
      <c r="K12" s="55">
        <v>5</v>
      </c>
      <c r="L12" s="55">
        <v>48</v>
      </c>
    </row>
    <row r="13" spans="1:21" x14ac:dyDescent="0.3">
      <c r="E13" s="52">
        <v>94</v>
      </c>
      <c r="F13" s="52">
        <v>15</v>
      </c>
      <c r="J13" s="55">
        <v>5</v>
      </c>
      <c r="K13" s="55">
        <v>94</v>
      </c>
      <c r="L13" s="55">
        <v>15</v>
      </c>
    </row>
    <row r="14" spans="1:21" x14ac:dyDescent="0.3">
      <c r="E14" s="52">
        <v>75</v>
      </c>
      <c r="F14" s="52">
        <v>71</v>
      </c>
      <c r="J14" s="55">
        <v>6</v>
      </c>
      <c r="K14" s="55">
        <v>75</v>
      </c>
      <c r="L14" s="55">
        <v>71</v>
      </c>
    </row>
    <row r="15" spans="1:21" x14ac:dyDescent="0.3">
      <c r="E15" s="52">
        <v>17</v>
      </c>
      <c r="F15" s="52">
        <v>84</v>
      </c>
      <c r="J15" s="55">
        <v>7</v>
      </c>
      <c r="K15" s="55">
        <v>17</v>
      </c>
      <c r="L15" s="55">
        <v>84</v>
      </c>
    </row>
    <row r="16" spans="1:21" x14ac:dyDescent="0.3">
      <c r="E16" s="52">
        <v>21</v>
      </c>
      <c r="F16" s="52">
        <v>68</v>
      </c>
      <c r="J16" s="55">
        <v>8</v>
      </c>
      <c r="K16" s="55">
        <v>21</v>
      </c>
      <c r="L16" s="55">
        <v>68</v>
      </c>
    </row>
    <row r="17" spans="5:12" x14ac:dyDescent="0.3">
      <c r="E17" s="52">
        <v>16</v>
      </c>
      <c r="F17" s="52">
        <v>55</v>
      </c>
      <c r="J17" s="55">
        <v>9</v>
      </c>
      <c r="K17" s="55">
        <v>16</v>
      </c>
      <c r="L17" s="55">
        <v>55</v>
      </c>
    </row>
    <row r="20" spans="5:12" x14ac:dyDescent="0.3">
      <c r="E20" s="63" t="s">
        <v>22</v>
      </c>
      <c r="F20" s="64"/>
      <c r="G20" s="53" t="s">
        <v>187</v>
      </c>
      <c r="H20" s="53" t="s">
        <v>200</v>
      </c>
    </row>
    <row r="21" spans="5:12" x14ac:dyDescent="0.3">
      <c r="E21" s="52">
        <v>42</v>
      </c>
      <c r="F21" s="52">
        <v>49</v>
      </c>
      <c r="G21" s="52">
        <v>3</v>
      </c>
      <c r="H21" s="52">
        <v>2</v>
      </c>
      <c r="J21" s="55" cm="1">
        <f t="array" ref="J21:L29">ADDTREND($E$21:$F$29, $G$21,$H$21)</f>
        <v>42</v>
      </c>
      <c r="K21" s="55">
        <v>49</v>
      </c>
      <c r="L21" s="55">
        <v>1</v>
      </c>
    </row>
    <row r="22" spans="5:12" x14ac:dyDescent="0.3">
      <c r="E22" s="52">
        <v>19</v>
      </c>
      <c r="F22" s="52">
        <v>40</v>
      </c>
      <c r="J22" s="55">
        <v>19</v>
      </c>
      <c r="K22" s="55">
        <v>40</v>
      </c>
      <c r="L22" s="55">
        <v>4</v>
      </c>
    </row>
    <row r="23" spans="5:12" x14ac:dyDescent="0.3">
      <c r="E23" s="52">
        <v>76</v>
      </c>
      <c r="F23" s="52">
        <v>86</v>
      </c>
      <c r="J23" s="55">
        <v>76</v>
      </c>
      <c r="K23" s="55">
        <v>86</v>
      </c>
      <c r="L23" s="55">
        <v>9</v>
      </c>
    </row>
    <row r="24" spans="5:12" x14ac:dyDescent="0.3">
      <c r="E24" s="52">
        <v>5</v>
      </c>
      <c r="F24" s="52">
        <v>48</v>
      </c>
      <c r="J24" s="55">
        <v>5</v>
      </c>
      <c r="K24" s="55">
        <v>48</v>
      </c>
      <c r="L24" s="55">
        <v>16</v>
      </c>
    </row>
    <row r="25" spans="5:12" x14ac:dyDescent="0.3">
      <c r="E25" s="52">
        <v>94</v>
      </c>
      <c r="F25" s="52">
        <v>15</v>
      </c>
      <c r="J25" s="55">
        <v>94</v>
      </c>
      <c r="K25" s="55">
        <v>15</v>
      </c>
      <c r="L25" s="55">
        <v>25</v>
      </c>
    </row>
    <row r="26" spans="5:12" x14ac:dyDescent="0.3">
      <c r="E26" s="52">
        <v>75</v>
      </c>
      <c r="F26" s="52">
        <v>71</v>
      </c>
      <c r="J26" s="55">
        <v>75</v>
      </c>
      <c r="K26" s="55">
        <v>71</v>
      </c>
      <c r="L26" s="55">
        <v>36</v>
      </c>
    </row>
    <row r="27" spans="5:12" x14ac:dyDescent="0.3">
      <c r="E27" s="52">
        <v>17</v>
      </c>
      <c r="F27" s="52">
        <v>84</v>
      </c>
      <c r="J27" s="55">
        <v>17</v>
      </c>
      <c r="K27" s="55">
        <v>84</v>
      </c>
      <c r="L27" s="55">
        <v>49</v>
      </c>
    </row>
    <row r="28" spans="5:12" x14ac:dyDescent="0.3">
      <c r="E28" s="52">
        <v>21</v>
      </c>
      <c r="F28" s="52">
        <v>68</v>
      </c>
      <c r="J28" s="55">
        <v>21</v>
      </c>
      <c r="K28" s="55">
        <v>68</v>
      </c>
      <c r="L28" s="55">
        <v>64</v>
      </c>
    </row>
    <row r="29" spans="5:12" x14ac:dyDescent="0.3">
      <c r="E29" s="52">
        <v>16</v>
      </c>
      <c r="F29" s="52">
        <v>55</v>
      </c>
      <c r="J29" s="55">
        <v>16</v>
      </c>
      <c r="K29" s="55">
        <v>55</v>
      </c>
      <c r="L29" s="55">
        <v>81</v>
      </c>
    </row>
  </sheetData>
  <mergeCells count="2">
    <mergeCell ref="E8:F8"/>
    <mergeCell ref="E20:F20"/>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9AD-FD41-46C2-B874-BFA7454EDB24}">
  <sheetPr codeName="Planilha3">
    <tabColor theme="9" tint="0.59999389629810485"/>
  </sheetPr>
  <dimension ref="A1:P18"/>
  <sheetViews>
    <sheetView showGridLines="0" workbookViewId="0">
      <selection activeCell="A2" sqref="A2"/>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14</v>
      </c>
      <c r="H1" s="15"/>
      <c r="I1" s="15"/>
      <c r="J1" s="15"/>
      <c r="K1" s="15"/>
      <c r="L1" s="15"/>
      <c r="M1" s="15"/>
      <c r="N1" s="15"/>
      <c r="O1" s="15"/>
      <c r="P1" s="15"/>
    </row>
    <row r="2" spans="1:16" x14ac:dyDescent="0.3">
      <c r="A2" s="18" t="s">
        <v>19</v>
      </c>
      <c r="H2" s="15"/>
      <c r="I2" s="15"/>
      <c r="J2" s="15"/>
      <c r="K2" s="15"/>
      <c r="L2" s="15"/>
      <c r="M2" s="15"/>
      <c r="N2" s="15"/>
      <c r="O2" s="15"/>
      <c r="P2" s="15"/>
    </row>
    <row r="4" spans="1:16" ht="15.75" x14ac:dyDescent="0.25">
      <c r="A4" s="2" t="s">
        <v>15</v>
      </c>
      <c r="B4" s="2" t="s">
        <v>16</v>
      </c>
    </row>
    <row r="5" spans="1:16" ht="31.5" x14ac:dyDescent="0.25">
      <c r="A5" s="20" t="s">
        <v>36</v>
      </c>
      <c r="B5" s="19" t="s">
        <v>18</v>
      </c>
    </row>
    <row r="6" spans="1:16" ht="47.25" x14ac:dyDescent="0.25">
      <c r="A6" s="20" t="s">
        <v>38</v>
      </c>
      <c r="B6" s="19" t="s">
        <v>39</v>
      </c>
    </row>
    <row r="7" spans="1:16" x14ac:dyDescent="0.3">
      <c r="D7" s="1" t="s">
        <v>17</v>
      </c>
      <c r="E7" s="14" t="s">
        <v>36</v>
      </c>
      <c r="F7" s="13">
        <v>3</v>
      </c>
    </row>
    <row r="9" spans="1:16" x14ac:dyDescent="0.3">
      <c r="H9" s="16" cm="1">
        <f t="array" ref="H9:J11">_xlfn.LAMBDA(_xlpm.n,_xlop.m, _xlfn.LET(_xlpm.m, IF(_xlfn.ISOMITTED(_xlpm.m),_xlpm.n,_xlpm.m), IF(_xlpm.n=_xlpm.m,_xlfn.MUNIT(_xlpm.n),HORZCAT(_xlfn.MUNIT(_xlpm.n),ZEROS(_xlpm.n,_xlpm.m-_xlpm.n)))))($F$7)</f>
        <v>1</v>
      </c>
      <c r="I9" s="16">
        <v>0</v>
      </c>
      <c r="J9" s="16">
        <v>0</v>
      </c>
    </row>
    <row r="10" spans="1:16" x14ac:dyDescent="0.3">
      <c r="H10" s="16">
        <v>0</v>
      </c>
      <c r="I10" s="16">
        <v>1</v>
      </c>
      <c r="J10" s="16">
        <v>0</v>
      </c>
    </row>
    <row r="11" spans="1:16" x14ac:dyDescent="0.3">
      <c r="H11" s="16">
        <v>0</v>
      </c>
      <c r="I11" s="16">
        <v>0</v>
      </c>
      <c r="J11" s="16">
        <v>1</v>
      </c>
    </row>
    <row r="14" spans="1:16" x14ac:dyDescent="0.3">
      <c r="D14" s="1" t="s">
        <v>17</v>
      </c>
      <c r="E14" s="14" t="s">
        <v>36</v>
      </c>
      <c r="F14" s="13">
        <v>3</v>
      </c>
    </row>
    <row r="15" spans="1:16" x14ac:dyDescent="0.3">
      <c r="E15" s="14" t="s">
        <v>37</v>
      </c>
      <c r="F15" s="13">
        <v>5</v>
      </c>
    </row>
    <row r="16" spans="1:16" x14ac:dyDescent="0.3">
      <c r="H16" s="16" cm="1">
        <f t="array" ref="H16:L18">_xlfn.LAMBDA(_xlpm.n,_xlop.m, _xlfn.LET(_xlpm.m, IF(_xlfn.ISOMITTED(_xlpm.m),_xlpm.n,_xlpm.m), IF(_xlpm.n=_xlpm.m,_xlfn.MUNIT(_xlpm.n),HORZCAT(_xlfn.MUNIT(_xlpm.n),ZEROS(_xlpm.n,_xlpm.m-_xlpm.n)))))($F$14,$F$15)</f>
        <v>1</v>
      </c>
      <c r="I16" s="16">
        <v>0</v>
      </c>
      <c r="J16" s="16">
        <v>0</v>
      </c>
      <c r="K16" s="16">
        <v>0</v>
      </c>
      <c r="L16" s="16">
        <v>0</v>
      </c>
    </row>
    <row r="17" spans="8:12" x14ac:dyDescent="0.3">
      <c r="H17" s="16">
        <v>0</v>
      </c>
      <c r="I17" s="16">
        <v>1</v>
      </c>
      <c r="J17" s="16">
        <v>0</v>
      </c>
      <c r="K17" s="16">
        <v>0</v>
      </c>
      <c r="L17" s="16">
        <v>0</v>
      </c>
    </row>
    <row r="18" spans="8:12" x14ac:dyDescent="0.3">
      <c r="H18" s="16">
        <v>0</v>
      </c>
      <c r="I18" s="16">
        <v>0</v>
      </c>
      <c r="J18" s="16">
        <v>1</v>
      </c>
      <c r="K18" s="16">
        <v>0</v>
      </c>
      <c r="L18" s="16">
        <v>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63FC-F00F-4897-BFD5-7FEB2F924484}">
  <sheetPr codeName="Planilha4">
    <tabColor theme="9" tint="0.59999389629810485"/>
  </sheetPr>
  <dimension ref="A1:P20"/>
  <sheetViews>
    <sheetView showGridLines="0" workbookViewId="0">
      <selection activeCell="H9" sqref="H9"/>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23</v>
      </c>
      <c r="H1" s="15"/>
      <c r="I1" s="15"/>
      <c r="J1" s="15"/>
      <c r="K1" s="15"/>
      <c r="L1" s="15"/>
      <c r="M1" s="15"/>
      <c r="N1" s="15"/>
      <c r="O1" s="15"/>
      <c r="P1" s="15"/>
    </row>
    <row r="2" spans="1:16" x14ac:dyDescent="0.3">
      <c r="A2" s="18" t="s">
        <v>24</v>
      </c>
      <c r="H2" s="15"/>
      <c r="I2" s="15"/>
      <c r="J2" s="15"/>
      <c r="K2" s="15"/>
      <c r="L2" s="15"/>
      <c r="M2" s="15"/>
      <c r="N2" s="15"/>
      <c r="O2" s="15"/>
      <c r="P2" s="15"/>
    </row>
    <row r="4" spans="1:16" ht="15.75" x14ac:dyDescent="0.25">
      <c r="A4" s="2" t="s">
        <v>15</v>
      </c>
      <c r="B4" s="2" t="s">
        <v>16</v>
      </c>
    </row>
    <row r="5" spans="1:16" ht="31.5" x14ac:dyDescent="0.25">
      <c r="A5" s="20" t="s">
        <v>36</v>
      </c>
      <c r="B5" s="19" t="s">
        <v>34</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_xlpm.m,_xlfn.LAMBDA(_xlpm.lin,_xlpm.col,0))) )($F$7)</f>
        <v>0</v>
      </c>
      <c r="I9" s="16">
        <v>0</v>
      </c>
      <c r="J9" s="16">
        <v>0</v>
      </c>
      <c r="K9" s="16">
        <v>0</v>
      </c>
    </row>
    <row r="10" spans="1:16" x14ac:dyDescent="0.3">
      <c r="H10" s="16">
        <v>0</v>
      </c>
      <c r="I10" s="16">
        <v>0</v>
      </c>
      <c r="J10" s="16">
        <v>0</v>
      </c>
      <c r="K10" s="16">
        <v>0</v>
      </c>
    </row>
    <row r="11" spans="1:16" x14ac:dyDescent="0.3">
      <c r="H11" s="16">
        <v>0</v>
      </c>
      <c r="I11" s="16">
        <v>0</v>
      </c>
      <c r="J11" s="16">
        <v>0</v>
      </c>
      <c r="K11" s="16">
        <v>0</v>
      </c>
    </row>
    <row r="12" spans="1:16" x14ac:dyDescent="0.3">
      <c r="H12" s="16">
        <v>0</v>
      </c>
      <c r="I12" s="16">
        <v>0</v>
      </c>
      <c r="J12" s="16">
        <v>0</v>
      </c>
      <c r="K12" s="16">
        <v>0</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_xlpm.m,_xlfn.LAMBDA(_xlpm.lin,_xlpm.col,0))) )($F$15,$F$16)</f>
        <v>0</v>
      </c>
      <c r="I17" s="16">
        <v>0</v>
      </c>
    </row>
    <row r="18" spans="8:9" x14ac:dyDescent="0.3">
      <c r="H18" s="16">
        <v>0</v>
      </c>
      <c r="I18" s="16">
        <v>0</v>
      </c>
    </row>
    <row r="19" spans="8:9" x14ac:dyDescent="0.3">
      <c r="H19" s="16">
        <v>0</v>
      </c>
      <c r="I19" s="16">
        <v>0</v>
      </c>
    </row>
    <row r="20" spans="8:9" x14ac:dyDescent="0.3">
      <c r="H20" s="16">
        <v>0</v>
      </c>
      <c r="I20" s="16">
        <v>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8BE3-C3AC-4575-A0E7-496C1643E2AC}">
  <sheetPr codeName="Planilha8">
    <tabColor theme="9" tint="0.59999389629810485"/>
  </sheetPr>
  <dimension ref="A1:P20"/>
  <sheetViews>
    <sheetView showGridLines="0" workbookViewId="0">
      <selection activeCell="D5" sqref="D5"/>
    </sheetView>
  </sheetViews>
  <sheetFormatPr defaultColWidth="8.85546875" defaultRowHeight="18.75" x14ac:dyDescent="0.3"/>
  <cols>
    <col min="1" max="1" width="12.7109375" style="18" customWidth="1"/>
    <col min="2" max="2" width="24.85546875" bestFit="1" customWidth="1"/>
    <col min="8" max="16" width="9.140625" style="16"/>
  </cols>
  <sheetData>
    <row r="1" spans="1:16" x14ac:dyDescent="0.3">
      <c r="A1" s="17" t="s">
        <v>32</v>
      </c>
      <c r="H1" s="15"/>
      <c r="I1" s="15"/>
      <c r="J1" s="15"/>
      <c r="K1" s="15"/>
      <c r="L1" s="15"/>
      <c r="M1" s="15"/>
      <c r="N1" s="15"/>
      <c r="O1" s="15"/>
      <c r="P1" s="15"/>
    </row>
    <row r="2" spans="1:16" x14ac:dyDescent="0.3">
      <c r="A2" s="18" t="s">
        <v>33</v>
      </c>
      <c r="H2" s="15"/>
      <c r="I2" s="15"/>
      <c r="J2" s="15"/>
      <c r="K2" s="15"/>
      <c r="L2" s="15"/>
      <c r="M2" s="15"/>
      <c r="N2" s="15"/>
      <c r="O2" s="15"/>
      <c r="P2" s="15"/>
    </row>
    <row r="4" spans="1:16" ht="15.75" x14ac:dyDescent="0.25">
      <c r="A4" s="2" t="s">
        <v>15</v>
      </c>
      <c r="B4" s="2" t="s">
        <v>16</v>
      </c>
    </row>
    <row r="5" spans="1:16" ht="31.5" x14ac:dyDescent="0.25">
      <c r="A5" s="20" t="s">
        <v>36</v>
      </c>
      <c r="B5" s="19" t="s">
        <v>35</v>
      </c>
    </row>
    <row r="6" spans="1:16" ht="47.25" x14ac:dyDescent="0.25">
      <c r="A6" s="20" t="s">
        <v>38</v>
      </c>
      <c r="B6" s="19" t="s">
        <v>40</v>
      </c>
    </row>
    <row r="7" spans="1:16" x14ac:dyDescent="0.3">
      <c r="D7" s="1" t="s">
        <v>17</v>
      </c>
      <c r="E7" s="14" t="s">
        <v>36</v>
      </c>
      <c r="F7" s="13">
        <v>4</v>
      </c>
    </row>
    <row r="9" spans="1:16" x14ac:dyDescent="0.3">
      <c r="H9" s="16" cm="1">
        <f t="array" ref="H9:K12">_xlfn.LAMBDA(_xlpm.n,_xlop.m, _xlfn.LET(_xlpm.m, IF(_xlfn.ISOMITTED(_xlpm.m),_xlpm.n,IF(_xlpm.m=0,_xlpm.n,_xlpm.m)), _xlfn.MAKEARRAY(_xlpm.n, _xlpm.m,_xlfn.LAMBDA(_xlpm.lin,_xlpm.col,1))) )($F$7)</f>
        <v>1</v>
      </c>
      <c r="I9" s="16">
        <v>1</v>
      </c>
      <c r="J9" s="16">
        <v>1</v>
      </c>
      <c r="K9" s="16">
        <v>1</v>
      </c>
    </row>
    <row r="10" spans="1:16" x14ac:dyDescent="0.3">
      <c r="H10" s="16">
        <v>1</v>
      </c>
      <c r="I10" s="16">
        <v>1</v>
      </c>
      <c r="J10" s="16">
        <v>1</v>
      </c>
      <c r="K10" s="16">
        <v>1</v>
      </c>
    </row>
    <row r="11" spans="1:16" x14ac:dyDescent="0.3">
      <c r="H11" s="16">
        <v>1</v>
      </c>
      <c r="I11" s="16">
        <v>1</v>
      </c>
      <c r="J11" s="16">
        <v>1</v>
      </c>
      <c r="K11" s="16">
        <v>1</v>
      </c>
    </row>
    <row r="12" spans="1:16" x14ac:dyDescent="0.3">
      <c r="H12" s="16">
        <v>1</v>
      </c>
      <c r="I12" s="16">
        <v>1</v>
      </c>
      <c r="J12" s="16">
        <v>1</v>
      </c>
      <c r="K12" s="16">
        <v>1</v>
      </c>
    </row>
    <row r="15" spans="1:16" x14ac:dyDescent="0.3">
      <c r="D15" s="1" t="s">
        <v>17</v>
      </c>
      <c r="E15" s="14" t="s">
        <v>36</v>
      </c>
      <c r="F15" s="13">
        <v>4</v>
      </c>
    </row>
    <row r="16" spans="1:16" x14ac:dyDescent="0.3">
      <c r="E16" s="14" t="s">
        <v>37</v>
      </c>
      <c r="F16" s="13">
        <v>2</v>
      </c>
    </row>
    <row r="17" spans="8:9" x14ac:dyDescent="0.3">
      <c r="H17" s="16" cm="1">
        <f t="array" ref="H17:I20">_xlfn.LAMBDA(_xlpm.n,_xlop.m, _xlfn.LET(_xlpm.m, IF(_xlfn.ISOMITTED(_xlpm.m),_xlpm.n,IF(_xlpm.m=0,_xlpm.n,_xlpm.m)), _xlfn.MAKEARRAY(_xlpm.n, _xlpm.m,_xlfn.LAMBDA(_xlpm.lin,_xlpm.col,1))) )($F$15,$F$16)</f>
        <v>1</v>
      </c>
      <c r="I17" s="16">
        <v>1</v>
      </c>
    </row>
    <row r="18" spans="8:9" x14ac:dyDescent="0.3">
      <c r="H18" s="16">
        <v>1</v>
      </c>
      <c r="I18" s="16">
        <v>1</v>
      </c>
    </row>
    <row r="19" spans="8:9" x14ac:dyDescent="0.3">
      <c r="H19" s="16">
        <v>1</v>
      </c>
      <c r="I19" s="16">
        <v>1</v>
      </c>
    </row>
    <row r="20" spans="8:9" x14ac:dyDescent="0.3">
      <c r="H20" s="16">
        <v>1</v>
      </c>
      <c r="I20" s="16">
        <v>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656C5-0298-4732-A389-ECE823DAA134}">
  <sheetPr codeName="Planilha5">
    <tabColor theme="9" tint="0.59999389629810485"/>
  </sheetPr>
  <dimension ref="A1:Q41"/>
  <sheetViews>
    <sheetView showGridLines="0" workbookViewId="0">
      <selection activeCell="K7" sqref="K7"/>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6" width="9.140625" style="16"/>
    <col min="17" max="17" width="12.42578125" style="16" bestFit="1" customWidth="1"/>
    <col min="18" max="19" width="12.42578125" bestFit="1" customWidth="1"/>
  </cols>
  <sheetData>
    <row r="1" spans="1:17" x14ac:dyDescent="0.3">
      <c r="A1" s="17" t="s">
        <v>20</v>
      </c>
      <c r="K1" s="15"/>
      <c r="L1" s="15"/>
      <c r="M1" s="15"/>
      <c r="N1" s="15"/>
      <c r="O1" s="15"/>
      <c r="P1" s="15"/>
      <c r="Q1" s="15"/>
    </row>
    <row r="2" spans="1:17" x14ac:dyDescent="0.3">
      <c r="A2" s="18" t="s">
        <v>21</v>
      </c>
      <c r="K2" s="15"/>
      <c r="L2" s="15"/>
      <c r="M2" s="15"/>
      <c r="N2" s="15"/>
      <c r="O2" s="15"/>
      <c r="P2" s="15"/>
      <c r="Q2" s="15"/>
    </row>
    <row r="4" spans="1:17" ht="15.75" x14ac:dyDescent="0.25">
      <c r="A4" s="2" t="s">
        <v>15</v>
      </c>
      <c r="B4" s="2" t="s">
        <v>16</v>
      </c>
    </row>
    <row r="5" spans="1:17" ht="78.75" x14ac:dyDescent="0.25">
      <c r="A5" s="20" t="s">
        <v>22</v>
      </c>
      <c r="B5" s="21" t="s">
        <v>25</v>
      </c>
    </row>
    <row r="6" spans="1:17" ht="63" x14ac:dyDescent="0.25">
      <c r="A6" s="20" t="s">
        <v>26</v>
      </c>
      <c r="B6" s="19" t="s">
        <v>27</v>
      </c>
    </row>
    <row r="7" spans="1:17" x14ac:dyDescent="0.3">
      <c r="D7" s="1" t="s">
        <v>17</v>
      </c>
      <c r="E7" s="14" t="s">
        <v>22</v>
      </c>
      <c r="F7" s="13">
        <v>1</v>
      </c>
      <c r="G7" s="13">
        <v>2</v>
      </c>
      <c r="H7" s="13">
        <v>3</v>
      </c>
      <c r="K7" s="16" cm="1">
        <f t="array" ref="K7:K9">_xlfn.LAMBDA(_xlpm.matrix,_xlop.k,
_xlfn.LET(_xlpm.k,IF(_xlfn.ISOMITTED(_xlpm.k),0,_xlpm.k),
IF(
AND(ROWS(_xlpm.matrix)&gt;1, COLUMNS(_xlpm.matrix)&gt;1), _xlfn._xlws.FILTER(VEC(_xlpm.matrix),VEC(_xlfn.MAKEARRAY(ROWS(_xlpm.matrix),COLUMNS(_xlpm.matrix),_xlfn.LAMBDA(_xlpm.lin,_xlpm.col,_xlpm.col=(_xlpm.lin+_xlpm.k))))),
IF(ROWS(_xlpm.matrix)=1, _xlpm.matrix*_xlfn.MUNIT(COLUMNS(_xlpm.matrix)),
IF(COLUMNS(_xlpm.matrix)=1,_xlpm.matrix*_xlfn.MUNIT(ROWS(_xlpm.matrix))
))))
)($F$7:$H$9)</f>
        <v>1</v>
      </c>
    </row>
    <row r="8" spans="1:17" x14ac:dyDescent="0.3">
      <c r="F8" s="13">
        <v>4</v>
      </c>
      <c r="G8" s="13">
        <v>5</v>
      </c>
      <c r="H8" s="13">
        <v>6</v>
      </c>
      <c r="K8" s="16">
        <v>5</v>
      </c>
    </row>
    <row r="9" spans="1:17" x14ac:dyDescent="0.3">
      <c r="F9" s="13">
        <v>7</v>
      </c>
      <c r="G9" s="13">
        <v>8</v>
      </c>
      <c r="H9" s="13">
        <v>9</v>
      </c>
      <c r="K9" s="16">
        <v>9</v>
      </c>
    </row>
    <row r="13" spans="1:17" x14ac:dyDescent="0.3">
      <c r="D13" s="1" t="s">
        <v>17</v>
      </c>
      <c r="E13" s="14" t="s">
        <v>22</v>
      </c>
      <c r="F13" s="13">
        <v>1</v>
      </c>
      <c r="G13" s="13">
        <v>2</v>
      </c>
      <c r="H13" s="13">
        <v>3</v>
      </c>
      <c r="K13" s="16" cm="1">
        <f t="array" ref="K13:M15">DIAG(DIAG(F13:H15))</f>
        <v>1</v>
      </c>
      <c r="L13" s="16">
        <v>0</v>
      </c>
      <c r="M13" s="16">
        <v>0</v>
      </c>
    </row>
    <row r="14" spans="1:17" x14ac:dyDescent="0.3">
      <c r="F14" s="13">
        <v>4</v>
      </c>
      <c r="G14" s="13">
        <v>5</v>
      </c>
      <c r="H14" s="13">
        <v>6</v>
      </c>
      <c r="K14" s="16">
        <v>0</v>
      </c>
      <c r="L14" s="16">
        <v>5</v>
      </c>
      <c r="M14" s="16">
        <v>0</v>
      </c>
    </row>
    <row r="15" spans="1:17" x14ac:dyDescent="0.3">
      <c r="F15" s="13">
        <v>7</v>
      </c>
      <c r="G15" s="13">
        <v>8</v>
      </c>
      <c r="H15" s="13">
        <v>9</v>
      </c>
      <c r="K15" s="16">
        <v>0</v>
      </c>
      <c r="L15" s="16">
        <v>0</v>
      </c>
      <c r="M15" s="16">
        <v>9</v>
      </c>
    </row>
    <row r="19" spans="4:13" x14ac:dyDescent="0.3">
      <c r="D19" s="1" t="s">
        <v>17</v>
      </c>
      <c r="E19" s="14" t="s">
        <v>22</v>
      </c>
      <c r="F19" s="13">
        <v>5</v>
      </c>
      <c r="G19" s="13"/>
      <c r="H19" s="13"/>
      <c r="K19" s="16" cm="1">
        <f t="array" ref="K19:M21">DIAG($F$19:$F$21)</f>
        <v>5</v>
      </c>
      <c r="L19" s="16">
        <v>0</v>
      </c>
      <c r="M19" s="16">
        <v>0</v>
      </c>
    </row>
    <row r="20" spans="4:13" x14ac:dyDescent="0.3">
      <c r="F20" s="13">
        <v>4</v>
      </c>
      <c r="G20" s="13"/>
      <c r="H20" s="13"/>
      <c r="K20" s="16">
        <v>0</v>
      </c>
      <c r="L20" s="16">
        <v>4</v>
      </c>
      <c r="M20" s="16">
        <v>0</v>
      </c>
    </row>
    <row r="21" spans="4:13" x14ac:dyDescent="0.3">
      <c r="F21" s="13">
        <v>7</v>
      </c>
      <c r="G21" s="13"/>
      <c r="H21" s="13"/>
      <c r="K21" s="16">
        <v>0</v>
      </c>
      <c r="L21" s="16">
        <v>0</v>
      </c>
      <c r="M21" s="16">
        <v>7</v>
      </c>
    </row>
    <row r="25" spans="4:13" x14ac:dyDescent="0.3">
      <c r="D25" s="1" t="s">
        <v>17</v>
      </c>
      <c r="E25" s="14" t="s">
        <v>22</v>
      </c>
      <c r="F25" s="13">
        <v>5</v>
      </c>
      <c r="G25" s="13">
        <v>4</v>
      </c>
      <c r="H25" s="13">
        <v>7</v>
      </c>
      <c r="K25" s="16" cm="1">
        <f t="array" ref="K25:M27">DIAG($F$25:$H$25)</f>
        <v>5</v>
      </c>
      <c r="L25" s="16">
        <v>0</v>
      </c>
      <c r="M25" s="16">
        <v>0</v>
      </c>
    </row>
    <row r="26" spans="4:13" x14ac:dyDescent="0.3">
      <c r="F26" s="13"/>
      <c r="G26" s="13"/>
      <c r="H26" s="13"/>
      <c r="K26" s="16">
        <v>0</v>
      </c>
      <c r="L26" s="16">
        <v>4</v>
      </c>
      <c r="M26" s="16">
        <v>0</v>
      </c>
    </row>
    <row r="27" spans="4:13" x14ac:dyDescent="0.3">
      <c r="F27" s="13"/>
      <c r="G27" s="13"/>
      <c r="H27" s="13"/>
      <c r="K27" s="16">
        <v>0</v>
      </c>
      <c r="L27" s="16">
        <v>0</v>
      </c>
      <c r="M27" s="16">
        <v>7</v>
      </c>
    </row>
    <row r="31" spans="4:13" x14ac:dyDescent="0.3">
      <c r="D31" s="1" t="s">
        <v>17</v>
      </c>
      <c r="E31" s="14" t="s">
        <v>22</v>
      </c>
      <c r="F31" s="13">
        <v>1</v>
      </c>
      <c r="G31" s="13">
        <v>2</v>
      </c>
      <c r="H31" s="13">
        <v>3</v>
      </c>
      <c r="K31" s="16" cm="1">
        <f t="array" ref="K31:K32">DIAG($F$31:$H$33,$F$34)</f>
        <v>2</v>
      </c>
    </row>
    <row r="32" spans="4:13" x14ac:dyDescent="0.3">
      <c r="F32" s="13">
        <v>4</v>
      </c>
      <c r="G32" s="13">
        <v>5</v>
      </c>
      <c r="H32" s="13">
        <v>6</v>
      </c>
      <c r="K32" s="16">
        <v>6</v>
      </c>
    </row>
    <row r="33" spans="4:11" x14ac:dyDescent="0.3">
      <c r="F33" s="13">
        <v>7</v>
      </c>
      <c r="G33" s="13">
        <v>8</v>
      </c>
      <c r="H33" s="13">
        <v>9</v>
      </c>
    </row>
    <row r="34" spans="4:11" x14ac:dyDescent="0.3">
      <c r="E34" s="14" t="s">
        <v>26</v>
      </c>
      <c r="F34" s="13">
        <v>1</v>
      </c>
    </row>
    <row r="38" spans="4:11" x14ac:dyDescent="0.3">
      <c r="D38" s="1" t="s">
        <v>17</v>
      </c>
      <c r="E38" s="14" t="s">
        <v>22</v>
      </c>
      <c r="F38" s="13">
        <v>1</v>
      </c>
      <c r="G38" s="13">
        <v>2</v>
      </c>
      <c r="K38" s="16" cm="1">
        <f t="array" ref="K38:K39">DIAG($F$38:$G$40,$F$41)</f>
        <v>4</v>
      </c>
    </row>
    <row r="39" spans="4:11" x14ac:dyDescent="0.3">
      <c r="F39" s="13">
        <v>4</v>
      </c>
      <c r="G39" s="13">
        <v>5</v>
      </c>
      <c r="K39" s="16">
        <v>8</v>
      </c>
    </row>
    <row r="40" spans="4:11" x14ac:dyDescent="0.3">
      <c r="F40" s="13">
        <v>7</v>
      </c>
      <c r="G40" s="13">
        <v>8</v>
      </c>
    </row>
    <row r="41" spans="4:11" x14ac:dyDescent="0.3">
      <c r="E41" s="14" t="s">
        <v>26</v>
      </c>
      <c r="F41" s="13">
        <v>-1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2A2-5F1C-4A99-AEA1-29C2348D1606}">
  <sheetPr codeName="Planilha6">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30</v>
      </c>
      <c r="J1" s="15"/>
      <c r="K1" s="15"/>
      <c r="L1" s="15"/>
      <c r="M1" s="15"/>
      <c r="N1" s="15"/>
      <c r="O1" s="15"/>
      <c r="P1" s="15"/>
    </row>
    <row r="2" spans="1:16" x14ac:dyDescent="0.3">
      <c r="A2" s="18" t="s">
        <v>54</v>
      </c>
      <c r="J2" s="15"/>
      <c r="K2" s="15"/>
      <c r="L2" s="15"/>
      <c r="M2" s="15"/>
      <c r="N2" s="15"/>
      <c r="O2" s="15"/>
      <c r="P2" s="15"/>
    </row>
    <row r="4" spans="1:16" ht="15.75" x14ac:dyDescent="0.25">
      <c r="A4" s="2" t="s">
        <v>15</v>
      </c>
      <c r="B4" s="2" t="s">
        <v>16</v>
      </c>
    </row>
    <row r="5" spans="1:16" ht="47.25" x14ac:dyDescent="0.25">
      <c r="A5" s="20" t="s">
        <v>22</v>
      </c>
      <c r="B5" s="21" t="s">
        <v>28</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_xlfn.LAMBDA(_xlpm.matrix,_xlop.K,_xlfn.MAKEARRAY(ROWS(_xlpm.matrix),COLUMNS(_xlpm.matrix),_xlfn.LAMBDA(_xlpm.lin,_xlpm.col,_xlpm.col&lt;=(_xlpm.lin+_xlpm.K)))*_xlpm.matrix)(F7:H9)</f>
        <v>1</v>
      </c>
      <c r="K7" s="16">
        <v>0</v>
      </c>
      <c r="L7" s="16">
        <v>0</v>
      </c>
    </row>
    <row r="8" spans="1:16" x14ac:dyDescent="0.3">
      <c r="F8" s="13">
        <v>4</v>
      </c>
      <c r="G8" s="13">
        <v>5</v>
      </c>
      <c r="H8" s="13">
        <v>6</v>
      </c>
      <c r="J8" s="16">
        <v>4</v>
      </c>
      <c r="K8" s="16">
        <v>5</v>
      </c>
      <c r="L8" s="16">
        <v>0</v>
      </c>
    </row>
    <row r="9" spans="1:16" x14ac:dyDescent="0.3">
      <c r="F9" s="13">
        <v>7</v>
      </c>
      <c r="G9" s="13">
        <v>8</v>
      </c>
      <c r="H9" s="13">
        <v>9</v>
      </c>
      <c r="J9" s="16">
        <v>7</v>
      </c>
      <c r="K9" s="16">
        <v>8</v>
      </c>
      <c r="L9" s="16">
        <v>9</v>
      </c>
    </row>
    <row r="13" spans="1:16" x14ac:dyDescent="0.3">
      <c r="D13" s="1" t="s">
        <v>17</v>
      </c>
      <c r="E13" s="14" t="s">
        <v>22</v>
      </c>
      <c r="F13" s="13">
        <v>1</v>
      </c>
      <c r="G13" s="13">
        <v>2</v>
      </c>
      <c r="H13" s="13">
        <v>3</v>
      </c>
      <c r="J13" s="16" cm="1">
        <f t="array" ref="J13:L15">TRIL(F13:H15,F16)</f>
        <v>0</v>
      </c>
      <c r="K13" s="16">
        <v>0</v>
      </c>
      <c r="L13" s="16">
        <v>0</v>
      </c>
    </row>
    <row r="14" spans="1:16" x14ac:dyDescent="0.3">
      <c r="F14" s="13">
        <v>4</v>
      </c>
      <c r="G14" s="13">
        <v>5</v>
      </c>
      <c r="H14" s="13">
        <v>6</v>
      </c>
      <c r="J14" s="16">
        <v>4</v>
      </c>
      <c r="K14" s="16">
        <v>0</v>
      </c>
      <c r="L14" s="16">
        <v>0</v>
      </c>
    </row>
    <row r="15" spans="1:16" x14ac:dyDescent="0.3">
      <c r="F15" s="13">
        <v>7</v>
      </c>
      <c r="G15" s="13">
        <v>8</v>
      </c>
      <c r="H15" s="13">
        <v>9</v>
      </c>
      <c r="J15" s="16">
        <v>7</v>
      </c>
      <c r="K15" s="16">
        <v>8</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B1A3-0EDF-4665-9E05-96427E8C5CF2}">
  <sheetPr codeName="Planilha7">
    <tabColor theme="9" tint="0.59999389629810485"/>
  </sheetPr>
  <dimension ref="A1:P16"/>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0" max="10" width="12.42578125" style="16" bestFit="1" customWidth="1"/>
    <col min="11" max="15" width="9.140625" style="16"/>
    <col min="16" max="16" width="12.42578125" style="16" bestFit="1" customWidth="1"/>
  </cols>
  <sheetData>
    <row r="1" spans="1:16" x14ac:dyDescent="0.3">
      <c r="A1" s="17" t="s">
        <v>31</v>
      </c>
      <c r="J1" s="15"/>
      <c r="K1" s="15"/>
      <c r="L1" s="15"/>
      <c r="M1" s="15"/>
      <c r="N1" s="15"/>
      <c r="O1" s="15"/>
      <c r="P1" s="15"/>
    </row>
    <row r="2" spans="1:16" x14ac:dyDescent="0.3">
      <c r="A2" s="18" t="s">
        <v>53</v>
      </c>
      <c r="J2" s="15"/>
      <c r="K2" s="15"/>
      <c r="L2" s="15"/>
      <c r="M2" s="15"/>
      <c r="N2" s="15"/>
      <c r="O2" s="15"/>
      <c r="P2" s="15"/>
    </row>
    <row r="4" spans="1:16" ht="15.75" x14ac:dyDescent="0.25">
      <c r="A4" s="2" t="s">
        <v>15</v>
      </c>
      <c r="B4" s="2" t="s">
        <v>16</v>
      </c>
    </row>
    <row r="5" spans="1:16" ht="47.25" x14ac:dyDescent="0.25">
      <c r="A5" s="20" t="s">
        <v>22</v>
      </c>
      <c r="B5" s="21" t="s">
        <v>43</v>
      </c>
    </row>
    <row r="6" spans="1:16" ht="47.25" x14ac:dyDescent="0.25">
      <c r="A6" s="20" t="s">
        <v>26</v>
      </c>
      <c r="B6" s="19" t="s">
        <v>29</v>
      </c>
    </row>
    <row r="7" spans="1:16" x14ac:dyDescent="0.3">
      <c r="D7" s="1" t="s">
        <v>17</v>
      </c>
      <c r="E7" s="14" t="s">
        <v>22</v>
      </c>
      <c r="F7" s="13">
        <v>1</v>
      </c>
      <c r="G7" s="13">
        <v>2</v>
      </c>
      <c r="H7" s="13">
        <v>3</v>
      </c>
      <c r="J7" s="16" cm="1">
        <f t="array" ref="J7:L9">_xlfn.LAMBDA(_xlpm.matrix,_xlop.K,_xlfn.MAKEARRAY(ROWS(_xlpm.matrix),COLUMNS(_xlpm.matrix),_xlfn.LAMBDA(_xlpm.lin,_xlpm.col,_xlpm.col&gt;=(_xlpm.lin+_xlpm.K)))*_xlpm.matrix)(F7:H9)</f>
        <v>1</v>
      </c>
      <c r="K7" s="16">
        <v>2</v>
      </c>
      <c r="L7" s="16">
        <v>3</v>
      </c>
    </row>
    <row r="8" spans="1:16" x14ac:dyDescent="0.3">
      <c r="F8" s="13">
        <v>4</v>
      </c>
      <c r="G8" s="13">
        <v>5</v>
      </c>
      <c r="H8" s="13">
        <v>6</v>
      </c>
      <c r="J8" s="16">
        <v>0</v>
      </c>
      <c r="K8" s="16">
        <v>5</v>
      </c>
      <c r="L8" s="16">
        <v>6</v>
      </c>
    </row>
    <row r="9" spans="1:16" x14ac:dyDescent="0.3">
      <c r="F9" s="13">
        <v>7</v>
      </c>
      <c r="G9" s="13">
        <v>8</v>
      </c>
      <c r="H9" s="13">
        <v>9</v>
      </c>
      <c r="J9" s="16">
        <v>0</v>
      </c>
      <c r="K9" s="16">
        <v>0</v>
      </c>
      <c r="L9" s="16">
        <v>9</v>
      </c>
    </row>
    <row r="13" spans="1:16" x14ac:dyDescent="0.3">
      <c r="D13" s="1" t="s">
        <v>17</v>
      </c>
      <c r="E13" s="14" t="s">
        <v>22</v>
      </c>
      <c r="F13" s="13">
        <v>1</v>
      </c>
      <c r="G13" s="13">
        <v>2</v>
      </c>
      <c r="H13" s="13">
        <v>3</v>
      </c>
      <c r="J13" s="16" cm="1">
        <f t="array" ref="J13:L15">TRIU(F13:H15,F16)</f>
        <v>0</v>
      </c>
      <c r="K13" s="16">
        <v>2</v>
      </c>
      <c r="L13" s="16">
        <v>3</v>
      </c>
    </row>
    <row r="14" spans="1:16" x14ac:dyDescent="0.3">
      <c r="F14" s="13">
        <v>4</v>
      </c>
      <c r="G14" s="13">
        <v>5</v>
      </c>
      <c r="H14" s="13">
        <v>6</v>
      </c>
      <c r="J14" s="16">
        <v>0</v>
      </c>
      <c r="K14" s="16">
        <v>0</v>
      </c>
      <c r="L14" s="16">
        <v>6</v>
      </c>
    </row>
    <row r="15" spans="1:16" x14ac:dyDescent="0.3">
      <c r="F15" s="13">
        <v>7</v>
      </c>
      <c r="G15" s="13">
        <v>8</v>
      </c>
      <c r="H15" s="13">
        <v>9</v>
      </c>
      <c r="J15" s="16">
        <v>0</v>
      </c>
      <c r="K15" s="16">
        <v>0</v>
      </c>
      <c r="L15" s="16">
        <v>0</v>
      </c>
    </row>
    <row r="16" spans="1:16" x14ac:dyDescent="0.3">
      <c r="E16" s="14" t="s">
        <v>44</v>
      </c>
      <c r="F16" s="13">
        <v>1</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3021-1C77-490D-A75C-6E51718CFDEE}">
  <sheetPr codeName="Planilha9">
    <tabColor theme="9" tint="0.59999389629810485"/>
  </sheetPr>
  <dimension ref="A1:Q28"/>
  <sheetViews>
    <sheetView showGridLines="0" workbookViewId="0">
      <selection activeCell="N6" sqref="N6"/>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9.140625" style="16"/>
    <col min="17" max="17" width="12.42578125" style="16" bestFit="1" customWidth="1"/>
    <col min="18" max="19" width="12.42578125" bestFit="1" customWidth="1"/>
  </cols>
  <sheetData>
    <row r="1" spans="1:17" x14ac:dyDescent="0.3">
      <c r="A1" s="30" t="s">
        <v>41</v>
      </c>
      <c r="B1" s="31"/>
      <c r="C1" s="31"/>
      <c r="D1" s="31"/>
      <c r="K1" s="15"/>
      <c r="L1" s="15"/>
      <c r="M1" s="15"/>
      <c r="N1" s="15"/>
      <c r="O1" s="15"/>
      <c r="P1" s="15"/>
      <c r="Q1" s="15"/>
    </row>
    <row r="2" spans="1:17" x14ac:dyDescent="0.3">
      <c r="A2" s="18" t="s">
        <v>139</v>
      </c>
      <c r="K2" s="15"/>
      <c r="L2" s="15"/>
      <c r="M2" s="15"/>
      <c r="N2" s="15"/>
      <c r="O2" s="15"/>
      <c r="P2" s="15"/>
      <c r="Q2" s="15"/>
    </row>
    <row r="4" spans="1:17" ht="15.75" x14ac:dyDescent="0.25">
      <c r="A4" s="2" t="s">
        <v>15</v>
      </c>
      <c r="B4" s="2" t="s">
        <v>16</v>
      </c>
    </row>
    <row r="5" spans="1:17" ht="31.5" x14ac:dyDescent="0.25">
      <c r="A5" s="20" t="s">
        <v>22</v>
      </c>
      <c r="B5" s="21" t="s">
        <v>42</v>
      </c>
    </row>
    <row r="6" spans="1:17" ht="63" x14ac:dyDescent="0.25">
      <c r="A6" s="24" t="s">
        <v>136</v>
      </c>
      <c r="B6" s="25" t="s">
        <v>137</v>
      </c>
    </row>
    <row r="9" spans="1:17" x14ac:dyDescent="0.3">
      <c r="D9" s="1" t="s">
        <v>17</v>
      </c>
      <c r="E9" s="14" t="s">
        <v>22</v>
      </c>
      <c r="F9" s="13">
        <v>1</v>
      </c>
      <c r="G9" s="13">
        <v>2</v>
      </c>
      <c r="H9" s="13">
        <v>3</v>
      </c>
      <c r="K9" s="16" cm="1">
        <f t="array" ref="K9:K17">_xlfn.LAMBDA(_xlpm.matrix,_xlop.rowsToCols,
_xlfn.LET( _xlpm.rowsToCols, IF(_xlfn.ISOMITTED(_xlpm.rowsToCols),FALSE,_xlpm.rowsToCols),
_xlpm.matrix, IF(_xlpm.rowsToCols, _xlpm.matrix, TRANSPOSE(_xlpm.matrix)),
INDEX(_xlpm.matrix,
_xlfn.MAKEARRAY(ROWS(_xlpm.matrix)*COLUMNS(_xlpm.matrix),1,_xlfn.LAMBDA(_xlpm.lin,_xlpm.col,ROUNDUP(_xlpm.lin/COLUMNS(_xlpm.matrix),0))),
_xlfn.MAKEARRAY(ROWS(_xlpm.matrix)*COLUMNS(_xlpm.matrix),1,_xlfn.LAMBDA(_xlpm.lin,_xlpm.col,MOD(_xlpm.lin-1,COLUMNS(_xlpm.matrix))+1))
))
)($F$9:$H$11,$F$13)</f>
        <v>1</v>
      </c>
    </row>
    <row r="10" spans="1:17" x14ac:dyDescent="0.3">
      <c r="F10" s="13">
        <v>4</v>
      </c>
      <c r="G10" s="13">
        <v>5</v>
      </c>
      <c r="H10" s="13">
        <v>6</v>
      </c>
      <c r="K10" s="16">
        <v>4</v>
      </c>
    </row>
    <row r="11" spans="1:17" x14ac:dyDescent="0.3">
      <c r="F11" s="13">
        <v>7</v>
      </c>
      <c r="G11" s="13">
        <v>8</v>
      </c>
      <c r="H11" s="13">
        <v>9</v>
      </c>
      <c r="K11" s="16">
        <v>7</v>
      </c>
    </row>
    <row r="12" spans="1:17" x14ac:dyDescent="0.3">
      <c r="K12" s="16">
        <v>2</v>
      </c>
    </row>
    <row r="13" spans="1:17" x14ac:dyDescent="0.3">
      <c r="E13" s="14" t="s">
        <v>138</v>
      </c>
      <c r="F13" s="13" t="b">
        <v>0</v>
      </c>
      <c r="K13" s="16">
        <v>5</v>
      </c>
    </row>
    <row r="14" spans="1:17" x14ac:dyDescent="0.3">
      <c r="K14" s="16">
        <v>8</v>
      </c>
    </row>
    <row r="15" spans="1:17" x14ac:dyDescent="0.3">
      <c r="K15" s="16">
        <v>3</v>
      </c>
    </row>
    <row r="16" spans="1:17" x14ac:dyDescent="0.3">
      <c r="K16" s="16">
        <v>6</v>
      </c>
    </row>
    <row r="17" spans="4:11" x14ac:dyDescent="0.3">
      <c r="K17" s="16">
        <v>9</v>
      </c>
    </row>
    <row r="20" spans="4:11" x14ac:dyDescent="0.3">
      <c r="D20" s="1" t="s">
        <v>17</v>
      </c>
      <c r="E20" s="14" t="s">
        <v>22</v>
      </c>
      <c r="F20" s="13">
        <v>1</v>
      </c>
      <c r="G20" s="13">
        <v>2</v>
      </c>
      <c r="H20" s="13">
        <v>3</v>
      </c>
      <c r="K20" s="16" cm="1">
        <f t="array" ref="K20:K28">VEC($F$20:$H$22,$F$24)</f>
        <v>1</v>
      </c>
    </row>
    <row r="21" spans="4:11" x14ac:dyDescent="0.3">
      <c r="F21" s="13">
        <v>4</v>
      </c>
      <c r="G21" s="13">
        <v>5</v>
      </c>
      <c r="H21" s="13">
        <v>6</v>
      </c>
      <c r="K21" s="16">
        <v>2</v>
      </c>
    </row>
    <row r="22" spans="4:11" x14ac:dyDescent="0.3">
      <c r="F22" s="13">
        <v>7</v>
      </c>
      <c r="G22" s="13">
        <v>8</v>
      </c>
      <c r="H22" s="13">
        <v>9</v>
      </c>
      <c r="K22" s="16">
        <v>3</v>
      </c>
    </row>
    <row r="23" spans="4:11" x14ac:dyDescent="0.3">
      <c r="K23" s="16">
        <v>4</v>
      </c>
    </row>
    <row r="24" spans="4:11" x14ac:dyDescent="0.3">
      <c r="E24" s="14" t="s">
        <v>138</v>
      </c>
      <c r="F24" s="13" t="b">
        <v>1</v>
      </c>
      <c r="K24" s="16">
        <v>5</v>
      </c>
    </row>
    <row r="25" spans="4:11" x14ac:dyDescent="0.3">
      <c r="K25" s="16">
        <v>6</v>
      </c>
    </row>
    <row r="26" spans="4:11" x14ac:dyDescent="0.3">
      <c r="K26" s="16">
        <v>7</v>
      </c>
    </row>
    <row r="27" spans="4:11" x14ac:dyDescent="0.3">
      <c r="K27" s="16">
        <v>8</v>
      </c>
    </row>
    <row r="28" spans="4:11" x14ac:dyDescent="0.3">
      <c r="K28" s="16">
        <v>9</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E71AD-9CA6-480E-AF47-13505DC15D2B}">
  <sheetPr codeName="Planilha16">
    <tabColor theme="9" tint="0.59999389629810485"/>
  </sheetPr>
  <dimension ref="A1:Q34"/>
  <sheetViews>
    <sheetView showGridLines="0" workbookViewId="0">
      <selection activeCell="H5" sqref="H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30" t="s">
        <v>131</v>
      </c>
      <c r="B1" s="31"/>
      <c r="C1" s="31"/>
      <c r="K1" s="15"/>
      <c r="L1" s="15"/>
      <c r="M1" s="15"/>
      <c r="N1" s="15"/>
      <c r="O1" s="15"/>
      <c r="P1" s="15"/>
      <c r="Q1" s="15"/>
    </row>
    <row r="2" spans="1:17" x14ac:dyDescent="0.3">
      <c r="A2" s="18" t="s">
        <v>132</v>
      </c>
      <c r="K2" s="15"/>
      <c r="L2" s="15"/>
      <c r="M2" s="15"/>
      <c r="N2" s="15"/>
      <c r="O2" s="15"/>
      <c r="P2" s="15"/>
      <c r="Q2" s="15"/>
    </row>
    <row r="4" spans="1:17" ht="15.75" x14ac:dyDescent="0.25">
      <c r="A4" s="2" t="s">
        <v>15</v>
      </c>
      <c r="B4" s="2" t="s">
        <v>16</v>
      </c>
    </row>
    <row r="5" spans="1:17" ht="31.5" x14ac:dyDescent="0.25">
      <c r="A5" s="20" t="s">
        <v>22</v>
      </c>
      <c r="B5" s="27" t="s">
        <v>135</v>
      </c>
    </row>
    <row r="6" spans="1:17" ht="15.75" x14ac:dyDescent="0.25">
      <c r="A6" s="24" t="s">
        <v>36</v>
      </c>
      <c r="B6" s="25" t="s">
        <v>133</v>
      </c>
    </row>
    <row r="7" spans="1:17" ht="15.75" x14ac:dyDescent="0.25">
      <c r="A7" s="24" t="s">
        <v>37</v>
      </c>
      <c r="B7" s="25" t="s">
        <v>134</v>
      </c>
    </row>
    <row r="8" spans="1:17" ht="63" x14ac:dyDescent="0.25">
      <c r="A8" s="24" t="s">
        <v>136</v>
      </c>
      <c r="B8" s="25" t="s">
        <v>137</v>
      </c>
    </row>
    <row r="10" spans="1:17" x14ac:dyDescent="0.3">
      <c r="D10" s="1" t="s">
        <v>17</v>
      </c>
      <c r="E10" s="14" t="s">
        <v>22</v>
      </c>
      <c r="F10" s="13">
        <v>1</v>
      </c>
      <c r="G10" s="13">
        <v>4</v>
      </c>
      <c r="H10" s="13">
        <v>7</v>
      </c>
      <c r="I10" s="13">
        <v>10</v>
      </c>
      <c r="K10" s="16" cm="1">
        <f t="array" ref="K10:M13">_xlfn.LAMBDA(_xlpm.matrix,_xlpm.n,_xlpm.m,_xlop.rowsToCols, _xlfn.LET( _xlpm.rowsToCols, IF(_xlfn.ISOMITTED(_xlpm.rowsToCols),FALSE,_xlpm.rowsToCols), _xlpm.vecMatrix, VEC( IF(_xlpm.rowsToCols, _xlpm.matrix, TRANSPOSE(_xlpm.matrix)) ), IF( _xlpm.n+1 &lt;= ROWS(_xlpm.vecMatrix), HORZCAT( SLICE( _xlpm.vecMatrix, 1, _xlpm.n ), RESHAPE( SLICE( _xlpm.vecMatrix, _xlpm.n+1, ROWS(_xlpm.vecMatrix)  ), _xlpm.n,  _xlpm.m, TRUE) ), _xlpm.vecMatrix ) ))($F$10:$I$12,$F$14,$F$15,$F$16)</f>
        <v>1</v>
      </c>
      <c r="L10" s="16">
        <v>2</v>
      </c>
      <c r="M10" s="16">
        <v>3</v>
      </c>
    </row>
    <row r="11" spans="1:17" x14ac:dyDescent="0.3">
      <c r="F11" s="13">
        <v>2</v>
      </c>
      <c r="G11" s="13">
        <v>5</v>
      </c>
      <c r="H11" s="13">
        <v>8</v>
      </c>
      <c r="I11" s="13">
        <v>11</v>
      </c>
      <c r="K11" s="16">
        <v>4</v>
      </c>
      <c r="L11" s="16">
        <v>5</v>
      </c>
      <c r="M11" s="16">
        <v>6</v>
      </c>
    </row>
    <row r="12" spans="1:17" x14ac:dyDescent="0.3">
      <c r="F12" s="13">
        <v>3</v>
      </c>
      <c r="G12" s="13">
        <v>6</v>
      </c>
      <c r="H12" s="13">
        <v>9</v>
      </c>
      <c r="I12" s="13">
        <v>12</v>
      </c>
      <c r="K12" s="16">
        <v>7</v>
      </c>
      <c r="L12" s="16">
        <v>8</v>
      </c>
      <c r="M12" s="16">
        <v>9</v>
      </c>
    </row>
    <row r="13" spans="1:17" x14ac:dyDescent="0.3">
      <c r="K13" s="16">
        <v>10</v>
      </c>
      <c r="L13" s="16">
        <v>11</v>
      </c>
      <c r="M13" s="16">
        <v>12</v>
      </c>
    </row>
    <row r="14" spans="1:17" x14ac:dyDescent="0.3">
      <c r="E14" s="14" t="s">
        <v>36</v>
      </c>
      <c r="F14" s="13">
        <v>4</v>
      </c>
    </row>
    <row r="15" spans="1:17" x14ac:dyDescent="0.3">
      <c r="E15" s="14" t="s">
        <v>37</v>
      </c>
      <c r="F15" s="13">
        <v>3</v>
      </c>
    </row>
    <row r="16" spans="1:17" x14ac:dyDescent="0.3">
      <c r="E16" s="14" t="s">
        <v>138</v>
      </c>
      <c r="F16" s="13" t="b">
        <v>0</v>
      </c>
    </row>
    <row r="19" spans="4:12" x14ac:dyDescent="0.3">
      <c r="D19" s="1" t="s">
        <v>17</v>
      </c>
      <c r="E19" s="14" t="s">
        <v>22</v>
      </c>
      <c r="F19" s="13">
        <v>1</v>
      </c>
      <c r="G19" s="13">
        <v>4</v>
      </c>
      <c r="H19" s="13">
        <v>7</v>
      </c>
      <c r="K19" s="16" cm="1">
        <f t="array" ref="K19:L23">RESHAPE($F$19:$H$21,$F$23,$F$24,$F$25)</f>
        <v>1</v>
      </c>
      <c r="L19" s="16">
        <v>8</v>
      </c>
    </row>
    <row r="20" spans="4:12" x14ac:dyDescent="0.3">
      <c r="F20" s="13">
        <v>2</v>
      </c>
      <c r="G20" s="13">
        <v>5</v>
      </c>
      <c r="H20" s="13">
        <v>8</v>
      </c>
      <c r="K20" s="16">
        <v>4</v>
      </c>
      <c r="L20" s="16">
        <v>3</v>
      </c>
    </row>
    <row r="21" spans="4:12" x14ac:dyDescent="0.3">
      <c r="F21" s="13">
        <v>3</v>
      </c>
      <c r="G21" s="13">
        <v>6</v>
      </c>
      <c r="H21" s="13">
        <v>9</v>
      </c>
      <c r="K21" s="16">
        <v>7</v>
      </c>
      <c r="L21" s="16">
        <v>6</v>
      </c>
    </row>
    <row r="22" spans="4:12" x14ac:dyDescent="0.3">
      <c r="K22" s="16">
        <v>2</v>
      </c>
      <c r="L22" s="16">
        <v>9</v>
      </c>
    </row>
    <row r="23" spans="4:12" x14ac:dyDescent="0.3">
      <c r="E23" s="14" t="s">
        <v>36</v>
      </c>
      <c r="F23" s="13">
        <v>5</v>
      </c>
      <c r="K23" s="16">
        <v>5</v>
      </c>
      <c r="L23" s="16" t="e">
        <v>#REF!</v>
      </c>
    </row>
    <row r="24" spans="4:12" x14ac:dyDescent="0.3">
      <c r="E24" s="14" t="s">
        <v>37</v>
      </c>
      <c r="F24" s="13">
        <v>2</v>
      </c>
    </row>
    <row r="25" spans="4:12" x14ac:dyDescent="0.3">
      <c r="E25" s="14" t="s">
        <v>138</v>
      </c>
      <c r="F25" s="13" t="b">
        <v>0</v>
      </c>
    </row>
    <row r="28" spans="4:12" x14ac:dyDescent="0.3">
      <c r="D28" s="1" t="s">
        <v>17</v>
      </c>
      <c r="E28" s="14" t="s">
        <v>22</v>
      </c>
      <c r="F28" s="13">
        <v>1</v>
      </c>
      <c r="G28" s="13">
        <v>4</v>
      </c>
      <c r="H28" s="13">
        <v>7</v>
      </c>
      <c r="K28" s="16" cm="1">
        <f t="array" ref="K28:L32">RESHAPE($F$28:$H$30,$F$32,$F$33,$F$34)</f>
        <v>1</v>
      </c>
      <c r="L28" s="16">
        <v>6</v>
      </c>
    </row>
    <row r="29" spans="4:12" x14ac:dyDescent="0.3">
      <c r="F29" s="13">
        <v>2</v>
      </c>
      <c r="G29" s="13">
        <v>5</v>
      </c>
      <c r="H29" s="13">
        <v>8</v>
      </c>
      <c r="K29" s="16">
        <v>2</v>
      </c>
      <c r="L29" s="16">
        <v>7</v>
      </c>
    </row>
    <row r="30" spans="4:12" x14ac:dyDescent="0.3">
      <c r="F30" s="13">
        <v>3</v>
      </c>
      <c r="G30" s="13">
        <v>6</v>
      </c>
      <c r="H30" s="13">
        <v>9</v>
      </c>
      <c r="K30" s="16">
        <v>3</v>
      </c>
      <c r="L30" s="16">
        <v>8</v>
      </c>
    </row>
    <row r="31" spans="4:12" x14ac:dyDescent="0.3">
      <c r="K31" s="16">
        <v>4</v>
      </c>
      <c r="L31" s="16">
        <v>9</v>
      </c>
    </row>
    <row r="32" spans="4:12" x14ac:dyDescent="0.3">
      <c r="E32" s="14" t="s">
        <v>36</v>
      </c>
      <c r="F32" s="13">
        <v>5</v>
      </c>
      <c r="K32" s="16">
        <v>5</v>
      </c>
      <c r="L32" s="16" t="e">
        <v>#REF!</v>
      </c>
    </row>
    <row r="33" spans="5:6" x14ac:dyDescent="0.3">
      <c r="E33" s="14" t="s">
        <v>37</v>
      </c>
      <c r="F33" s="13">
        <v>2</v>
      </c>
    </row>
    <row r="34" spans="5:6" x14ac:dyDescent="0.3">
      <c r="E34" s="14" t="s">
        <v>138</v>
      </c>
      <c r="F34" s="13" t="b">
        <v>1</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DEC5-68FB-4441-9AF3-3B0CD23070AF}">
  <sheetPr codeName="Planilha17">
    <tabColor theme="9" tint="0.59999389629810485"/>
  </sheetPr>
  <dimension ref="A1:Q12"/>
  <sheetViews>
    <sheetView showGridLines="0" workbookViewId="0">
      <selection activeCell="D5" sqref="D5"/>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45</v>
      </c>
      <c r="K1" s="15"/>
      <c r="L1" s="15"/>
      <c r="M1" s="15"/>
      <c r="N1" s="15"/>
      <c r="O1" s="15"/>
      <c r="P1" s="15"/>
      <c r="Q1" s="15"/>
    </row>
    <row r="2" spans="1:17" x14ac:dyDescent="0.3">
      <c r="A2" s="18" t="s">
        <v>52</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G7" s="13">
        <v>2</v>
      </c>
      <c r="H7" s="13">
        <v>3</v>
      </c>
      <c r="K7" s="16" cm="1">
        <f t="array" ref="K7:M7">_xlfn.LAMBDA(_xlpm.matrix,_xlfn.LET(_xlpm.matrix2,TRANSPOSE(_xlpm.matrix),TRANSPOSE(_xlfn.SORTBY(_xlpm.matrix2,_xlfn.SEQUENCE(ROWS(_xlpm.matrix2),1),-1))))($F$7:$H$7)</f>
        <v>3</v>
      </c>
      <c r="L7" s="16">
        <v>2</v>
      </c>
      <c r="M7" s="16">
        <v>1</v>
      </c>
    </row>
    <row r="10" spans="1:17" x14ac:dyDescent="0.3">
      <c r="D10" s="1" t="s">
        <v>17</v>
      </c>
      <c r="E10" s="14" t="s">
        <v>22</v>
      </c>
      <c r="F10" s="13">
        <v>1</v>
      </c>
      <c r="G10" s="13">
        <v>2</v>
      </c>
      <c r="H10" s="13">
        <v>3</v>
      </c>
      <c r="K10" s="16" cm="1">
        <f t="array" ref="K10:M12">FLIPLR($F$10:$H$12)</f>
        <v>3</v>
      </c>
      <c r="L10" s="16">
        <v>2</v>
      </c>
      <c r="M10" s="16">
        <v>1</v>
      </c>
    </row>
    <row r="11" spans="1:17" x14ac:dyDescent="0.3">
      <c r="F11" s="13">
        <v>4</v>
      </c>
      <c r="G11" s="13">
        <v>5</v>
      </c>
      <c r="H11" s="13">
        <v>6</v>
      </c>
      <c r="K11" s="16">
        <v>6</v>
      </c>
      <c r="L11" s="16">
        <v>5</v>
      </c>
      <c r="M11" s="16">
        <v>4</v>
      </c>
    </row>
    <row r="12" spans="1:17" x14ac:dyDescent="0.3">
      <c r="F12" s="13">
        <v>7</v>
      </c>
      <c r="G12" s="13">
        <v>8</v>
      </c>
      <c r="H12" s="13">
        <v>9</v>
      </c>
      <c r="K12" s="16">
        <v>9</v>
      </c>
      <c r="L12" s="16">
        <v>8</v>
      </c>
      <c r="M12" s="16">
        <v>7</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7DF-B4FB-4CE5-B471-33A0D5B27BBA}">
  <sheetPr codeName="Planilha18">
    <tabColor theme="9" tint="0.59999389629810485"/>
  </sheetPr>
  <dimension ref="A1:Q16"/>
  <sheetViews>
    <sheetView showGridLines="0" workbookViewId="0">
      <selection activeCell="K14" sqref="K14"/>
    </sheetView>
  </sheetViews>
  <sheetFormatPr defaultColWidth="8.85546875" defaultRowHeight="18.75" x14ac:dyDescent="0.3"/>
  <cols>
    <col min="1" max="1" width="12.7109375" style="18" customWidth="1"/>
    <col min="2" max="2" width="30.42578125" bestFit="1" customWidth="1"/>
    <col min="5" max="5" width="12.28515625" bestFit="1" customWidth="1"/>
    <col min="6" max="6" width="12.42578125" bestFit="1" customWidth="1"/>
    <col min="11" max="11" width="11.28515625" style="16" bestFit="1" customWidth="1"/>
    <col min="12" max="16" width="8.85546875" style="16"/>
    <col min="17" max="17" width="12.42578125" style="16" bestFit="1" customWidth="1"/>
    <col min="18" max="19" width="12.42578125" bestFit="1" customWidth="1"/>
  </cols>
  <sheetData>
    <row r="1" spans="1:17" x14ac:dyDescent="0.3">
      <c r="A1" s="17" t="s">
        <v>47</v>
      </c>
      <c r="K1" s="15"/>
      <c r="L1" s="15"/>
      <c r="M1" s="15"/>
      <c r="N1" s="15"/>
      <c r="O1" s="15"/>
      <c r="P1" s="15"/>
      <c r="Q1" s="15"/>
    </row>
    <row r="2" spans="1:17" x14ac:dyDescent="0.3">
      <c r="A2" s="18" t="s">
        <v>48</v>
      </c>
      <c r="K2" s="15"/>
      <c r="L2" s="15"/>
      <c r="M2" s="15"/>
      <c r="N2" s="15"/>
      <c r="O2" s="15"/>
      <c r="P2" s="15"/>
      <c r="Q2" s="15"/>
    </row>
    <row r="4" spans="1:17" ht="15.75" x14ac:dyDescent="0.25">
      <c r="A4" s="2" t="s">
        <v>15</v>
      </c>
      <c r="B4" s="2" t="s">
        <v>16</v>
      </c>
    </row>
    <row r="5" spans="1:17" ht="31.5" x14ac:dyDescent="0.25">
      <c r="A5" s="20" t="s">
        <v>22</v>
      </c>
      <c r="B5" s="21" t="s">
        <v>46</v>
      </c>
    </row>
    <row r="6" spans="1:17" ht="15.75" x14ac:dyDescent="0.25">
      <c r="A6" s="20"/>
      <c r="B6" s="19"/>
    </row>
    <row r="7" spans="1:17" x14ac:dyDescent="0.3">
      <c r="D7" s="1" t="s">
        <v>17</v>
      </c>
      <c r="E7" s="14" t="s">
        <v>22</v>
      </c>
      <c r="F7" s="13">
        <v>1</v>
      </c>
      <c r="K7" s="16" cm="1">
        <f t="array" ref="K7:K9">_xlfn.LAMBDA(_xlpm.matrix, _xlfn.SORTBY(_xlpm.matrix, _xlfn.SEQUENCE(ROWS(_xlpm.matrix),1),-1) )($F$7:$F$9)</f>
        <v>3</v>
      </c>
    </row>
    <row r="8" spans="1:17" x14ac:dyDescent="0.3">
      <c r="F8" s="13">
        <v>2</v>
      </c>
      <c r="K8" s="16">
        <v>2</v>
      </c>
    </row>
    <row r="9" spans="1:17" x14ac:dyDescent="0.3">
      <c r="F9" s="13">
        <v>3</v>
      </c>
      <c r="K9" s="16">
        <v>1</v>
      </c>
    </row>
    <row r="14" spans="1:17" x14ac:dyDescent="0.3">
      <c r="D14" s="1" t="s">
        <v>17</v>
      </c>
      <c r="E14" s="14" t="s">
        <v>22</v>
      </c>
      <c r="F14" s="13">
        <v>1</v>
      </c>
      <c r="G14" s="13">
        <v>2</v>
      </c>
      <c r="H14" s="13">
        <v>3</v>
      </c>
      <c r="K14" s="16" cm="1">
        <f t="array" ref="K14:M16">FLIPUD($F$14:$H$16)</f>
        <v>7</v>
      </c>
      <c r="L14" s="16">
        <v>8</v>
      </c>
      <c r="M14" s="16">
        <v>9</v>
      </c>
    </row>
    <row r="15" spans="1:17" x14ac:dyDescent="0.3">
      <c r="F15" s="13">
        <v>4</v>
      </c>
      <c r="G15" s="13">
        <v>5</v>
      </c>
      <c r="H15" s="13">
        <v>6</v>
      </c>
      <c r="K15" s="16">
        <v>4</v>
      </c>
      <c r="L15" s="16">
        <v>5</v>
      </c>
      <c r="M15" s="16">
        <v>6</v>
      </c>
    </row>
    <row r="16" spans="1:17" x14ac:dyDescent="0.3">
      <c r="F16" s="13">
        <v>7</v>
      </c>
      <c r="G16" s="13">
        <v>8</v>
      </c>
      <c r="H16" s="13">
        <v>9</v>
      </c>
      <c r="K16" s="16">
        <v>1</v>
      </c>
      <c r="L16" s="16">
        <v>2</v>
      </c>
      <c r="M16" s="16">
        <v>3</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D3C6-519D-4478-A329-CAF41196CC30}">
  <sheetPr codeName="Planilha19">
    <tabColor theme="9" tint="0.59999389629810485"/>
  </sheetPr>
  <dimension ref="A1:T24"/>
  <sheetViews>
    <sheetView showGridLines="0" workbookViewId="0">
      <selection activeCell="J9" sqref="J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50</v>
      </c>
      <c r="J1" s="15"/>
      <c r="K1" s="15"/>
      <c r="L1" s="15"/>
      <c r="M1" s="15"/>
      <c r="N1" s="15"/>
      <c r="O1" s="15"/>
      <c r="P1" s="15"/>
      <c r="Q1" s="15"/>
      <c r="R1" s="15"/>
    </row>
    <row r="2" spans="1:20" x14ac:dyDescent="0.3">
      <c r="A2" s="18" t="s">
        <v>51</v>
      </c>
      <c r="J2" s="15"/>
      <c r="K2" s="15"/>
      <c r="L2" s="15"/>
      <c r="M2" s="15"/>
      <c r="N2" s="15"/>
      <c r="O2" s="15"/>
      <c r="P2" s="15"/>
      <c r="Q2" s="15"/>
      <c r="R2" s="15"/>
    </row>
    <row r="4" spans="1:20" ht="15.75" x14ac:dyDescent="0.25">
      <c r="A4" s="2" t="s">
        <v>15</v>
      </c>
      <c r="B4" s="2" t="s">
        <v>16</v>
      </c>
    </row>
    <row r="5" spans="1:20" ht="15.75" x14ac:dyDescent="0.25">
      <c r="A5" s="20" t="s">
        <v>22</v>
      </c>
      <c r="B5" s="19" t="s">
        <v>55</v>
      </c>
    </row>
    <row r="6" spans="1:20" ht="31.5" x14ac:dyDescent="0.25">
      <c r="A6" s="20" t="s">
        <v>56</v>
      </c>
      <c r="B6" s="19" t="s">
        <v>57</v>
      </c>
    </row>
    <row r="7" spans="1:20" ht="47.25" x14ac:dyDescent="0.25">
      <c r="A7" s="20" t="s">
        <v>38</v>
      </c>
      <c r="B7" s="19" t="s">
        <v>58</v>
      </c>
    </row>
    <row r="9" spans="1:20" x14ac:dyDescent="0.3">
      <c r="D9" s="1" t="s">
        <v>17</v>
      </c>
      <c r="E9" s="14" t="s">
        <v>22</v>
      </c>
      <c r="F9" s="13">
        <v>1</v>
      </c>
      <c r="G9" s="13">
        <v>2</v>
      </c>
      <c r="H9" s="13">
        <v>3</v>
      </c>
      <c r="J9" s="16" cm="1">
        <f t="array" ref="J9:O14">_xlfn.LAMBDA(_xlpm.matrix,_xlop.n,_xlop.m,
 _xlfn.LET(_xlpm.n, IF( OR( _xlfn.ISOMITTED(_xlpm.n), _xlpm.n&lt;1 ),1,_xlpm.n), _xlpm.m, IF( OR( _xlfn.ISOMITTED(_xlpm.m), _xlpm.m&lt;1),1,_xlpm.m),
_xlfn.LET(
_xlpm.nn,_xlpm.n*ROWS(_xlpm.matrix),
_xlpm.mm,_xlpm.m*COLUMNS(_xlpm.matrix),
_xlpm.nseq, IF(MOD(_xlfn.SEQUENCE(_xlpm.nn,1),ROWS(_xlpm.matrix))=0, ROWS(_xlpm.matrix), MOD(_xlfn.SEQUENCE(_xlpm.nn,1),ROWS(_xlpm.matrix))),
_xlpm.mseq, IF(MOD(_xlfn.SEQUENCE(1,_xlpm.mm),COLUMNS(_xlpm.matrix))=0, COLUMNS(_xlpm.matrix), MOD(_xlfn.SEQUENCE(1,_xlpm.mm),COLUMNS(_xlpm.matrix))),
_xlfn.MAKEARRAY(_xlpm.nn,_xlpm.mm,_xlfn.LAMBDA(_xlpm.row,_xlpm.col,INDEX(_xlpm.matrix,INDEX(_xlpm.nseq,_xlpm.row),INDEX(_xlpm.mseq,1,_xlpm.col))))
)))($F$9:$H$11,$F$13,$F$14)</f>
        <v>1</v>
      </c>
      <c r="K9" s="16">
        <v>2</v>
      </c>
      <c r="L9" s="16">
        <v>3</v>
      </c>
      <c r="M9" s="16">
        <v>1</v>
      </c>
      <c r="N9" s="16">
        <v>2</v>
      </c>
      <c r="O9" s="16">
        <v>3</v>
      </c>
    </row>
    <row r="10" spans="1:20" x14ac:dyDescent="0.3">
      <c r="F10" s="13">
        <v>4</v>
      </c>
      <c r="G10" s="13">
        <v>5</v>
      </c>
      <c r="H10" s="13">
        <v>6</v>
      </c>
      <c r="J10" s="16">
        <v>4</v>
      </c>
      <c r="K10" s="16">
        <v>5</v>
      </c>
      <c r="L10" s="16">
        <v>6</v>
      </c>
      <c r="M10" s="16">
        <v>4</v>
      </c>
      <c r="N10" s="16">
        <v>5</v>
      </c>
      <c r="O10" s="16">
        <v>6</v>
      </c>
    </row>
    <row r="11" spans="1:20" x14ac:dyDescent="0.3">
      <c r="F11" s="13">
        <v>7</v>
      </c>
      <c r="G11" s="13">
        <v>8</v>
      </c>
      <c r="H11" s="13">
        <v>9</v>
      </c>
      <c r="J11" s="16">
        <v>7</v>
      </c>
      <c r="K11" s="16">
        <v>8</v>
      </c>
      <c r="L11" s="16">
        <v>9</v>
      </c>
      <c r="M11" s="16">
        <v>7</v>
      </c>
      <c r="N11" s="16">
        <v>8</v>
      </c>
      <c r="O11" s="16">
        <v>9</v>
      </c>
    </row>
    <row r="12" spans="1:20" ht="15" x14ac:dyDescent="0.25">
      <c r="A12"/>
      <c r="J12" s="16">
        <v>1</v>
      </c>
      <c r="K12" s="16">
        <v>2</v>
      </c>
      <c r="L12" s="16">
        <v>3</v>
      </c>
      <c r="M12" s="16">
        <v>1</v>
      </c>
      <c r="N12" s="16">
        <v>2</v>
      </c>
      <c r="O12" s="16">
        <v>3</v>
      </c>
    </row>
    <row r="13" spans="1:20" x14ac:dyDescent="0.3">
      <c r="E13" s="14" t="s">
        <v>36</v>
      </c>
      <c r="F13" s="13">
        <v>2</v>
      </c>
      <c r="J13" s="16">
        <v>4</v>
      </c>
      <c r="K13" s="16">
        <v>5</v>
      </c>
      <c r="L13" s="16">
        <v>6</v>
      </c>
      <c r="M13" s="16">
        <v>4</v>
      </c>
      <c r="N13" s="16">
        <v>5</v>
      </c>
      <c r="O13" s="16">
        <v>6</v>
      </c>
    </row>
    <row r="14" spans="1:20" x14ac:dyDescent="0.3">
      <c r="E14" s="14" t="s">
        <v>37</v>
      </c>
      <c r="F14" s="13">
        <v>2</v>
      </c>
      <c r="J14" s="16">
        <v>7</v>
      </c>
      <c r="K14" s="16">
        <v>8</v>
      </c>
      <c r="L14" s="16">
        <v>9</v>
      </c>
      <c r="M14" s="16">
        <v>7</v>
      </c>
      <c r="N14" s="16">
        <v>8</v>
      </c>
      <c r="O14" s="16">
        <v>9</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22</v>
      </c>
      <c r="F19" s="13">
        <v>1</v>
      </c>
      <c r="G19" s="13">
        <v>2</v>
      </c>
      <c r="H19" s="13">
        <v>3</v>
      </c>
      <c r="J19" s="16" cm="1">
        <f t="array" ref="J19:L24">REPMAT($F$19:$H$21,$F$23)</f>
        <v>1</v>
      </c>
      <c r="K19" s="16">
        <v>2</v>
      </c>
      <c r="L19" s="16">
        <v>3</v>
      </c>
    </row>
    <row r="20" spans="1:20" x14ac:dyDescent="0.3">
      <c r="F20" s="13">
        <v>4</v>
      </c>
      <c r="G20" s="13">
        <v>5</v>
      </c>
      <c r="H20" s="13">
        <v>6</v>
      </c>
      <c r="J20" s="16">
        <v>4</v>
      </c>
      <c r="K20" s="16">
        <v>5</v>
      </c>
      <c r="L20" s="16">
        <v>6</v>
      </c>
    </row>
    <row r="21" spans="1:20" x14ac:dyDescent="0.3">
      <c r="F21" s="13">
        <v>7</v>
      </c>
      <c r="G21" s="13">
        <v>8</v>
      </c>
      <c r="H21" s="13">
        <v>9</v>
      </c>
      <c r="J21" s="16">
        <v>7</v>
      </c>
      <c r="K21" s="16">
        <v>8</v>
      </c>
      <c r="L21" s="16">
        <v>9</v>
      </c>
    </row>
    <row r="22" spans="1:20" x14ac:dyDescent="0.3">
      <c r="J22" s="16">
        <v>1</v>
      </c>
      <c r="K22" s="16">
        <v>2</v>
      </c>
      <c r="L22" s="16">
        <v>3</v>
      </c>
    </row>
    <row r="23" spans="1:20" x14ac:dyDescent="0.3">
      <c r="E23" s="14" t="s">
        <v>36</v>
      </c>
      <c r="F23" s="13">
        <v>2</v>
      </c>
      <c r="J23" s="16">
        <v>4</v>
      </c>
      <c r="K23" s="16">
        <v>5</v>
      </c>
      <c r="L23" s="16">
        <v>6</v>
      </c>
    </row>
    <row r="24" spans="1:20" x14ac:dyDescent="0.3">
      <c r="J24" s="16">
        <v>7</v>
      </c>
      <c r="K24" s="16">
        <v>8</v>
      </c>
      <c r="L24" s="16">
        <v>9</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F175-79D3-4AC3-984B-C425FE780A74}">
  <sheetPr codeName="Planilha20">
    <tabColor theme="9" tint="0.59999389629810485"/>
  </sheetPr>
  <dimension ref="A1:R33"/>
  <sheetViews>
    <sheetView showGridLines="0" workbookViewId="0">
      <selection activeCell="A2" sqref="A2"/>
    </sheetView>
  </sheetViews>
  <sheetFormatPr defaultColWidth="8.85546875" defaultRowHeight="18.75" x14ac:dyDescent="0.3"/>
  <cols>
    <col min="1" max="1" width="12.7109375" style="18" customWidth="1"/>
    <col min="2" max="2" width="31.140625" bestFit="1" customWidth="1"/>
    <col min="6" max="7" width="12.42578125" bestFit="1" customWidth="1"/>
    <col min="10" max="10" width="12.42578125" style="16" bestFit="1" customWidth="1"/>
    <col min="11" max="13" width="8.85546875" style="16"/>
    <col min="14" max="14" width="12.42578125" style="16" bestFit="1" customWidth="1"/>
    <col min="15" max="18" width="8.85546875" style="16"/>
  </cols>
  <sheetData>
    <row r="1" spans="1:18" x14ac:dyDescent="0.3">
      <c r="A1" s="17" t="s">
        <v>88</v>
      </c>
      <c r="J1" s="15"/>
      <c r="K1" s="15"/>
      <c r="L1" s="15"/>
      <c r="M1" s="15"/>
      <c r="N1" s="15"/>
      <c r="O1" s="15"/>
      <c r="P1" s="15"/>
      <c r="Q1" s="15"/>
      <c r="R1" s="15"/>
    </row>
    <row r="2" spans="1:18" x14ac:dyDescent="0.3">
      <c r="A2" s="18" t="s">
        <v>69</v>
      </c>
      <c r="J2" s="15"/>
      <c r="K2" s="15"/>
      <c r="L2" s="15"/>
      <c r="M2" s="15"/>
      <c r="N2" s="15"/>
      <c r="O2" s="15"/>
      <c r="P2" s="15"/>
      <c r="Q2" s="15"/>
      <c r="R2" s="15"/>
    </row>
    <row r="4" spans="1:18" ht="15.75" x14ac:dyDescent="0.25">
      <c r="A4" s="2" t="s">
        <v>15</v>
      </c>
      <c r="B4" s="2" t="s">
        <v>16</v>
      </c>
    </row>
    <row r="5" spans="1:18" ht="15.75" x14ac:dyDescent="0.25">
      <c r="A5" s="20" t="s">
        <v>22</v>
      </c>
      <c r="B5" s="19" t="s">
        <v>55</v>
      </c>
    </row>
    <row r="6" spans="1:18" ht="15.75" x14ac:dyDescent="0.25">
      <c r="A6" s="20" t="s">
        <v>56</v>
      </c>
      <c r="B6" s="19" t="s">
        <v>66</v>
      </c>
    </row>
    <row r="7" spans="1:18" ht="15.75" x14ac:dyDescent="0.25">
      <c r="A7" s="20" t="s">
        <v>64</v>
      </c>
      <c r="B7" s="19" t="s">
        <v>65</v>
      </c>
    </row>
    <row r="9" spans="1:18" x14ac:dyDescent="0.3">
      <c r="D9" s="1" t="s">
        <v>17</v>
      </c>
      <c r="E9" s="14" t="s">
        <v>22</v>
      </c>
      <c r="F9" s="13" t="b">
        <v>1</v>
      </c>
      <c r="J9" s="16" cm="1">
        <f t="array" ref="J9:J10">_xlfn.LAMBDA(_xlpm.matrix,_xlop.n,_xlop.direction,
_xlfn.LET(
_xlpm.n, IF(OR(_xlfn.ISOMITTED(_xlpm.n),_xlpm.n&lt;1), ROWS(_xlpm.matrix)*COLUMNS(_xlpm.matrix),_xlpm.n),
_xlpm.direction, IF(_xlfn.ISOMITTED(_xlpm.direction), "first", LOWER(_xlpm.direction) ),
_xlpm.filtered,
_xlfn._xlws.FILTER(_xlfn.SEQUENCE(ROWS(_xlpm.matrix)*COLUMNS(_xlpm.matrix)),VEC(_xlpm.matrix)*1&lt;&gt;0),
_xlpm.filteredOrdered, IF(_xlpm.direction = "first", _xlpm.filtered, IF( _xlpm.direction = "last", FLIPUD(_xlpm.filtered), #VALUE!) ),
INDEX( _xlpm.filteredOrdered, _xlfn.SEQUENCE( MIN(COUNTA(_xlpm.filteredOrdered),_xlpm.n) ), 0 )
))($F$9:$F$12)</f>
        <v>1</v>
      </c>
    </row>
    <row r="10" spans="1:18" x14ac:dyDescent="0.3">
      <c r="F10" s="13" t="b">
        <v>0</v>
      </c>
      <c r="J10" s="16">
        <v>4</v>
      </c>
    </row>
    <row r="11" spans="1:18" x14ac:dyDescent="0.3">
      <c r="F11" s="13" t="b">
        <v>0</v>
      </c>
    </row>
    <row r="12" spans="1:18" x14ac:dyDescent="0.3">
      <c r="F12" s="13" t="b">
        <v>1</v>
      </c>
    </row>
    <row r="13" spans="1:18" ht="15" x14ac:dyDescent="0.25">
      <c r="A13"/>
    </row>
    <row r="15" spans="1:18" x14ac:dyDescent="0.3">
      <c r="D15" s="1" t="s">
        <v>17</v>
      </c>
      <c r="E15" s="14" t="s">
        <v>22</v>
      </c>
      <c r="F15" s="13" t="b">
        <v>1</v>
      </c>
      <c r="G15" s="13" t="b">
        <v>1</v>
      </c>
      <c r="J15" s="16" cm="1">
        <f t="array" ref="J15:J18">NOZERO($F$15:$G$18)</f>
        <v>1</v>
      </c>
    </row>
    <row r="16" spans="1:18" x14ac:dyDescent="0.3">
      <c r="F16" s="13" t="b">
        <v>0</v>
      </c>
      <c r="G16" s="13" t="b">
        <v>0</v>
      </c>
      <c r="J16" s="16">
        <v>4</v>
      </c>
    </row>
    <row r="17" spans="1:12" x14ac:dyDescent="0.3">
      <c r="F17" s="13" t="b">
        <v>0</v>
      </c>
      <c r="G17" s="13" t="b">
        <v>0</v>
      </c>
      <c r="J17" s="16">
        <v>5</v>
      </c>
    </row>
    <row r="18" spans="1:12" x14ac:dyDescent="0.3">
      <c r="F18" s="13" t="b">
        <v>1</v>
      </c>
      <c r="G18" s="13" t="b">
        <v>1</v>
      </c>
      <c r="J18" s="16">
        <v>8</v>
      </c>
    </row>
    <row r="19" spans="1:12" ht="15" x14ac:dyDescent="0.25">
      <c r="A19"/>
    </row>
    <row r="21" spans="1:12" x14ac:dyDescent="0.3">
      <c r="D21" s="1" t="s">
        <v>17</v>
      </c>
      <c r="E21" s="14" t="s">
        <v>22</v>
      </c>
      <c r="F21" s="13">
        <v>1</v>
      </c>
      <c r="G21" s="13">
        <v>0</v>
      </c>
      <c r="H21" s="13">
        <v>100</v>
      </c>
      <c r="J21" s="16" cm="1">
        <f t="array" ref="J21:J23">NOZERO(F21:H23,F25)</f>
        <v>1</v>
      </c>
    </row>
    <row r="22" spans="1:12" x14ac:dyDescent="0.3">
      <c r="F22" s="13">
        <v>0</v>
      </c>
      <c r="G22" s="13">
        <v>20</v>
      </c>
      <c r="H22" s="13">
        <v>0</v>
      </c>
      <c r="J22" s="16">
        <v>3</v>
      </c>
    </row>
    <row r="23" spans="1:12" x14ac:dyDescent="0.3">
      <c r="F23" s="13">
        <v>3</v>
      </c>
      <c r="G23" s="13">
        <v>0</v>
      </c>
      <c r="H23" s="13">
        <v>300</v>
      </c>
      <c r="J23" s="16">
        <v>5</v>
      </c>
    </row>
    <row r="25" spans="1:12" x14ac:dyDescent="0.3">
      <c r="E25" s="14" t="s">
        <v>36</v>
      </c>
      <c r="F25" s="13">
        <v>3</v>
      </c>
    </row>
    <row r="27" spans="1:12" x14ac:dyDescent="0.3">
      <c r="L27" s="16" t="s">
        <v>70</v>
      </c>
    </row>
    <row r="28" spans="1:12" x14ac:dyDescent="0.3">
      <c r="D28" s="1" t="s">
        <v>17</v>
      </c>
      <c r="E28" s="14" t="s">
        <v>22</v>
      </c>
      <c r="F28" s="13">
        <v>1</v>
      </c>
      <c r="G28" s="13">
        <v>0</v>
      </c>
      <c r="H28" s="13">
        <v>100</v>
      </c>
      <c r="J28" s="16" cm="1">
        <f t="array" ref="J28:J30">NOZERO($F$21:$H$23,$F$25,$F$33)</f>
        <v>9</v>
      </c>
      <c r="L28" s="16" cm="1">
        <f t="array" ref="L28:L30">SLICE(VEC(F28:H30),_xlfn.ANCHORARRAY(J28))</f>
        <v>300</v>
      </c>
    </row>
    <row r="29" spans="1:12" x14ac:dyDescent="0.3">
      <c r="F29" s="13">
        <v>0</v>
      </c>
      <c r="G29" s="13">
        <v>20</v>
      </c>
      <c r="H29" s="13">
        <v>0</v>
      </c>
      <c r="J29" s="16">
        <v>7</v>
      </c>
      <c r="L29" s="16">
        <v>100</v>
      </c>
    </row>
    <row r="30" spans="1:12" x14ac:dyDescent="0.3">
      <c r="F30" s="13">
        <v>3</v>
      </c>
      <c r="G30" s="13">
        <v>0</v>
      </c>
      <c r="H30" s="13">
        <v>300</v>
      </c>
      <c r="J30" s="16">
        <v>5</v>
      </c>
      <c r="L30" s="16">
        <v>20</v>
      </c>
    </row>
    <row r="32" spans="1:12" x14ac:dyDescent="0.3">
      <c r="E32" s="14" t="s">
        <v>36</v>
      </c>
      <c r="F32" s="13">
        <v>3</v>
      </c>
    </row>
    <row r="33" spans="5:6" x14ac:dyDescent="0.3">
      <c r="E33" s="14" t="s">
        <v>67</v>
      </c>
      <c r="F33" s="23" t="s">
        <v>68</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7A11-A268-B641-A915-3B86D73AF86F}">
  <sheetPr codeName="Planilha21">
    <tabColor theme="9" tint="0.59999389629810485"/>
  </sheetPr>
  <dimension ref="A1:T23"/>
  <sheetViews>
    <sheetView showGridLines="0" workbookViewId="0">
      <selection activeCell="R9" sqref="R9"/>
    </sheetView>
  </sheetViews>
  <sheetFormatPr defaultColWidth="8.85546875" defaultRowHeight="18.75" x14ac:dyDescent="0.3"/>
  <cols>
    <col min="1" max="1" width="12.7109375" style="18" customWidth="1"/>
    <col min="2" max="2" width="24.85546875" bestFit="1" customWidth="1"/>
    <col min="10" max="18" width="8.85546875" style="16"/>
  </cols>
  <sheetData>
    <row r="1" spans="1:20" x14ac:dyDescent="0.3">
      <c r="A1" s="17" t="s">
        <v>73</v>
      </c>
      <c r="J1" s="15"/>
      <c r="K1" s="15"/>
      <c r="L1" s="15"/>
      <c r="M1" s="15"/>
      <c r="N1" s="15"/>
      <c r="O1" s="15"/>
      <c r="P1" s="15"/>
      <c r="Q1" s="15"/>
      <c r="R1" s="15"/>
    </row>
    <row r="2" spans="1:20" x14ac:dyDescent="0.3">
      <c r="A2" s="18" t="s">
        <v>74</v>
      </c>
      <c r="J2" s="15"/>
      <c r="K2" s="15"/>
      <c r="L2" s="15"/>
      <c r="M2" s="15"/>
      <c r="N2" s="15"/>
      <c r="O2" s="15"/>
      <c r="P2" s="15"/>
      <c r="Q2" s="15"/>
      <c r="R2" s="15"/>
    </row>
    <row r="4" spans="1:20" ht="15.75" x14ac:dyDescent="0.25">
      <c r="A4" s="2" t="s">
        <v>15</v>
      </c>
      <c r="B4" s="2" t="s">
        <v>16</v>
      </c>
    </row>
    <row r="5" spans="1:20" ht="31.5" x14ac:dyDescent="0.25">
      <c r="A5" s="24" t="s">
        <v>75</v>
      </c>
      <c r="B5" s="25" t="s">
        <v>77</v>
      </c>
    </row>
    <row r="6" spans="1:20" ht="31.5" x14ac:dyDescent="0.25">
      <c r="A6" s="24" t="s">
        <v>76</v>
      </c>
      <c r="B6" s="25" t="s">
        <v>78</v>
      </c>
    </row>
    <row r="7" spans="1:20" ht="15.75" x14ac:dyDescent="0.25">
      <c r="A7" s="20"/>
      <c r="B7" s="19"/>
    </row>
    <row r="9" spans="1:20" x14ac:dyDescent="0.3">
      <c r="D9" s="1" t="s">
        <v>17</v>
      </c>
      <c r="E9" s="14" t="s">
        <v>75</v>
      </c>
      <c r="F9" s="13">
        <v>1</v>
      </c>
      <c r="G9" s="13">
        <v>2</v>
      </c>
      <c r="H9" s="13">
        <v>3</v>
      </c>
      <c r="J9" s="16" cm="1">
        <f t="array" ref="J9:O14">_xlfn.LAMBDA(_xlpm.matrixA,_xlpm.matrixB,
_xlfn.LET(
_xlpm.nn,ROWS(_xlpm.matrixA) + ROWS(_xlpm.matrixB),
_xlpm.mm,COLUMNS(_xlpm.matrixA) + COLUMNS(_xlpm.matrixB),
_xlpm.nseq, IF(MOD(_xlfn.SEQUENCE(_xlpm.nn,1),ROWS(_xlpm.matrixA))=0, ROWS(_xlpm.matrixA), MOD(_xlfn.SEQUENCE(_xlpm.nn,1),ROWS(_xlpm.matrixA))),
_xlpm.mseq, IF(MOD(_xlfn.SEQUENCE(1,_xlpm.mm),COLUMNS(_xlpm.matrixA))=0, COLUMNS(_xlpm.matrixA), MOD(_xlfn.SEQUENCE(1,_xlpm.mm),COLUMNS(_xlpm.matrixA))),
_xlfn.MAKEARRAY(_xlpm.nn,_xlpm.mm,_xlfn.LAMBDA(_xlpm.row,_xlpm.col,
IF( OR( AND(_xlpm.row &lt;= ROWS(_xlpm.matrixA), _xlpm.col &gt; COLUMNS(_xlpm.matrixA) ), AND(_xlpm.row &gt; ROWS(_xlpm.matrixA), _xlpm.col &lt;= COLUMNS(_xlpm.matrixA) )  ), 0,
IF( _xlpm.row &lt;= ROWS(_xlpm.matrixA), INDEX(_xlpm.matrixA,INDEX(_xlpm.nseq,_xlpm.row),INDEX(_xlpm.mseq,1,_xlpm.col)), INDEX(_xlpm.matrixB,INDEX(_xlpm.nseq,_xlpm.row),INDEX(_xlpm.mseq,1,_xlpm.col)) )
) ))
))($F$9:$H$11,F13:H15)</f>
        <v>1</v>
      </c>
      <c r="K9" s="16">
        <v>2</v>
      </c>
      <c r="L9" s="16">
        <v>3</v>
      </c>
      <c r="M9" s="16">
        <v>0</v>
      </c>
      <c r="N9" s="16">
        <v>0</v>
      </c>
      <c r="O9" s="16">
        <v>0</v>
      </c>
    </row>
    <row r="10" spans="1:20" x14ac:dyDescent="0.3">
      <c r="F10" s="13">
        <v>4</v>
      </c>
      <c r="G10" s="13">
        <v>5</v>
      </c>
      <c r="H10" s="13">
        <v>6</v>
      </c>
      <c r="J10" s="16">
        <v>4</v>
      </c>
      <c r="K10" s="16">
        <v>5</v>
      </c>
      <c r="L10" s="16">
        <v>6</v>
      </c>
      <c r="M10" s="16">
        <v>0</v>
      </c>
      <c r="N10" s="16">
        <v>0</v>
      </c>
      <c r="O10" s="16">
        <v>0</v>
      </c>
    </row>
    <row r="11" spans="1:20" x14ac:dyDescent="0.3">
      <c r="F11" s="13">
        <v>7</v>
      </c>
      <c r="G11" s="13">
        <v>8</v>
      </c>
      <c r="H11" s="13">
        <v>9</v>
      </c>
      <c r="J11" s="16">
        <v>7</v>
      </c>
      <c r="K11" s="16">
        <v>8</v>
      </c>
      <c r="L11" s="16">
        <v>9</v>
      </c>
      <c r="M11" s="16">
        <v>0</v>
      </c>
      <c r="N11" s="16">
        <v>0</v>
      </c>
      <c r="O11" s="16">
        <v>0</v>
      </c>
    </row>
    <row r="12" spans="1:20" ht="15" x14ac:dyDescent="0.25">
      <c r="A12"/>
      <c r="J12" s="16">
        <v>0</v>
      </c>
      <c r="K12" s="16">
        <v>0</v>
      </c>
      <c r="L12" s="16">
        <v>0</v>
      </c>
      <c r="M12" s="16">
        <v>10</v>
      </c>
      <c r="N12" s="16">
        <v>11</v>
      </c>
      <c r="O12" s="16">
        <v>12</v>
      </c>
    </row>
    <row r="13" spans="1:20" x14ac:dyDescent="0.3">
      <c r="E13" s="14" t="s">
        <v>76</v>
      </c>
      <c r="F13" s="13">
        <v>10</v>
      </c>
      <c r="G13" s="13">
        <v>11</v>
      </c>
      <c r="H13" s="13">
        <v>12</v>
      </c>
      <c r="J13" s="16">
        <v>0</v>
      </c>
      <c r="K13" s="16">
        <v>0</v>
      </c>
      <c r="L13" s="16">
        <v>0</v>
      </c>
      <c r="M13" s="16">
        <v>13</v>
      </c>
      <c r="N13" s="16">
        <v>14</v>
      </c>
      <c r="O13" s="16">
        <v>15</v>
      </c>
    </row>
    <row r="14" spans="1:20" x14ac:dyDescent="0.3">
      <c r="F14" s="13">
        <v>13</v>
      </c>
      <c r="G14" s="13">
        <v>14</v>
      </c>
      <c r="H14" s="13">
        <v>15</v>
      </c>
      <c r="J14" s="16">
        <v>0</v>
      </c>
      <c r="K14" s="16">
        <v>0</v>
      </c>
      <c r="L14" s="16">
        <v>0</v>
      </c>
      <c r="M14" s="16">
        <v>16</v>
      </c>
      <c r="N14" s="16">
        <v>17</v>
      </c>
      <c r="O14" s="16">
        <v>18</v>
      </c>
    </row>
    <row r="15" spans="1:20" x14ac:dyDescent="0.3">
      <c r="F15" s="13">
        <v>16</v>
      </c>
      <c r="G15" s="13">
        <v>17</v>
      </c>
      <c r="H15" s="13">
        <v>18</v>
      </c>
    </row>
    <row r="16" spans="1:20" s="22" customFormat="1" x14ac:dyDescent="0.3">
      <c r="A16" s="18"/>
      <c r="B16"/>
      <c r="C16"/>
      <c r="D16"/>
      <c r="E16"/>
      <c r="F16"/>
      <c r="G16"/>
      <c r="H16"/>
      <c r="I16"/>
      <c r="J16" s="16"/>
      <c r="K16" s="16"/>
      <c r="L16" s="16"/>
      <c r="M16" s="16"/>
      <c r="N16" s="16"/>
      <c r="O16" s="16"/>
      <c r="P16" s="16"/>
      <c r="Q16" s="16"/>
      <c r="R16" s="16"/>
      <c r="T16"/>
    </row>
    <row r="17" spans="1:20" s="22" customFormat="1" x14ac:dyDescent="0.3">
      <c r="A17" s="18"/>
      <c r="B17"/>
      <c r="C17"/>
      <c r="D17"/>
      <c r="E17"/>
      <c r="F17"/>
      <c r="G17"/>
      <c r="H17"/>
      <c r="I17"/>
      <c r="J17" s="16"/>
      <c r="K17" s="16"/>
      <c r="L17" s="16"/>
      <c r="M17" s="16"/>
      <c r="N17" s="16"/>
      <c r="O17" s="16"/>
      <c r="P17" s="16"/>
      <c r="Q17" s="16"/>
      <c r="R17" s="16"/>
      <c r="T17"/>
    </row>
    <row r="19" spans="1:20" x14ac:dyDescent="0.3">
      <c r="D19" s="1" t="s">
        <v>17</v>
      </c>
      <c r="E19" s="14" t="s">
        <v>75</v>
      </c>
      <c r="F19" s="13">
        <v>1</v>
      </c>
      <c r="G19" s="13">
        <v>2</v>
      </c>
      <c r="H19" s="13">
        <v>3</v>
      </c>
      <c r="J19" s="16" cm="1">
        <f t="array" ref="J19:M22">BLKDIAG($F$19:$H$21,$F$23)</f>
        <v>1</v>
      </c>
      <c r="K19" s="16">
        <v>2</v>
      </c>
      <c r="L19" s="16">
        <v>3</v>
      </c>
      <c r="M19" s="16">
        <v>0</v>
      </c>
    </row>
    <row r="20" spans="1:20" x14ac:dyDescent="0.3">
      <c r="F20" s="13">
        <v>4</v>
      </c>
      <c r="G20" s="13">
        <v>5</v>
      </c>
      <c r="H20" s="13">
        <v>6</v>
      </c>
      <c r="J20" s="16">
        <v>4</v>
      </c>
      <c r="K20" s="16">
        <v>5</v>
      </c>
      <c r="L20" s="16">
        <v>6</v>
      </c>
      <c r="M20" s="16">
        <v>0</v>
      </c>
    </row>
    <row r="21" spans="1:20" x14ac:dyDescent="0.3">
      <c r="F21" s="13">
        <v>7</v>
      </c>
      <c r="G21" s="13">
        <v>8</v>
      </c>
      <c r="H21" s="13">
        <v>9</v>
      </c>
      <c r="J21" s="16">
        <v>7</v>
      </c>
      <c r="K21" s="16">
        <v>8</v>
      </c>
      <c r="L21" s="16">
        <v>9</v>
      </c>
      <c r="M21" s="16">
        <v>0</v>
      </c>
    </row>
    <row r="22" spans="1:20" x14ac:dyDescent="0.3">
      <c r="J22" s="16">
        <v>0</v>
      </c>
      <c r="K22" s="16">
        <v>0</v>
      </c>
      <c r="L22" s="16">
        <v>0</v>
      </c>
      <c r="M22" s="16">
        <v>2</v>
      </c>
    </row>
    <row r="23" spans="1:20" x14ac:dyDescent="0.3">
      <c r="E23" s="14" t="s">
        <v>76</v>
      </c>
      <c r="F23" s="13">
        <v>2</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BB7E-D8C1-4729-96F7-26831D004B81}">
  <sheetPr codeName="Planilha22">
    <tabColor theme="9" tint="0.59999389629810485"/>
  </sheetPr>
  <dimension ref="A1:R32"/>
  <sheetViews>
    <sheetView showGridLines="0" workbookViewId="0">
      <selection activeCell="M12" sqref="M12"/>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89</v>
      </c>
      <c r="J1" s="15"/>
      <c r="K1" s="15"/>
      <c r="L1" s="15"/>
      <c r="M1" s="15"/>
      <c r="N1" s="15"/>
      <c r="O1" s="15"/>
      <c r="P1" s="15"/>
      <c r="Q1" s="15"/>
      <c r="R1" s="15"/>
    </row>
    <row r="2" spans="1:18" x14ac:dyDescent="0.3">
      <c r="A2" s="18" t="s">
        <v>92</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93</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 0, TRUE, FALSE ),
IF(_xlpm.dim=1, _xlfn.BYCOL(_xlpm.matrix, _xlfn.LAMBDA(_xlpm.col, IF( ( COUNTIF(_xlpm.col,FALSE) + COUNTIF(_xlpm.col,0)  ) = 0, TRUE, FALSE ) )),
IF(_xlpm.dim=2, _xlfn.BYROW(_xlpm.matrix, _xlfn.LAMBDA(_xlpm.row, IF( ( COUNTIF(_xlpm.row,FALSE) + COUNTIF(_xlpm.row,0)  ) = 0, TRUE, FALSE ) )), #VALUE!) )
)
))($F$9:$F$12)</f>
        <v>1</v>
      </c>
    </row>
    <row r="10" spans="1:18" x14ac:dyDescent="0.3">
      <c r="F10" s="13">
        <v>9</v>
      </c>
    </row>
    <row r="11" spans="1:18" x14ac:dyDescent="0.3">
      <c r="F11" s="13" t="b">
        <v>1</v>
      </c>
    </row>
    <row r="12" spans="1:18" x14ac:dyDescent="0.3">
      <c r="F12" s="13" t="b">
        <v>1</v>
      </c>
    </row>
    <row r="13" spans="1:18" ht="15" x14ac:dyDescent="0.25">
      <c r="A13"/>
    </row>
    <row r="15" spans="1:18" x14ac:dyDescent="0.3">
      <c r="D15" s="1" t="s">
        <v>17</v>
      </c>
      <c r="E15" s="14" t="s">
        <v>22</v>
      </c>
      <c r="F15" s="13" t="b">
        <v>1</v>
      </c>
      <c r="G15" s="13" t="b">
        <v>1</v>
      </c>
      <c r="J15" s="16" t="b" cm="1">
        <f t="array" ref="J15">ALL($F$15:$G$18)</f>
        <v>0</v>
      </c>
    </row>
    <row r="16" spans="1:18" x14ac:dyDescent="0.3">
      <c r="F16" s="13" t="b">
        <v>0</v>
      </c>
      <c r="G16" s="13" t="b">
        <v>0</v>
      </c>
    </row>
    <row r="17" spans="1:12" x14ac:dyDescent="0.3">
      <c r="F17" s="13" t="b">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ALL(F21:H23,F25)</f>
        <v>0</v>
      </c>
      <c r="K21" s="16" t="b">
        <v>0</v>
      </c>
      <c r="L21" s="16" t="b">
        <v>1</v>
      </c>
    </row>
    <row r="22" spans="1:12" x14ac:dyDescent="0.3">
      <c r="F22" s="13">
        <v>0</v>
      </c>
      <c r="G22" s="13">
        <v>20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ALL($F$28:$H$30,$F$32)</f>
        <v>0</v>
      </c>
    </row>
    <row r="29" spans="1:12" x14ac:dyDescent="0.3">
      <c r="F29" s="13">
        <v>1</v>
      </c>
      <c r="G29" s="13">
        <v>20</v>
      </c>
      <c r="H29" s="13" t="b">
        <v>1</v>
      </c>
      <c r="J29" s="16" t="b">
        <v>1</v>
      </c>
    </row>
    <row r="30" spans="1:12" x14ac:dyDescent="0.3">
      <c r="F30" s="13">
        <v>3</v>
      </c>
      <c r="G30" s="13">
        <v>0</v>
      </c>
      <c r="H30" s="13">
        <v>300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1028-17AA-40E3-A3C9-C0D0A24A48DD}">
  <sheetPr codeName="Planilha23">
    <tabColor theme="9" tint="0.59999389629810485"/>
  </sheetPr>
  <dimension ref="A1:R32"/>
  <sheetViews>
    <sheetView showGridLines="0" workbookViewId="0">
      <selection activeCell="K4" sqref="K4"/>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95</v>
      </c>
      <c r="J1" s="15"/>
      <c r="K1" s="15"/>
      <c r="L1" s="15"/>
      <c r="M1" s="15"/>
      <c r="N1" s="15"/>
      <c r="O1" s="15"/>
      <c r="P1" s="15"/>
      <c r="Q1" s="15"/>
      <c r="R1" s="15"/>
    </row>
    <row r="2" spans="1:18" x14ac:dyDescent="0.3">
      <c r="A2" s="18" t="s">
        <v>96</v>
      </c>
      <c r="J2" s="15"/>
      <c r="K2" s="15"/>
      <c r="L2" s="15"/>
      <c r="M2" s="15"/>
      <c r="N2" s="15"/>
      <c r="O2" s="15"/>
      <c r="P2" s="15"/>
      <c r="Q2" s="15"/>
      <c r="R2" s="15"/>
    </row>
    <row r="4" spans="1:18" ht="15.75" x14ac:dyDescent="0.25">
      <c r="A4" s="2" t="s">
        <v>15</v>
      </c>
      <c r="B4" s="2" t="s">
        <v>16</v>
      </c>
    </row>
    <row r="5" spans="1:18" ht="15.75" x14ac:dyDescent="0.25">
      <c r="A5" s="20" t="s">
        <v>22</v>
      </c>
      <c r="B5" s="25" t="s">
        <v>91</v>
      </c>
    </row>
    <row r="6" spans="1:18" ht="63" x14ac:dyDescent="0.25">
      <c r="A6" s="24" t="s">
        <v>90</v>
      </c>
      <c r="B6" s="25" t="s">
        <v>97</v>
      </c>
    </row>
    <row r="7" spans="1:18" ht="15.75" x14ac:dyDescent="0.25">
      <c r="A7" s="20"/>
      <c r="B7" s="19"/>
    </row>
    <row r="9" spans="1:18" x14ac:dyDescent="0.3">
      <c r="D9" s="1" t="s">
        <v>17</v>
      </c>
      <c r="E9" s="14" t="s">
        <v>22</v>
      </c>
      <c r="F9" s="13" t="b">
        <v>1</v>
      </c>
      <c r="J9" s="16" t="b" cm="1">
        <f t="array" ref="J9">_xlfn.LAMBDA(_xlpm.matrix,_xlop.dim,
_xlfn.LET(
_xlpm.dim, IF( _xlfn.ISOMITTED(_xlpm.dim),"all", _xlpm.dim),
IF(_xlpm.dim="all",
IF( ( COUNTIF(_xlpm.matrix,FALSE) + COUNTIF(_xlpm.matrix,0)  ) &lt;&gt; ROWS(_xlpm.matrix)*COLUMNS(_xlpm.matrix), TRUE, FALSE ),
IF(_xlpm.dim=1, _xlfn.BYCOL(_xlpm.matrix, _xlfn.LAMBDA(_xlpm.col, IF( ( COUNTIF(_xlpm.col,FALSE) + COUNTIF(_xlpm.col,0)  ) &lt;&gt; ROWS(_xlpm.col), TRUE, FALSE ) )),
IF(_xlpm.dim=2, _xlfn.BYROW(_xlpm.matrix, _xlfn.LAMBDA(_xlpm.row, IF( ( COUNTIF(_xlpm.row,FALSE) + COUNTIF(_xlpm.row,0)  ) &lt;&gt; COLUMNS(_xlpm.row), TRUE, FALSE ) )), #VALUE!) )
)
))($F$9:$F$12)</f>
        <v>1</v>
      </c>
    </row>
    <row r="10" spans="1:18" x14ac:dyDescent="0.3">
      <c r="F10" s="13">
        <v>0</v>
      </c>
    </row>
    <row r="11" spans="1:18" x14ac:dyDescent="0.3">
      <c r="F11" s="13">
        <v>6</v>
      </c>
    </row>
    <row r="12" spans="1:18" x14ac:dyDescent="0.3">
      <c r="F12" s="13" t="b">
        <v>1</v>
      </c>
    </row>
    <row r="13" spans="1:18" ht="15" x14ac:dyDescent="0.25">
      <c r="A13"/>
    </row>
    <row r="15" spans="1:18" x14ac:dyDescent="0.3">
      <c r="D15" s="1" t="s">
        <v>17</v>
      </c>
      <c r="E15" s="14" t="s">
        <v>22</v>
      </c>
      <c r="F15" s="13" t="b">
        <v>1</v>
      </c>
      <c r="G15" s="13" t="b">
        <v>1</v>
      </c>
      <c r="J15" s="16" t="b" cm="1">
        <f t="array" ref="J15">ANY($F$15:$G$18)</f>
        <v>1</v>
      </c>
    </row>
    <row r="16" spans="1:18" x14ac:dyDescent="0.3">
      <c r="F16" s="13" t="b">
        <v>0</v>
      </c>
      <c r="G16" s="13">
        <v>0</v>
      </c>
    </row>
    <row r="17" spans="1:12" x14ac:dyDescent="0.3">
      <c r="F17" s="13">
        <v>0</v>
      </c>
      <c r="G17" s="13" t="b">
        <v>0</v>
      </c>
    </row>
    <row r="18" spans="1:12" x14ac:dyDescent="0.3">
      <c r="F18" s="13" t="b">
        <v>1</v>
      </c>
      <c r="G18" s="13" t="b">
        <v>1</v>
      </c>
    </row>
    <row r="19" spans="1:12" ht="15" x14ac:dyDescent="0.25">
      <c r="A19"/>
    </row>
    <row r="20" spans="1:12" x14ac:dyDescent="0.3">
      <c r="H20" s="26" t="s">
        <v>94</v>
      </c>
    </row>
    <row r="21" spans="1:12" x14ac:dyDescent="0.3">
      <c r="D21" s="1" t="s">
        <v>17</v>
      </c>
      <c r="E21" s="14" t="s">
        <v>22</v>
      </c>
      <c r="F21" s="13">
        <v>1</v>
      </c>
      <c r="G21" s="13">
        <v>0</v>
      </c>
      <c r="H21" s="13">
        <v>100</v>
      </c>
      <c r="J21" s="16" t="b" cm="1">
        <f t="array" ref="J21:L21">ANY(F21:H23,F25)</f>
        <v>1</v>
      </c>
      <c r="K21" s="16" t="b">
        <v>0</v>
      </c>
      <c r="L21" s="16" t="b">
        <v>1</v>
      </c>
    </row>
    <row r="22" spans="1:12" x14ac:dyDescent="0.3">
      <c r="F22" s="13">
        <v>0</v>
      </c>
      <c r="G22" s="13">
        <v>0</v>
      </c>
      <c r="H22" s="13" t="b">
        <v>1</v>
      </c>
    </row>
    <row r="23" spans="1:12" x14ac:dyDescent="0.3">
      <c r="F23" s="13">
        <v>3</v>
      </c>
      <c r="G23" s="13">
        <v>0</v>
      </c>
      <c r="H23" s="13">
        <v>300</v>
      </c>
    </row>
    <row r="25" spans="1:12" x14ac:dyDescent="0.3">
      <c r="E25" s="14" t="s">
        <v>36</v>
      </c>
      <c r="F25" s="13">
        <v>1</v>
      </c>
    </row>
    <row r="28" spans="1:12" x14ac:dyDescent="0.3">
      <c r="D28" s="1" t="s">
        <v>17</v>
      </c>
      <c r="E28" s="14" t="s">
        <v>22</v>
      </c>
      <c r="F28" s="13">
        <v>1</v>
      </c>
      <c r="G28" s="13">
        <v>0</v>
      </c>
      <c r="H28" s="13">
        <v>100</v>
      </c>
      <c r="J28" s="16" t="b" cm="1">
        <f t="array" ref="J28:J30">ANY($F$28:$H$30,$F$32)</f>
        <v>1</v>
      </c>
    </row>
    <row r="29" spans="1:12" x14ac:dyDescent="0.3">
      <c r="F29" s="13">
        <v>1</v>
      </c>
      <c r="G29" s="13">
        <v>20</v>
      </c>
      <c r="H29" s="13" t="b">
        <v>1</v>
      </c>
      <c r="J29" s="16" t="b">
        <v>1</v>
      </c>
    </row>
    <row r="30" spans="1:12" x14ac:dyDescent="0.3">
      <c r="F30" s="13">
        <v>0</v>
      </c>
      <c r="G30" s="13">
        <v>0</v>
      </c>
      <c r="H30" s="13">
        <v>0</v>
      </c>
      <c r="J30" s="16" t="b">
        <v>0</v>
      </c>
    </row>
    <row r="32" spans="1:12" x14ac:dyDescent="0.3">
      <c r="E32" s="14" t="s">
        <v>36</v>
      </c>
      <c r="F32" s="13">
        <v>2</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2210-A8A1-4945-9DE4-DF6C299B22F5}">
  <sheetPr codeName="Planilha24">
    <tabColor theme="9" tint="0.59999389629810485"/>
  </sheetPr>
  <dimension ref="A1:R19"/>
  <sheetViews>
    <sheetView showGridLines="0" workbookViewId="0">
      <selection activeCell="G5" sqref="G5"/>
    </sheetView>
  </sheetViews>
  <sheetFormatPr defaultColWidth="8.85546875" defaultRowHeight="18.75" x14ac:dyDescent="0.3"/>
  <cols>
    <col min="1" max="1" width="12.7109375" style="18" customWidth="1"/>
    <col min="2" max="2" width="31.140625" bestFit="1" customWidth="1"/>
    <col min="6" max="8" width="12.42578125" bestFit="1" customWidth="1"/>
    <col min="10" max="18" width="13.140625" style="16" customWidth="1"/>
  </cols>
  <sheetData>
    <row r="1" spans="1:18" x14ac:dyDescent="0.3">
      <c r="A1" s="17" t="s">
        <v>126</v>
      </c>
      <c r="J1" s="15"/>
      <c r="K1" s="15"/>
      <c r="L1" s="15"/>
      <c r="M1" s="15"/>
      <c r="N1" s="15"/>
      <c r="O1" s="15"/>
      <c r="P1" s="15"/>
      <c r="Q1" s="15"/>
      <c r="R1" s="15"/>
    </row>
    <row r="2" spans="1:18" x14ac:dyDescent="0.3">
      <c r="A2" s="18" t="s">
        <v>130</v>
      </c>
      <c r="J2" s="15"/>
      <c r="K2" s="15"/>
      <c r="L2" s="15"/>
      <c r="M2" s="15"/>
      <c r="N2" s="15"/>
      <c r="O2" s="15"/>
      <c r="P2" s="15"/>
      <c r="Q2" s="15"/>
      <c r="R2" s="15"/>
    </row>
    <row r="4" spans="1:18" ht="15.75" x14ac:dyDescent="0.25">
      <c r="A4" s="2" t="s">
        <v>15</v>
      </c>
      <c r="B4" s="2" t="s">
        <v>16</v>
      </c>
    </row>
    <row r="5" spans="1:18" ht="31.5" x14ac:dyDescent="0.25">
      <c r="A5" s="20" t="s">
        <v>22</v>
      </c>
      <c r="B5" s="25" t="s">
        <v>127</v>
      </c>
    </row>
    <row r="6" spans="1:18" ht="15.75" x14ac:dyDescent="0.25">
      <c r="A6" s="24"/>
      <c r="B6" s="25"/>
    </row>
    <row r="7" spans="1:18" ht="15.75" x14ac:dyDescent="0.25">
      <c r="A7" s="20"/>
      <c r="B7" s="19"/>
    </row>
    <row r="9" spans="1:18" x14ac:dyDescent="0.3">
      <c r="D9" s="1" t="s">
        <v>17</v>
      </c>
      <c r="E9" s="14" t="s">
        <v>22</v>
      </c>
      <c r="F9" s="13" t="b">
        <v>1</v>
      </c>
      <c r="G9" s="13">
        <v>2</v>
      </c>
      <c r="H9" s="13">
        <v>4</v>
      </c>
      <c r="J9" s="16" cm="1">
        <f t="array" ref="J9">_xlfn.LAMBDA(_xlpm.matrix, COUNTA(_xlpm.matrix) - SUM(IF(_xlpm.matrix=FALSE,1,0)) - SUM(IF(_xlpm.matrix=0,1,0)) )($F$9:$H$11)</f>
        <v>6</v>
      </c>
    </row>
    <row r="10" spans="1:18" x14ac:dyDescent="0.3">
      <c r="F10" s="13" t="b">
        <v>1</v>
      </c>
      <c r="G10" s="13">
        <v>0</v>
      </c>
      <c r="H10" s="13" t="b">
        <v>0</v>
      </c>
    </row>
    <row r="11" spans="1:18" x14ac:dyDescent="0.3">
      <c r="F11" s="13">
        <v>0</v>
      </c>
      <c r="G11" s="13" t="s">
        <v>129</v>
      </c>
      <c r="H11" s="13" t="s">
        <v>128</v>
      </c>
    </row>
    <row r="13" spans="1:18" ht="15" x14ac:dyDescent="0.25">
      <c r="A13"/>
    </row>
    <row r="16" spans="1:18" x14ac:dyDescent="0.3">
      <c r="D16" s="1" t="s">
        <v>17</v>
      </c>
      <c r="E16" s="14" t="s">
        <v>22</v>
      </c>
      <c r="F16" s="13">
        <v>10</v>
      </c>
      <c r="G16" s="13">
        <v>20</v>
      </c>
      <c r="H16" s="13">
        <v>30</v>
      </c>
      <c r="J16" s="16" cm="1">
        <f t="array" ref="J16">NNZ($F$16:$H$18 &gt; 100)</f>
        <v>5</v>
      </c>
    </row>
    <row r="17" spans="1:8" x14ac:dyDescent="0.3">
      <c r="F17" s="13">
        <v>100</v>
      </c>
      <c r="G17" s="13">
        <v>200</v>
      </c>
      <c r="H17" s="13">
        <v>300</v>
      </c>
    </row>
    <row r="18" spans="1:8" x14ac:dyDescent="0.3">
      <c r="F18" s="13">
        <v>1000</v>
      </c>
      <c r="G18" s="13">
        <v>2000</v>
      </c>
      <c r="H18" s="13">
        <v>3000</v>
      </c>
    </row>
    <row r="19" spans="1:8" ht="15" x14ac:dyDescent="0.25">
      <c r="A19"/>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854D-0362-4BA7-A3AF-194D228C3DB9}">
  <sheetPr codeName="Planilha25">
    <tabColor theme="9" tint="0.59999389629810485"/>
  </sheetPr>
  <dimension ref="A1:U110"/>
  <sheetViews>
    <sheetView showGridLines="0" workbookViewId="0">
      <selection activeCell="O11" sqref="O11"/>
    </sheetView>
  </sheetViews>
  <sheetFormatPr defaultColWidth="8.85546875" defaultRowHeight="18.75" x14ac:dyDescent="0.3"/>
  <cols>
    <col min="1" max="1" width="12.7109375" style="18" customWidth="1"/>
    <col min="2" max="2" width="26.28515625" customWidth="1"/>
    <col min="8" max="9" width="8.85546875" style="16"/>
    <col min="15" max="21" width="8.85546875" style="16"/>
  </cols>
  <sheetData>
    <row r="1" spans="1:21" x14ac:dyDescent="0.3">
      <c r="A1" s="17" t="s">
        <v>109</v>
      </c>
      <c r="H1" s="15"/>
      <c r="I1" s="15"/>
      <c r="O1" s="15"/>
      <c r="P1" s="15"/>
      <c r="Q1" s="15"/>
      <c r="R1" s="15"/>
      <c r="S1" s="15"/>
      <c r="T1" s="15"/>
      <c r="U1" s="15"/>
    </row>
    <row r="2" spans="1:21" x14ac:dyDescent="0.3">
      <c r="A2" s="18" t="s">
        <v>110</v>
      </c>
      <c r="H2" s="15"/>
      <c r="I2" s="15"/>
      <c r="O2" s="15"/>
      <c r="P2" s="15"/>
      <c r="Q2" s="15"/>
      <c r="R2" s="15"/>
      <c r="S2" s="15"/>
      <c r="T2" s="15"/>
      <c r="U2" s="15"/>
    </row>
    <row r="3" spans="1:21" x14ac:dyDescent="0.3">
      <c r="O3" s="28"/>
    </row>
    <row r="4" spans="1:21" ht="15.75" x14ac:dyDescent="0.25">
      <c r="A4" s="2" t="s">
        <v>15</v>
      </c>
      <c r="B4" s="2" t="s">
        <v>16</v>
      </c>
      <c r="O4" s="28"/>
    </row>
    <row r="5" spans="1:21" ht="15.75" x14ac:dyDescent="0.25">
      <c r="A5" s="24" t="s">
        <v>114</v>
      </c>
      <c r="B5" s="27" t="s">
        <v>111</v>
      </c>
      <c r="O5" s="28"/>
    </row>
    <row r="6" spans="1:21" ht="15.75" x14ac:dyDescent="0.25">
      <c r="A6" s="24" t="s">
        <v>115</v>
      </c>
      <c r="B6" s="27" t="s">
        <v>112</v>
      </c>
      <c r="O6" s="28"/>
    </row>
    <row r="7" spans="1:21" ht="15.75" x14ac:dyDescent="0.25">
      <c r="A7" s="24" t="s">
        <v>56</v>
      </c>
      <c r="B7" s="27" t="s">
        <v>113</v>
      </c>
      <c r="O7" s="28"/>
    </row>
    <row r="8" spans="1:21" x14ac:dyDescent="0.3">
      <c r="O8" s="28"/>
    </row>
    <row r="9" spans="1:21" x14ac:dyDescent="0.3">
      <c r="O9" s="28"/>
    </row>
    <row r="10" spans="1:21" x14ac:dyDescent="0.3">
      <c r="O10" s="28"/>
    </row>
    <row r="11" spans="1:21" x14ac:dyDescent="0.3">
      <c r="D11" s="1" t="s">
        <v>17</v>
      </c>
      <c r="E11" s="14" t="s">
        <v>114</v>
      </c>
      <c r="F11" s="13">
        <v>1</v>
      </c>
      <c r="H11" s="28" cm="1">
        <f t="array" ref="H11:H110">_xlfn.LAMBDA(_xlpm.lb,_xlpm.ub,_xlop.n, _xlfn.LET(_xlpm.n, IF(_xlfn.ISOMITTED(_xlpm.n),100,_xlpm.n), _xlfn.MAKEARRAY(_xlpm.n, 1,_xlfn.LAMBDA(_xlpm.lin,_xlpm.col, _xlpm.lb + (_xlpm.lin-1)*(_xlpm.ub - _xlpm.lb)/(_xlpm.n-1) ))) )($F$11,$F$12)</f>
        <v>1</v>
      </c>
      <c r="K11" s="1" t="s">
        <v>17</v>
      </c>
      <c r="L11" s="14" t="s">
        <v>114</v>
      </c>
      <c r="M11" s="13">
        <v>1</v>
      </c>
      <c r="O11" s="28" cm="1">
        <f t="array" ref="O11:O20">LINSPACE($M$11,$M$12,$M$13)</f>
        <v>1</v>
      </c>
    </row>
    <row r="12" spans="1:21" x14ac:dyDescent="0.3">
      <c r="E12" s="14" t="s">
        <v>115</v>
      </c>
      <c r="F12" s="13">
        <v>5</v>
      </c>
      <c r="H12" s="28">
        <v>1.0404040404040404</v>
      </c>
      <c r="L12" s="14" t="s">
        <v>115</v>
      </c>
      <c r="M12" s="13">
        <v>5</v>
      </c>
      <c r="O12" s="28">
        <v>1.4444444444444444</v>
      </c>
    </row>
    <row r="13" spans="1:21" x14ac:dyDescent="0.3">
      <c r="H13" s="28">
        <v>1.0808080808080809</v>
      </c>
      <c r="L13" s="14" t="s">
        <v>36</v>
      </c>
      <c r="M13" s="13">
        <v>10</v>
      </c>
      <c r="O13" s="28">
        <v>1.8888888888888888</v>
      </c>
    </row>
    <row r="14" spans="1:21" x14ac:dyDescent="0.3">
      <c r="H14" s="28">
        <v>1.1212121212121211</v>
      </c>
      <c r="O14" s="28">
        <v>2.333333333333333</v>
      </c>
    </row>
    <row r="15" spans="1:21" x14ac:dyDescent="0.3">
      <c r="H15" s="28">
        <v>1.1616161616161615</v>
      </c>
      <c r="O15" s="28">
        <v>2.7777777777777777</v>
      </c>
    </row>
    <row r="16" spans="1:21" x14ac:dyDescent="0.3">
      <c r="H16" s="28">
        <v>1.202020202020202</v>
      </c>
      <c r="O16" s="28">
        <v>3.2222222222222223</v>
      </c>
    </row>
    <row r="17" spans="8:15" x14ac:dyDescent="0.3">
      <c r="H17" s="28">
        <v>1.2424242424242424</v>
      </c>
      <c r="O17" s="28">
        <v>3.6666666666666665</v>
      </c>
    </row>
    <row r="18" spans="8:15" x14ac:dyDescent="0.3">
      <c r="H18" s="28">
        <v>1.2828282828282829</v>
      </c>
      <c r="O18" s="28">
        <v>4.1111111111111107</v>
      </c>
    </row>
    <row r="19" spans="8:15" x14ac:dyDescent="0.3">
      <c r="H19" s="28">
        <v>1.3232323232323233</v>
      </c>
      <c r="O19" s="28">
        <v>4.5555555555555554</v>
      </c>
    </row>
    <row r="20" spans="8:15" x14ac:dyDescent="0.3">
      <c r="H20" s="28">
        <v>1.3636363636363638</v>
      </c>
      <c r="O20" s="28">
        <v>5</v>
      </c>
    </row>
    <row r="21" spans="8:15" x14ac:dyDescent="0.3">
      <c r="H21" s="28">
        <v>1.404040404040404</v>
      </c>
      <c r="O21" s="28"/>
    </row>
    <row r="22" spans="8:15" x14ac:dyDescent="0.3">
      <c r="H22" s="28">
        <v>1.4444444444444444</v>
      </c>
      <c r="O22" s="28"/>
    </row>
    <row r="23" spans="8:15" x14ac:dyDescent="0.3">
      <c r="H23" s="28">
        <v>1.4848484848484849</v>
      </c>
      <c r="O23" s="28"/>
    </row>
    <row r="24" spans="8:15" x14ac:dyDescent="0.3">
      <c r="H24" s="28">
        <v>1.5252525252525253</v>
      </c>
      <c r="O24" s="28"/>
    </row>
    <row r="25" spans="8:15" x14ac:dyDescent="0.3">
      <c r="H25" s="28">
        <v>1.5656565656565657</v>
      </c>
      <c r="O25" s="28"/>
    </row>
    <row r="26" spans="8:15" x14ac:dyDescent="0.3">
      <c r="H26" s="28">
        <v>1.606060606060606</v>
      </c>
      <c r="O26" s="28"/>
    </row>
    <row r="27" spans="8:15" x14ac:dyDescent="0.3">
      <c r="H27" s="28">
        <v>1.6464646464646466</v>
      </c>
      <c r="O27" s="28"/>
    </row>
    <row r="28" spans="8:15" x14ac:dyDescent="0.3">
      <c r="H28" s="28">
        <v>1.6868686868686869</v>
      </c>
      <c r="O28" s="28"/>
    </row>
    <row r="29" spans="8:15" x14ac:dyDescent="0.3">
      <c r="H29" s="28">
        <v>1.7272727272727273</v>
      </c>
      <c r="O29" s="28"/>
    </row>
    <row r="30" spans="8:15" x14ac:dyDescent="0.3">
      <c r="H30" s="28">
        <v>1.7676767676767677</v>
      </c>
      <c r="O30" s="28"/>
    </row>
    <row r="31" spans="8:15" x14ac:dyDescent="0.3">
      <c r="H31" s="28">
        <v>1.808080808080808</v>
      </c>
      <c r="O31" s="28"/>
    </row>
    <row r="32" spans="8:15" x14ac:dyDescent="0.3">
      <c r="H32" s="28">
        <v>1.8484848484848486</v>
      </c>
      <c r="O32" s="28"/>
    </row>
    <row r="33" spans="8:15" x14ac:dyDescent="0.3">
      <c r="H33" s="28">
        <v>1.8888888888888888</v>
      </c>
      <c r="O33" s="28"/>
    </row>
    <row r="34" spans="8:15" x14ac:dyDescent="0.3">
      <c r="H34" s="28">
        <v>1.9292929292929293</v>
      </c>
      <c r="O34" s="28"/>
    </row>
    <row r="35" spans="8:15" x14ac:dyDescent="0.3">
      <c r="H35" s="28">
        <v>1.9696969696969697</v>
      </c>
      <c r="O35" s="28"/>
    </row>
    <row r="36" spans="8:15" x14ac:dyDescent="0.3">
      <c r="H36" s="28">
        <v>2.0101010101010104</v>
      </c>
      <c r="O36" s="28"/>
    </row>
    <row r="37" spans="8:15" x14ac:dyDescent="0.3">
      <c r="H37" s="28">
        <v>2.0505050505050506</v>
      </c>
      <c r="O37" s="28"/>
    </row>
    <row r="38" spans="8:15" x14ac:dyDescent="0.3">
      <c r="H38" s="28">
        <v>2.0909090909090908</v>
      </c>
      <c r="O38" s="28"/>
    </row>
    <row r="39" spans="8:15" x14ac:dyDescent="0.3">
      <c r="H39" s="28">
        <v>2.1313131313131315</v>
      </c>
      <c r="O39" s="28"/>
    </row>
    <row r="40" spans="8:15" x14ac:dyDescent="0.3">
      <c r="H40" s="28">
        <v>2.1717171717171717</v>
      </c>
      <c r="O40" s="28"/>
    </row>
    <row r="41" spans="8:15" x14ac:dyDescent="0.3">
      <c r="H41" s="28">
        <v>2.2121212121212119</v>
      </c>
      <c r="O41" s="28"/>
    </row>
    <row r="42" spans="8:15" x14ac:dyDescent="0.3">
      <c r="H42" s="28">
        <v>2.2525252525252526</v>
      </c>
      <c r="O42" s="28"/>
    </row>
    <row r="43" spans="8:15" x14ac:dyDescent="0.3">
      <c r="H43" s="28">
        <v>2.2929292929292933</v>
      </c>
      <c r="O43" s="28"/>
    </row>
    <row r="44" spans="8:15" x14ac:dyDescent="0.3">
      <c r="H44" s="28">
        <v>2.333333333333333</v>
      </c>
      <c r="O44" s="28"/>
    </row>
    <row r="45" spans="8:15" x14ac:dyDescent="0.3">
      <c r="H45" s="28">
        <v>2.3737373737373737</v>
      </c>
      <c r="O45" s="28"/>
    </row>
    <row r="46" spans="8:15" x14ac:dyDescent="0.3">
      <c r="H46" s="28">
        <v>2.4141414141414144</v>
      </c>
      <c r="O46" s="28"/>
    </row>
    <row r="47" spans="8:15" x14ac:dyDescent="0.3">
      <c r="H47" s="28">
        <v>2.4545454545454546</v>
      </c>
      <c r="O47" s="28"/>
    </row>
    <row r="48" spans="8:15" x14ac:dyDescent="0.3">
      <c r="H48" s="28">
        <v>2.4949494949494948</v>
      </c>
      <c r="O48" s="28"/>
    </row>
    <row r="49" spans="8:15" x14ac:dyDescent="0.3">
      <c r="H49" s="28">
        <v>2.5353535353535355</v>
      </c>
      <c r="O49" s="28"/>
    </row>
    <row r="50" spans="8:15" x14ac:dyDescent="0.3">
      <c r="H50" s="28">
        <v>2.5757575757575757</v>
      </c>
      <c r="O50" s="28"/>
    </row>
    <row r="51" spans="8:15" x14ac:dyDescent="0.3">
      <c r="H51" s="28">
        <v>2.6161616161616159</v>
      </c>
      <c r="O51" s="28"/>
    </row>
    <row r="52" spans="8:15" x14ac:dyDescent="0.3">
      <c r="H52" s="28">
        <v>2.6565656565656566</v>
      </c>
      <c r="O52" s="28"/>
    </row>
    <row r="53" spans="8:15" x14ac:dyDescent="0.3">
      <c r="H53" s="28">
        <v>2.6969696969696972</v>
      </c>
      <c r="O53" s="28"/>
    </row>
    <row r="54" spans="8:15" x14ac:dyDescent="0.3">
      <c r="H54" s="28">
        <v>2.7373737373737375</v>
      </c>
      <c r="O54" s="28"/>
    </row>
    <row r="55" spans="8:15" x14ac:dyDescent="0.3">
      <c r="H55" s="28">
        <v>2.7777777777777777</v>
      </c>
      <c r="O55" s="28"/>
    </row>
    <row r="56" spans="8:15" x14ac:dyDescent="0.3">
      <c r="H56" s="28">
        <v>2.8181818181818183</v>
      </c>
      <c r="O56" s="28"/>
    </row>
    <row r="57" spans="8:15" x14ac:dyDescent="0.3">
      <c r="H57" s="28">
        <v>2.8585858585858586</v>
      </c>
      <c r="O57" s="28"/>
    </row>
    <row r="58" spans="8:15" x14ac:dyDescent="0.3">
      <c r="H58" s="28">
        <v>2.8989898989898988</v>
      </c>
      <c r="O58" s="28"/>
    </row>
    <row r="59" spans="8:15" x14ac:dyDescent="0.3">
      <c r="H59" s="28">
        <v>2.9393939393939394</v>
      </c>
      <c r="O59" s="28"/>
    </row>
    <row r="60" spans="8:15" x14ac:dyDescent="0.3">
      <c r="H60" s="28">
        <v>2.9797979797979801</v>
      </c>
      <c r="O60" s="28"/>
    </row>
    <row r="61" spans="8:15" x14ac:dyDescent="0.3">
      <c r="H61" s="28">
        <v>3.0202020202020203</v>
      </c>
      <c r="O61" s="28"/>
    </row>
    <row r="62" spans="8:15" x14ac:dyDescent="0.3">
      <c r="H62" s="28">
        <v>3.0606060606060606</v>
      </c>
      <c r="O62" s="28"/>
    </row>
    <row r="63" spans="8:15" x14ac:dyDescent="0.3">
      <c r="H63" s="28">
        <v>3.1010101010101012</v>
      </c>
      <c r="O63" s="28"/>
    </row>
    <row r="64" spans="8:15" x14ac:dyDescent="0.3">
      <c r="H64" s="28">
        <v>3.1414141414141414</v>
      </c>
      <c r="O64" s="28"/>
    </row>
    <row r="65" spans="8:15" x14ac:dyDescent="0.3">
      <c r="H65" s="28">
        <v>3.1818181818181817</v>
      </c>
      <c r="O65" s="28"/>
    </row>
    <row r="66" spans="8:15" x14ac:dyDescent="0.3">
      <c r="H66" s="28">
        <v>3.2222222222222223</v>
      </c>
      <c r="O66" s="28"/>
    </row>
    <row r="67" spans="8:15" x14ac:dyDescent="0.3">
      <c r="H67" s="28">
        <v>3.2626262626262625</v>
      </c>
      <c r="O67" s="28"/>
    </row>
    <row r="68" spans="8:15" x14ac:dyDescent="0.3">
      <c r="H68" s="28">
        <v>3.3030303030303032</v>
      </c>
      <c r="O68" s="28"/>
    </row>
    <row r="69" spans="8:15" x14ac:dyDescent="0.3">
      <c r="H69" s="28">
        <v>3.3434343434343434</v>
      </c>
      <c r="O69" s="28"/>
    </row>
    <row r="70" spans="8:15" x14ac:dyDescent="0.3">
      <c r="H70" s="28">
        <v>3.3838383838383836</v>
      </c>
      <c r="O70" s="28"/>
    </row>
    <row r="71" spans="8:15" x14ac:dyDescent="0.3">
      <c r="H71" s="28">
        <v>3.4242424242424243</v>
      </c>
      <c r="O71" s="28"/>
    </row>
    <row r="72" spans="8:15" x14ac:dyDescent="0.3">
      <c r="H72" s="28">
        <v>3.4646464646464645</v>
      </c>
      <c r="O72" s="28"/>
    </row>
    <row r="73" spans="8:15" x14ac:dyDescent="0.3">
      <c r="H73" s="28">
        <v>3.5050505050505052</v>
      </c>
      <c r="O73" s="28"/>
    </row>
    <row r="74" spans="8:15" x14ac:dyDescent="0.3">
      <c r="H74" s="28">
        <v>3.5454545454545454</v>
      </c>
      <c r="O74" s="28"/>
    </row>
    <row r="75" spans="8:15" x14ac:dyDescent="0.3">
      <c r="H75" s="28">
        <v>3.5858585858585861</v>
      </c>
      <c r="O75" s="28"/>
    </row>
    <row r="76" spans="8:15" x14ac:dyDescent="0.3">
      <c r="H76" s="28">
        <v>3.6262626262626263</v>
      </c>
      <c r="O76" s="28"/>
    </row>
    <row r="77" spans="8:15" x14ac:dyDescent="0.3">
      <c r="H77" s="28">
        <v>3.6666666666666665</v>
      </c>
      <c r="O77" s="28"/>
    </row>
    <row r="78" spans="8:15" x14ac:dyDescent="0.3">
      <c r="H78" s="28">
        <v>3.7070707070707072</v>
      </c>
      <c r="O78" s="28"/>
    </row>
    <row r="79" spans="8:15" x14ac:dyDescent="0.3">
      <c r="H79" s="28">
        <v>3.7474747474747474</v>
      </c>
      <c r="O79" s="28"/>
    </row>
    <row r="80" spans="8:15" x14ac:dyDescent="0.3">
      <c r="H80" s="28">
        <v>3.7878787878787881</v>
      </c>
      <c r="O80" s="28"/>
    </row>
    <row r="81" spans="8:15" x14ac:dyDescent="0.3">
      <c r="H81" s="28">
        <v>3.8282828282828283</v>
      </c>
      <c r="O81" s="28"/>
    </row>
    <row r="82" spans="8:15" x14ac:dyDescent="0.3">
      <c r="H82" s="28">
        <v>3.8686868686868685</v>
      </c>
      <c r="O82" s="28"/>
    </row>
    <row r="83" spans="8:15" x14ac:dyDescent="0.3">
      <c r="H83" s="28">
        <v>3.9090909090909092</v>
      </c>
      <c r="O83" s="28"/>
    </row>
    <row r="84" spans="8:15" x14ac:dyDescent="0.3">
      <c r="H84" s="28">
        <v>3.9494949494949494</v>
      </c>
      <c r="O84" s="28"/>
    </row>
    <row r="85" spans="8:15" x14ac:dyDescent="0.3">
      <c r="H85" s="28">
        <v>3.9898989898989901</v>
      </c>
      <c r="O85" s="28"/>
    </row>
    <row r="86" spans="8:15" x14ac:dyDescent="0.3">
      <c r="H86" s="28">
        <v>4.0303030303030303</v>
      </c>
      <c r="O86" s="28"/>
    </row>
    <row r="87" spans="8:15" x14ac:dyDescent="0.3">
      <c r="H87" s="28">
        <v>4.0707070707070709</v>
      </c>
      <c r="O87" s="28"/>
    </row>
    <row r="88" spans="8:15" x14ac:dyDescent="0.3">
      <c r="H88" s="28">
        <v>4.1111111111111107</v>
      </c>
      <c r="O88" s="28"/>
    </row>
    <row r="89" spans="8:15" x14ac:dyDescent="0.3">
      <c r="H89" s="28">
        <v>4.1515151515151514</v>
      </c>
      <c r="O89" s="28"/>
    </row>
    <row r="90" spans="8:15" x14ac:dyDescent="0.3">
      <c r="H90" s="28">
        <v>4.191919191919192</v>
      </c>
      <c r="O90" s="28"/>
    </row>
    <row r="91" spans="8:15" x14ac:dyDescent="0.3">
      <c r="H91" s="28">
        <v>4.2323232323232318</v>
      </c>
      <c r="O91" s="28"/>
    </row>
    <row r="92" spans="8:15" x14ac:dyDescent="0.3">
      <c r="H92" s="28">
        <v>4.2727272727272734</v>
      </c>
      <c r="O92" s="28"/>
    </row>
    <row r="93" spans="8:15" x14ac:dyDescent="0.3">
      <c r="H93" s="28">
        <v>4.3131313131313131</v>
      </c>
      <c r="O93" s="28"/>
    </row>
    <row r="94" spans="8:15" x14ac:dyDescent="0.3">
      <c r="H94" s="28">
        <v>4.3535353535353529</v>
      </c>
      <c r="O94" s="28"/>
    </row>
    <row r="95" spans="8:15" x14ac:dyDescent="0.3">
      <c r="H95" s="28">
        <v>4.3939393939393945</v>
      </c>
      <c r="O95" s="28"/>
    </row>
    <row r="96" spans="8:15" x14ac:dyDescent="0.3">
      <c r="H96" s="28">
        <v>4.4343434343434343</v>
      </c>
      <c r="O96" s="28"/>
    </row>
    <row r="97" spans="8:15" x14ac:dyDescent="0.3">
      <c r="H97" s="28">
        <v>4.4747474747474749</v>
      </c>
      <c r="O97" s="28"/>
    </row>
    <row r="98" spans="8:15" x14ac:dyDescent="0.3">
      <c r="H98" s="28">
        <v>4.5151515151515156</v>
      </c>
      <c r="O98" s="28"/>
    </row>
    <row r="99" spans="8:15" x14ac:dyDescent="0.3">
      <c r="H99" s="28">
        <v>4.5555555555555554</v>
      </c>
      <c r="O99" s="28"/>
    </row>
    <row r="100" spans="8:15" x14ac:dyDescent="0.3">
      <c r="H100" s="28">
        <v>4.595959595959596</v>
      </c>
      <c r="O100" s="28"/>
    </row>
    <row r="101" spans="8:15" x14ac:dyDescent="0.3">
      <c r="H101" s="28">
        <v>4.6363636363636367</v>
      </c>
      <c r="O101" s="28"/>
    </row>
    <row r="102" spans="8:15" x14ac:dyDescent="0.3">
      <c r="H102" s="28">
        <v>4.6767676767676765</v>
      </c>
      <c r="O102" s="28"/>
    </row>
    <row r="103" spans="8:15" x14ac:dyDescent="0.3">
      <c r="H103" s="28">
        <v>4.7171717171717171</v>
      </c>
      <c r="O103" s="28"/>
    </row>
    <row r="104" spans="8:15" x14ac:dyDescent="0.3">
      <c r="H104" s="28">
        <v>4.7575757575757578</v>
      </c>
      <c r="O104" s="28"/>
    </row>
    <row r="105" spans="8:15" x14ac:dyDescent="0.3">
      <c r="H105" s="28">
        <v>4.7979797979797976</v>
      </c>
      <c r="O105" s="28"/>
    </row>
    <row r="106" spans="8:15" x14ac:dyDescent="0.3">
      <c r="H106" s="28">
        <v>4.8383838383838382</v>
      </c>
      <c r="O106" s="28"/>
    </row>
    <row r="107" spans="8:15" x14ac:dyDescent="0.3">
      <c r="H107" s="28">
        <v>4.8787878787878789</v>
      </c>
      <c r="O107" s="28"/>
    </row>
    <row r="108" spans="8:15" x14ac:dyDescent="0.3">
      <c r="H108" s="28">
        <v>4.9191919191919187</v>
      </c>
      <c r="O108" s="28"/>
    </row>
    <row r="109" spans="8:15" x14ac:dyDescent="0.3">
      <c r="H109" s="28">
        <v>4.9595959595959602</v>
      </c>
      <c r="O109" s="28"/>
    </row>
    <row r="110" spans="8:15" x14ac:dyDescent="0.3">
      <c r="H110" s="28">
        <v>5</v>
      </c>
      <c r="O110" s="28"/>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A7AF0-AA63-440B-AA90-8E0AAD7104AE}">
  <sheetPr codeName="Planilha26">
    <tabColor theme="9" tint="0.59999389629810485"/>
  </sheetPr>
  <dimension ref="A1:Q110"/>
  <sheetViews>
    <sheetView showGridLines="0" workbookViewId="0">
      <selection activeCell="I19" sqref="I1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122</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MAX(ROWS(_xlpm.matrix),COLUMNS(_xlpm.matrix)) )(E11:G15)</f>
        <v>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LENGTH(E18:G19)</f>
        <v>3</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98CB4-64DE-42E2-8907-E78FFFFF091F}">
  <sheetPr codeName="Planilha29">
    <tabColor theme="9" tint="0.59999389629810485"/>
  </sheetPr>
  <dimension ref="A1:Q110"/>
  <sheetViews>
    <sheetView showGridLines="0" topLeftCell="A4" workbookViewId="0">
      <selection activeCell="K12" sqref="K12"/>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208</v>
      </c>
      <c r="I1" s="15"/>
      <c r="J1" s="15"/>
      <c r="K1" s="15"/>
      <c r="L1" s="15"/>
      <c r="M1" s="15"/>
      <c r="N1" s="15"/>
      <c r="O1" s="15"/>
      <c r="P1" s="15"/>
      <c r="Q1" s="15"/>
    </row>
    <row r="2" spans="1:17" x14ac:dyDescent="0.3">
      <c r="A2" s="18" t="s">
        <v>209</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78.75" x14ac:dyDescent="0.25">
      <c r="A6" s="24" t="s">
        <v>147</v>
      </c>
      <c r="B6" s="27" t="s">
        <v>210</v>
      </c>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I12">_xlfn.LAMBDA(_xlpm.matrix,_xlop.dim,
_xlfn.LET(_xlpm.dim, IF(_xlfn.ISOMITTED(_xlpm.dim), 3, _xlpm.dim),
CHOOSE(_xlpm.dim,
ROWS(_xlpm.matrix),
COLUMNS(_xlpm.matrix),
VERTCAT(ROWS(_xlpm.matrix),COLUMNS(_xlpm.matrix))))
)(E11:G15)</f>
        <v>5</v>
      </c>
      <c r="K11" s="28"/>
    </row>
    <row r="12" spans="1:17" x14ac:dyDescent="0.3">
      <c r="E12" s="13">
        <v>3</v>
      </c>
      <c r="F12" s="13">
        <v>4</v>
      </c>
      <c r="G12" s="13">
        <v>4</v>
      </c>
      <c r="I12" s="29">
        <v>3</v>
      </c>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s="16" customFormat="1" x14ac:dyDescent="0.3">
      <c r="A16" s="18"/>
      <c r="B16"/>
      <c r="C16"/>
      <c r="D16"/>
      <c r="E16"/>
      <c r="F16"/>
      <c r="G16"/>
      <c r="H16"/>
      <c r="I16" s="28"/>
      <c r="K16" s="28"/>
    </row>
    <row r="17" spans="1:11" s="16" customFormat="1" x14ac:dyDescent="0.3">
      <c r="A17" s="18"/>
      <c r="B17"/>
      <c r="C17"/>
      <c r="D17"/>
      <c r="E17"/>
      <c r="F17"/>
      <c r="G17"/>
      <c r="H17"/>
      <c r="I17" s="28"/>
      <c r="K17" s="28"/>
    </row>
    <row r="18" spans="1:11" s="16" customFormat="1" x14ac:dyDescent="0.3">
      <c r="A18" s="18"/>
      <c r="B18"/>
      <c r="C18" s="1" t="s">
        <v>17</v>
      </c>
      <c r="D18" s="14" t="s">
        <v>22</v>
      </c>
      <c r="E18" s="13">
        <v>1</v>
      </c>
      <c r="F18" s="13">
        <v>2</v>
      </c>
      <c r="G18" s="13">
        <v>2</v>
      </c>
      <c r="H18"/>
      <c r="I18" s="29" cm="1">
        <f t="array" ref="I18">_xludf.SIZE(E18:G19,E21)</f>
        <v>3</v>
      </c>
      <c r="K18" s="28"/>
    </row>
    <row r="19" spans="1:11" s="16" customFormat="1" x14ac:dyDescent="0.3">
      <c r="A19" s="18"/>
      <c r="B19"/>
      <c r="C19"/>
      <c r="D19"/>
      <c r="E19" s="13">
        <v>3</v>
      </c>
      <c r="F19" s="13">
        <v>4</v>
      </c>
      <c r="G19" s="13">
        <v>4</v>
      </c>
      <c r="H19"/>
      <c r="I19" s="28"/>
      <c r="K19" s="28"/>
    </row>
    <row r="20" spans="1:11" s="16" customFormat="1" x14ac:dyDescent="0.3">
      <c r="A20" s="18"/>
      <c r="B20"/>
      <c r="C20"/>
      <c r="D20"/>
      <c r="E20"/>
      <c r="F20"/>
      <c r="G20"/>
      <c r="H20"/>
      <c r="I20" s="28"/>
      <c r="K20" s="28"/>
    </row>
    <row r="21" spans="1:11" s="16" customFormat="1" x14ac:dyDescent="0.3">
      <c r="A21" s="18"/>
      <c r="B21"/>
      <c r="C21"/>
      <c r="D21" s="14" t="s">
        <v>147</v>
      </c>
      <c r="E21" s="13">
        <v>2</v>
      </c>
      <c r="F21"/>
      <c r="G21"/>
      <c r="H21"/>
      <c r="I21" s="28"/>
      <c r="K21" s="28"/>
    </row>
    <row r="22" spans="1:11" s="16" customFormat="1" x14ac:dyDescent="0.3">
      <c r="A22" s="18"/>
      <c r="B22"/>
      <c r="C22"/>
      <c r="D22"/>
      <c r="E22"/>
      <c r="F22"/>
      <c r="G22"/>
      <c r="H22"/>
      <c r="I22" s="28"/>
      <c r="K22" s="28"/>
    </row>
    <row r="23" spans="1:11" s="16" customFormat="1" x14ac:dyDescent="0.3">
      <c r="A23" s="18"/>
      <c r="B23"/>
      <c r="C23"/>
      <c r="D23"/>
      <c r="E23"/>
      <c r="F23"/>
      <c r="G23"/>
      <c r="H23"/>
      <c r="I23" s="28"/>
      <c r="K23" s="28"/>
    </row>
    <row r="24" spans="1:11" s="16" customFormat="1" x14ac:dyDescent="0.3">
      <c r="A24" s="18"/>
      <c r="B24"/>
      <c r="C24"/>
      <c r="D24"/>
      <c r="E24"/>
      <c r="F24"/>
      <c r="G24"/>
      <c r="H24"/>
      <c r="I24" s="28"/>
      <c r="K24" s="28"/>
    </row>
    <row r="25" spans="1:11" s="16" customFormat="1" x14ac:dyDescent="0.3">
      <c r="A25" s="18"/>
      <c r="B25"/>
      <c r="C25"/>
      <c r="D25"/>
      <c r="E25"/>
      <c r="F25"/>
      <c r="G25"/>
      <c r="H25"/>
      <c r="I25" s="28"/>
      <c r="K25" s="28"/>
    </row>
    <row r="26" spans="1:11" s="16" customFormat="1" x14ac:dyDescent="0.3">
      <c r="A26" s="18"/>
      <c r="B26"/>
      <c r="C26"/>
      <c r="D26"/>
      <c r="E26"/>
      <c r="F26"/>
      <c r="G26"/>
      <c r="H26"/>
      <c r="I26" s="28"/>
      <c r="K26" s="28"/>
    </row>
    <row r="27" spans="1:11" s="16" customFormat="1" x14ac:dyDescent="0.3">
      <c r="A27" s="18"/>
      <c r="B27"/>
      <c r="C27"/>
      <c r="D27"/>
      <c r="E27"/>
      <c r="F27"/>
      <c r="G27"/>
      <c r="H27"/>
      <c r="I27" s="28"/>
      <c r="K27" s="28"/>
    </row>
    <row r="28" spans="1:11" s="16" customFormat="1" x14ac:dyDescent="0.3">
      <c r="A28" s="18"/>
      <c r="B28"/>
      <c r="C28"/>
      <c r="D28"/>
      <c r="E28"/>
      <c r="F28"/>
      <c r="G28"/>
      <c r="H28"/>
      <c r="I28" s="28"/>
      <c r="K28" s="28"/>
    </row>
    <row r="29" spans="1:11" s="16" customFormat="1" x14ac:dyDescent="0.3">
      <c r="A29" s="18"/>
      <c r="B29"/>
      <c r="C29"/>
      <c r="D29"/>
      <c r="E29"/>
      <c r="F29"/>
      <c r="G29"/>
      <c r="H29"/>
      <c r="I29" s="28"/>
      <c r="K29" s="28"/>
    </row>
    <row r="30" spans="1:11" s="16" customFormat="1" x14ac:dyDescent="0.3">
      <c r="A30" s="18"/>
      <c r="B30"/>
      <c r="C30"/>
      <c r="D30"/>
      <c r="E30"/>
      <c r="F30"/>
      <c r="G30"/>
      <c r="H30"/>
      <c r="I30" s="28"/>
      <c r="K30" s="28"/>
    </row>
    <row r="31" spans="1:11" s="16" customFormat="1" x14ac:dyDescent="0.3">
      <c r="A31" s="18"/>
      <c r="B31"/>
      <c r="C31"/>
      <c r="D31"/>
      <c r="E31"/>
      <c r="F31"/>
      <c r="G31"/>
      <c r="H31"/>
      <c r="I31" s="28"/>
      <c r="K31" s="28"/>
    </row>
    <row r="32" spans="1:11" s="16" customFormat="1" x14ac:dyDescent="0.3">
      <c r="A32" s="18"/>
      <c r="B32"/>
      <c r="C32"/>
      <c r="D32"/>
      <c r="E32"/>
      <c r="F32"/>
      <c r="G32"/>
      <c r="H32"/>
      <c r="I32" s="28"/>
      <c r="K32" s="28"/>
    </row>
    <row r="33" spans="1:11" s="16" customFormat="1" x14ac:dyDescent="0.3">
      <c r="A33" s="18"/>
      <c r="B33"/>
      <c r="C33"/>
      <c r="D33"/>
      <c r="E33"/>
      <c r="F33"/>
      <c r="G33"/>
      <c r="H33"/>
      <c r="I33" s="28"/>
      <c r="K33" s="28"/>
    </row>
    <row r="34" spans="1:11" s="16" customFormat="1" x14ac:dyDescent="0.3">
      <c r="A34" s="18"/>
      <c r="B34"/>
      <c r="C34"/>
      <c r="D34"/>
      <c r="E34"/>
      <c r="F34"/>
      <c r="G34"/>
      <c r="H34"/>
      <c r="I34" s="28"/>
      <c r="K34" s="28"/>
    </row>
    <row r="35" spans="1:11" s="16" customFormat="1" x14ac:dyDescent="0.3">
      <c r="A35" s="18"/>
      <c r="B35"/>
      <c r="C35"/>
      <c r="D35"/>
      <c r="E35"/>
      <c r="F35"/>
      <c r="G35"/>
      <c r="H35"/>
      <c r="I35" s="28"/>
      <c r="K35" s="28"/>
    </row>
    <row r="36" spans="1:11" s="16" customFormat="1" x14ac:dyDescent="0.3">
      <c r="A36" s="18"/>
      <c r="B36"/>
      <c r="C36"/>
      <c r="D36"/>
      <c r="E36"/>
      <c r="F36"/>
      <c r="G36"/>
      <c r="H36"/>
      <c r="I36" s="28"/>
      <c r="K36" s="28"/>
    </row>
    <row r="37" spans="1:11" s="16" customFormat="1" x14ac:dyDescent="0.3">
      <c r="A37" s="18"/>
      <c r="B37"/>
      <c r="C37"/>
      <c r="D37"/>
      <c r="E37"/>
      <c r="F37"/>
      <c r="G37"/>
      <c r="H37"/>
      <c r="I37" s="28"/>
      <c r="K37" s="28"/>
    </row>
    <row r="38" spans="1:11" s="16" customFormat="1" x14ac:dyDescent="0.3">
      <c r="A38" s="18"/>
      <c r="B38"/>
      <c r="C38"/>
      <c r="D38"/>
      <c r="E38"/>
      <c r="F38"/>
      <c r="G38"/>
      <c r="H38"/>
      <c r="I38" s="28"/>
      <c r="K38" s="28"/>
    </row>
    <row r="39" spans="1:11" s="16" customFormat="1" x14ac:dyDescent="0.3">
      <c r="A39" s="18"/>
      <c r="B39"/>
      <c r="C39"/>
      <c r="D39"/>
      <c r="E39"/>
      <c r="F39"/>
      <c r="G39"/>
      <c r="H39"/>
      <c r="I39" s="28"/>
      <c r="K39" s="28"/>
    </row>
    <row r="40" spans="1:11" s="16" customFormat="1" x14ac:dyDescent="0.3">
      <c r="A40" s="18"/>
      <c r="B40"/>
      <c r="C40"/>
      <c r="D40"/>
      <c r="E40"/>
      <c r="F40"/>
      <c r="G40"/>
      <c r="H40"/>
      <c r="I40" s="28"/>
      <c r="K40" s="28"/>
    </row>
    <row r="41" spans="1:11" s="16" customFormat="1" x14ac:dyDescent="0.3">
      <c r="A41" s="18"/>
      <c r="B41"/>
      <c r="C41"/>
      <c r="D41"/>
      <c r="E41"/>
      <c r="F41"/>
      <c r="G41"/>
      <c r="H41"/>
      <c r="I41" s="28"/>
      <c r="K41" s="28"/>
    </row>
    <row r="42" spans="1:11" s="16" customFormat="1" x14ac:dyDescent="0.3">
      <c r="A42" s="18"/>
      <c r="B42"/>
      <c r="C42"/>
      <c r="D42"/>
      <c r="E42"/>
      <c r="F42"/>
      <c r="G42"/>
      <c r="H42"/>
      <c r="I42" s="28"/>
      <c r="K42" s="28"/>
    </row>
    <row r="43" spans="1:11" s="16" customFormat="1" x14ac:dyDescent="0.3">
      <c r="A43" s="18"/>
      <c r="B43"/>
      <c r="C43"/>
      <c r="D43"/>
      <c r="E43"/>
      <c r="F43"/>
      <c r="G43"/>
      <c r="H43"/>
      <c r="I43" s="28"/>
      <c r="K43" s="28"/>
    </row>
    <row r="44" spans="1:11" s="16" customFormat="1" x14ac:dyDescent="0.3">
      <c r="A44" s="18"/>
      <c r="B44"/>
      <c r="C44"/>
      <c r="D44"/>
      <c r="E44"/>
      <c r="F44"/>
      <c r="G44"/>
      <c r="H44"/>
      <c r="I44" s="28"/>
      <c r="K44" s="28"/>
    </row>
    <row r="45" spans="1:11" s="16" customFormat="1" x14ac:dyDescent="0.3">
      <c r="A45" s="18"/>
      <c r="B45"/>
      <c r="C45"/>
      <c r="D45"/>
      <c r="E45"/>
      <c r="F45"/>
      <c r="G45"/>
      <c r="H45"/>
      <c r="I45" s="28"/>
      <c r="K45" s="28"/>
    </row>
    <row r="46" spans="1:11" s="16" customFormat="1" x14ac:dyDescent="0.3">
      <c r="A46" s="18"/>
      <c r="B46"/>
      <c r="C46"/>
      <c r="D46"/>
      <c r="E46"/>
      <c r="F46"/>
      <c r="G46"/>
      <c r="H46"/>
      <c r="I46" s="28"/>
      <c r="K46" s="28"/>
    </row>
    <row r="47" spans="1:11" s="16" customFormat="1" x14ac:dyDescent="0.3">
      <c r="A47" s="18"/>
      <c r="B47"/>
      <c r="C47"/>
      <c r="D47"/>
      <c r="E47"/>
      <c r="F47"/>
      <c r="G47"/>
      <c r="H47"/>
      <c r="I47" s="28"/>
      <c r="K47" s="28"/>
    </row>
    <row r="48" spans="1:11" s="16" customFormat="1" x14ac:dyDescent="0.3">
      <c r="A48" s="18"/>
      <c r="B48"/>
      <c r="C48"/>
      <c r="D48"/>
      <c r="E48"/>
      <c r="F48"/>
      <c r="G48"/>
      <c r="H48"/>
      <c r="I48" s="28"/>
      <c r="K48" s="28"/>
    </row>
    <row r="49" spans="1:11" s="16" customFormat="1" x14ac:dyDescent="0.3">
      <c r="A49" s="18"/>
      <c r="B49"/>
      <c r="C49"/>
      <c r="D49"/>
      <c r="E49"/>
      <c r="F49"/>
      <c r="G49"/>
      <c r="H49"/>
      <c r="I49" s="28"/>
      <c r="K49" s="28"/>
    </row>
    <row r="50" spans="1:11" s="16" customFormat="1" x14ac:dyDescent="0.3">
      <c r="A50" s="18"/>
      <c r="B50"/>
      <c r="C50"/>
      <c r="D50"/>
      <c r="E50"/>
      <c r="F50"/>
      <c r="G50"/>
      <c r="H50"/>
      <c r="I50" s="28"/>
      <c r="K50" s="28"/>
    </row>
    <row r="51" spans="1:11" s="16" customFormat="1" x14ac:dyDescent="0.3">
      <c r="A51" s="18"/>
      <c r="B51"/>
      <c r="C51"/>
      <c r="D51"/>
      <c r="E51"/>
      <c r="F51"/>
      <c r="G51"/>
      <c r="H51"/>
      <c r="I51" s="28"/>
      <c r="K51" s="28"/>
    </row>
    <row r="52" spans="1:11" s="16" customFormat="1" x14ac:dyDescent="0.3">
      <c r="A52" s="18"/>
      <c r="B52"/>
      <c r="C52"/>
      <c r="D52"/>
      <c r="E52"/>
      <c r="F52"/>
      <c r="G52"/>
      <c r="H52"/>
      <c r="I52" s="28"/>
      <c r="K52" s="28"/>
    </row>
    <row r="53" spans="1:11" s="16" customFormat="1" x14ac:dyDescent="0.3">
      <c r="A53" s="18"/>
      <c r="B53"/>
      <c r="C53"/>
      <c r="D53"/>
      <c r="E53"/>
      <c r="F53"/>
      <c r="G53"/>
      <c r="H53"/>
      <c r="I53" s="28"/>
      <c r="K53" s="28"/>
    </row>
    <row r="54" spans="1:11" s="16" customFormat="1" x14ac:dyDescent="0.3">
      <c r="A54" s="18"/>
      <c r="B54"/>
      <c r="C54"/>
      <c r="D54"/>
      <c r="E54"/>
      <c r="F54"/>
      <c r="G54"/>
      <c r="H54"/>
      <c r="I54" s="28"/>
      <c r="K54" s="28"/>
    </row>
    <row r="55" spans="1:11" s="16" customFormat="1" x14ac:dyDescent="0.3">
      <c r="A55" s="18"/>
      <c r="B55"/>
      <c r="C55"/>
      <c r="D55"/>
      <c r="E55"/>
      <c r="F55"/>
      <c r="G55"/>
      <c r="H55"/>
      <c r="I55" s="28"/>
      <c r="K55" s="28"/>
    </row>
    <row r="56" spans="1:11" s="16" customFormat="1" x14ac:dyDescent="0.3">
      <c r="A56" s="18"/>
      <c r="B56"/>
      <c r="C56"/>
      <c r="D56"/>
      <c r="E56"/>
      <c r="F56"/>
      <c r="G56"/>
      <c r="H56"/>
      <c r="I56" s="28"/>
      <c r="K56" s="28"/>
    </row>
    <row r="57" spans="1:11" s="16" customFormat="1" x14ac:dyDescent="0.3">
      <c r="A57" s="18"/>
      <c r="B57"/>
      <c r="C57"/>
      <c r="D57"/>
      <c r="E57"/>
      <c r="F57"/>
      <c r="G57"/>
      <c r="H57"/>
      <c r="I57" s="28"/>
      <c r="K57" s="28"/>
    </row>
    <row r="58" spans="1:11" s="16" customFormat="1" x14ac:dyDescent="0.3">
      <c r="A58" s="18"/>
      <c r="B58"/>
      <c r="C58"/>
      <c r="D58"/>
      <c r="E58"/>
      <c r="F58"/>
      <c r="G58"/>
      <c r="H58"/>
      <c r="I58" s="28"/>
      <c r="K58" s="28"/>
    </row>
    <row r="59" spans="1:11" s="16" customFormat="1" x14ac:dyDescent="0.3">
      <c r="A59" s="18"/>
      <c r="B59"/>
      <c r="C59"/>
      <c r="D59"/>
      <c r="E59"/>
      <c r="F59"/>
      <c r="G59"/>
      <c r="H59"/>
      <c r="I59" s="28"/>
      <c r="K59" s="28"/>
    </row>
    <row r="60" spans="1:11" s="16" customFormat="1" x14ac:dyDescent="0.3">
      <c r="A60" s="18"/>
      <c r="B60"/>
      <c r="C60"/>
      <c r="D60"/>
      <c r="E60"/>
      <c r="F60"/>
      <c r="G60"/>
      <c r="H60"/>
      <c r="I60" s="28"/>
      <c r="K60" s="28"/>
    </row>
    <row r="61" spans="1:11" s="16" customFormat="1" x14ac:dyDescent="0.3">
      <c r="A61" s="18"/>
      <c r="B61"/>
      <c r="C61"/>
      <c r="D61"/>
      <c r="E61"/>
      <c r="F61"/>
      <c r="G61"/>
      <c r="H61"/>
      <c r="I61" s="28"/>
      <c r="K61" s="28"/>
    </row>
    <row r="62" spans="1:11" s="16" customFormat="1" x14ac:dyDescent="0.3">
      <c r="A62" s="18"/>
      <c r="B62"/>
      <c r="C62"/>
      <c r="D62"/>
      <c r="E62"/>
      <c r="F62"/>
      <c r="G62"/>
      <c r="H62"/>
      <c r="I62" s="28"/>
      <c r="K62" s="28"/>
    </row>
    <row r="63" spans="1:11" s="16" customFormat="1" x14ac:dyDescent="0.3">
      <c r="A63" s="18"/>
      <c r="B63"/>
      <c r="C63"/>
      <c r="D63"/>
      <c r="E63"/>
      <c r="F63"/>
      <c r="G63"/>
      <c r="H63"/>
      <c r="I63" s="28"/>
      <c r="K63" s="28"/>
    </row>
    <row r="64" spans="1:11" s="16" customFormat="1" x14ac:dyDescent="0.3">
      <c r="A64" s="18"/>
      <c r="B64"/>
      <c r="C64"/>
      <c r="D64"/>
      <c r="E64"/>
      <c r="F64"/>
      <c r="G64"/>
      <c r="H64"/>
      <c r="I64" s="28"/>
      <c r="K64" s="28"/>
    </row>
    <row r="65" spans="1:11" s="16" customFormat="1" x14ac:dyDescent="0.3">
      <c r="A65" s="18"/>
      <c r="B65"/>
      <c r="C65"/>
      <c r="D65"/>
      <c r="E65"/>
      <c r="F65"/>
      <c r="G65"/>
      <c r="H65"/>
      <c r="I65" s="28"/>
      <c r="K65" s="28"/>
    </row>
    <row r="66" spans="1:11" s="16" customFormat="1" x14ac:dyDescent="0.3">
      <c r="A66" s="18"/>
      <c r="B66"/>
      <c r="C66"/>
      <c r="D66"/>
      <c r="E66"/>
      <c r="F66"/>
      <c r="G66"/>
      <c r="H66"/>
      <c r="I66" s="28"/>
      <c r="K66" s="28"/>
    </row>
    <row r="67" spans="1:11" s="16" customFormat="1" x14ac:dyDescent="0.3">
      <c r="A67" s="18"/>
      <c r="B67"/>
      <c r="C67"/>
      <c r="D67"/>
      <c r="E67"/>
      <c r="F67"/>
      <c r="G67"/>
      <c r="H67"/>
      <c r="I67" s="28"/>
      <c r="K67" s="28"/>
    </row>
    <row r="68" spans="1:11" s="16" customFormat="1" x14ac:dyDescent="0.3">
      <c r="A68" s="18"/>
      <c r="B68"/>
      <c r="C68"/>
      <c r="D68"/>
      <c r="E68"/>
      <c r="F68"/>
      <c r="G68"/>
      <c r="H68"/>
      <c r="I68" s="28"/>
      <c r="K68" s="28"/>
    </row>
    <row r="69" spans="1:11" s="16" customFormat="1" x14ac:dyDescent="0.3">
      <c r="A69" s="18"/>
      <c r="B69"/>
      <c r="C69"/>
      <c r="D69"/>
      <c r="E69"/>
      <c r="F69"/>
      <c r="G69"/>
      <c r="H69"/>
      <c r="I69" s="28"/>
      <c r="K69" s="28"/>
    </row>
    <row r="70" spans="1:11" s="16" customFormat="1" x14ac:dyDescent="0.3">
      <c r="A70" s="18"/>
      <c r="B70"/>
      <c r="C70"/>
      <c r="D70"/>
      <c r="E70"/>
      <c r="F70"/>
      <c r="G70"/>
      <c r="H70"/>
      <c r="I70" s="28"/>
      <c r="K70" s="28"/>
    </row>
    <row r="71" spans="1:11" s="16" customFormat="1" x14ac:dyDescent="0.3">
      <c r="A71" s="18"/>
      <c r="B71"/>
      <c r="C71"/>
      <c r="D71"/>
      <c r="E71"/>
      <c r="F71"/>
      <c r="G71"/>
      <c r="H71"/>
      <c r="I71" s="28"/>
      <c r="K71" s="28"/>
    </row>
    <row r="72" spans="1:11" s="16" customFormat="1" x14ac:dyDescent="0.3">
      <c r="A72" s="18"/>
      <c r="B72"/>
      <c r="C72"/>
      <c r="D72"/>
      <c r="E72"/>
      <c r="F72"/>
      <c r="G72"/>
      <c r="H72"/>
      <c r="I72" s="28"/>
      <c r="K72" s="28"/>
    </row>
    <row r="73" spans="1:11" s="16" customFormat="1" x14ac:dyDescent="0.3">
      <c r="A73" s="18"/>
      <c r="B73"/>
      <c r="C73"/>
      <c r="D73"/>
      <c r="E73"/>
      <c r="F73"/>
      <c r="G73"/>
      <c r="H73"/>
      <c r="I73" s="28"/>
      <c r="K73" s="28"/>
    </row>
    <row r="74" spans="1:11" s="16" customFormat="1" x14ac:dyDescent="0.3">
      <c r="A74" s="18"/>
      <c r="B74"/>
      <c r="C74"/>
      <c r="D74"/>
      <c r="E74"/>
      <c r="F74"/>
      <c r="G74"/>
      <c r="H74"/>
      <c r="I74" s="28"/>
      <c r="K74" s="28"/>
    </row>
    <row r="75" spans="1:11" s="16" customFormat="1" x14ac:dyDescent="0.3">
      <c r="A75" s="18"/>
      <c r="B75"/>
      <c r="C75"/>
      <c r="D75"/>
      <c r="E75"/>
      <c r="F75"/>
      <c r="G75"/>
      <c r="H75"/>
      <c r="I75" s="28"/>
      <c r="K75" s="28"/>
    </row>
    <row r="76" spans="1:11" s="16" customFormat="1" x14ac:dyDescent="0.3">
      <c r="A76" s="18"/>
      <c r="B76"/>
      <c r="C76"/>
      <c r="D76"/>
      <c r="E76"/>
      <c r="F76"/>
      <c r="G76"/>
      <c r="H76"/>
      <c r="I76" s="28"/>
      <c r="K76" s="28"/>
    </row>
    <row r="77" spans="1:11" s="16" customFormat="1" x14ac:dyDescent="0.3">
      <c r="A77" s="18"/>
      <c r="B77"/>
      <c r="C77"/>
      <c r="D77"/>
      <c r="E77"/>
      <c r="F77"/>
      <c r="G77"/>
      <c r="H77"/>
      <c r="I77" s="28"/>
      <c r="K77" s="28"/>
    </row>
    <row r="78" spans="1:11" s="16" customFormat="1" x14ac:dyDescent="0.3">
      <c r="A78" s="18"/>
      <c r="B78"/>
      <c r="C78"/>
      <c r="D78"/>
      <c r="E78"/>
      <c r="F78"/>
      <c r="G78"/>
      <c r="H78"/>
      <c r="I78" s="28"/>
      <c r="K78" s="28"/>
    </row>
    <row r="79" spans="1:11" s="16" customFormat="1" x14ac:dyDescent="0.3">
      <c r="A79" s="18"/>
      <c r="B79"/>
      <c r="C79"/>
      <c r="D79"/>
      <c r="E79"/>
      <c r="F79"/>
      <c r="G79"/>
      <c r="H79"/>
      <c r="I79" s="28"/>
      <c r="K79" s="28"/>
    </row>
    <row r="80" spans="1:11" s="16" customFormat="1" x14ac:dyDescent="0.3">
      <c r="A80" s="18"/>
      <c r="B80"/>
      <c r="C80"/>
      <c r="D80"/>
      <c r="E80"/>
      <c r="F80"/>
      <c r="G80"/>
      <c r="H80"/>
      <c r="I80" s="28"/>
      <c r="K80" s="28"/>
    </row>
    <row r="81" spans="1:11" s="16" customFormat="1" x14ac:dyDescent="0.3">
      <c r="A81" s="18"/>
      <c r="B81"/>
      <c r="C81"/>
      <c r="D81"/>
      <c r="E81"/>
      <c r="F81"/>
      <c r="G81"/>
      <c r="H81"/>
      <c r="I81" s="28"/>
      <c r="K81" s="28"/>
    </row>
    <row r="82" spans="1:11" s="16" customFormat="1" x14ac:dyDescent="0.3">
      <c r="A82" s="18"/>
      <c r="B82"/>
      <c r="C82"/>
      <c r="D82"/>
      <c r="E82"/>
      <c r="F82"/>
      <c r="G82"/>
      <c r="H82"/>
      <c r="I82" s="28"/>
      <c r="K82" s="28"/>
    </row>
    <row r="83" spans="1:11" s="16" customFormat="1" x14ac:dyDescent="0.3">
      <c r="A83" s="18"/>
      <c r="B83"/>
      <c r="C83"/>
      <c r="D83"/>
      <c r="E83"/>
      <c r="F83"/>
      <c r="G83"/>
      <c r="H83"/>
      <c r="I83" s="28"/>
      <c r="K83" s="28"/>
    </row>
    <row r="84" spans="1:11" s="16" customFormat="1" x14ac:dyDescent="0.3">
      <c r="A84" s="18"/>
      <c r="B84"/>
      <c r="C84"/>
      <c r="D84"/>
      <c r="E84"/>
      <c r="F84"/>
      <c r="G84"/>
      <c r="H84"/>
      <c r="I84" s="28"/>
      <c r="K84" s="28"/>
    </row>
    <row r="85" spans="1:11" s="16" customFormat="1" x14ac:dyDescent="0.3">
      <c r="A85" s="18"/>
      <c r="B85"/>
      <c r="C85"/>
      <c r="D85"/>
      <c r="E85"/>
      <c r="F85"/>
      <c r="G85"/>
      <c r="H85"/>
      <c r="I85" s="28"/>
      <c r="K85" s="28"/>
    </row>
    <row r="86" spans="1:11" s="16" customFormat="1" x14ac:dyDescent="0.3">
      <c r="A86" s="18"/>
      <c r="B86"/>
      <c r="C86"/>
      <c r="D86"/>
      <c r="E86"/>
      <c r="F86"/>
      <c r="G86"/>
      <c r="H86"/>
      <c r="I86" s="28"/>
      <c r="K86" s="28"/>
    </row>
    <row r="87" spans="1:11" s="16" customFormat="1" x14ac:dyDescent="0.3">
      <c r="A87" s="18"/>
      <c r="B87"/>
      <c r="C87"/>
      <c r="D87"/>
      <c r="E87"/>
      <c r="F87"/>
      <c r="G87"/>
      <c r="H87"/>
      <c r="I87" s="28"/>
      <c r="K87" s="28"/>
    </row>
    <row r="88" spans="1:11" s="16" customFormat="1" x14ac:dyDescent="0.3">
      <c r="A88" s="18"/>
      <c r="B88"/>
      <c r="C88"/>
      <c r="D88"/>
      <c r="E88"/>
      <c r="F88"/>
      <c r="G88"/>
      <c r="H88"/>
      <c r="I88" s="28"/>
      <c r="K88" s="28"/>
    </row>
    <row r="89" spans="1:11" s="16" customFormat="1" x14ac:dyDescent="0.3">
      <c r="A89" s="18"/>
      <c r="B89"/>
      <c r="C89"/>
      <c r="D89"/>
      <c r="E89"/>
      <c r="F89"/>
      <c r="G89"/>
      <c r="H89"/>
      <c r="I89" s="28"/>
      <c r="K89" s="28"/>
    </row>
    <row r="90" spans="1:11" s="16" customFormat="1" x14ac:dyDescent="0.3">
      <c r="A90" s="18"/>
      <c r="B90"/>
      <c r="C90"/>
      <c r="D90"/>
      <c r="E90"/>
      <c r="F90"/>
      <c r="G90"/>
      <c r="H90"/>
      <c r="I90" s="28"/>
      <c r="K90" s="28"/>
    </row>
    <row r="91" spans="1:11" s="16" customFormat="1" x14ac:dyDescent="0.3">
      <c r="A91" s="18"/>
      <c r="B91"/>
      <c r="C91"/>
      <c r="D91"/>
      <c r="E91"/>
      <c r="F91"/>
      <c r="G91"/>
      <c r="H91"/>
      <c r="I91" s="28"/>
      <c r="K91" s="28"/>
    </row>
    <row r="92" spans="1:11" s="16" customFormat="1" x14ac:dyDescent="0.3">
      <c r="A92" s="18"/>
      <c r="B92"/>
      <c r="C92"/>
      <c r="D92"/>
      <c r="E92"/>
      <c r="F92"/>
      <c r="G92"/>
      <c r="H92"/>
      <c r="I92" s="28"/>
      <c r="K92" s="28"/>
    </row>
    <row r="93" spans="1:11" s="16" customFormat="1" x14ac:dyDescent="0.3">
      <c r="A93" s="18"/>
      <c r="B93"/>
      <c r="C93"/>
      <c r="D93"/>
      <c r="E93"/>
      <c r="F93"/>
      <c r="G93"/>
      <c r="H93"/>
      <c r="I93" s="28"/>
      <c r="K93" s="28"/>
    </row>
    <row r="94" spans="1:11" s="16" customFormat="1" x14ac:dyDescent="0.3">
      <c r="A94" s="18"/>
      <c r="B94"/>
      <c r="C94"/>
      <c r="D94"/>
      <c r="E94"/>
      <c r="F94"/>
      <c r="G94"/>
      <c r="H94"/>
      <c r="I94" s="28"/>
      <c r="K94" s="28"/>
    </row>
    <row r="95" spans="1:11" s="16" customFormat="1" x14ac:dyDescent="0.3">
      <c r="A95" s="18"/>
      <c r="B95"/>
      <c r="C95"/>
      <c r="D95"/>
      <c r="E95"/>
      <c r="F95"/>
      <c r="G95"/>
      <c r="H95"/>
      <c r="I95" s="28"/>
      <c r="K95" s="28"/>
    </row>
    <row r="96" spans="1:11" s="16" customFormat="1" x14ac:dyDescent="0.3">
      <c r="A96" s="18"/>
      <c r="B96"/>
      <c r="C96"/>
      <c r="D96"/>
      <c r="E96"/>
      <c r="F96"/>
      <c r="G96"/>
      <c r="H96"/>
      <c r="I96" s="28"/>
      <c r="K96" s="28"/>
    </row>
    <row r="97" spans="1:11" s="16" customFormat="1" x14ac:dyDescent="0.3">
      <c r="A97" s="18"/>
      <c r="B97"/>
      <c r="C97"/>
      <c r="D97"/>
      <c r="E97"/>
      <c r="F97"/>
      <c r="G97"/>
      <c r="H97"/>
      <c r="I97" s="28"/>
      <c r="K97" s="28"/>
    </row>
    <row r="98" spans="1:11" s="16" customFormat="1" x14ac:dyDescent="0.3">
      <c r="A98" s="18"/>
      <c r="B98"/>
      <c r="C98"/>
      <c r="D98"/>
      <c r="E98"/>
      <c r="F98"/>
      <c r="G98"/>
      <c r="H98"/>
      <c r="I98" s="28"/>
      <c r="K98" s="28"/>
    </row>
    <row r="99" spans="1:11" s="16" customFormat="1" x14ac:dyDescent="0.3">
      <c r="A99" s="18"/>
      <c r="B99"/>
      <c r="C99"/>
      <c r="D99"/>
      <c r="E99"/>
      <c r="F99"/>
      <c r="G99"/>
      <c r="H99"/>
      <c r="I99" s="28"/>
      <c r="K99" s="28"/>
    </row>
    <row r="100" spans="1:11" s="16" customFormat="1" x14ac:dyDescent="0.3">
      <c r="A100" s="18"/>
      <c r="B100"/>
      <c r="C100"/>
      <c r="D100"/>
      <c r="E100"/>
      <c r="F100"/>
      <c r="G100"/>
      <c r="H100"/>
      <c r="I100" s="28"/>
      <c r="K100" s="28"/>
    </row>
    <row r="101" spans="1:11" s="16" customFormat="1" x14ac:dyDescent="0.3">
      <c r="A101" s="18"/>
      <c r="B101"/>
      <c r="C101"/>
      <c r="D101"/>
      <c r="E101"/>
      <c r="F101"/>
      <c r="G101"/>
      <c r="H101"/>
      <c r="I101" s="28"/>
      <c r="K101" s="28"/>
    </row>
    <row r="102" spans="1:11" s="16" customFormat="1" x14ac:dyDescent="0.3">
      <c r="A102" s="18"/>
      <c r="B102"/>
      <c r="C102"/>
      <c r="D102"/>
      <c r="E102"/>
      <c r="F102"/>
      <c r="G102"/>
      <c r="H102"/>
      <c r="I102" s="28"/>
      <c r="K102" s="28"/>
    </row>
    <row r="103" spans="1:11" s="16" customFormat="1" x14ac:dyDescent="0.3">
      <c r="A103" s="18"/>
      <c r="B103"/>
      <c r="C103"/>
      <c r="D103"/>
      <c r="E103"/>
      <c r="F103"/>
      <c r="G103"/>
      <c r="H103"/>
      <c r="I103" s="28"/>
      <c r="K103" s="28"/>
    </row>
    <row r="104" spans="1:11" s="16" customFormat="1" x14ac:dyDescent="0.3">
      <c r="A104" s="18"/>
      <c r="B104"/>
      <c r="C104"/>
      <c r="D104"/>
      <c r="E104"/>
      <c r="F104"/>
      <c r="G104"/>
      <c r="H104"/>
      <c r="I104" s="28"/>
      <c r="K104" s="28"/>
    </row>
    <row r="105" spans="1:11" s="16" customFormat="1" x14ac:dyDescent="0.3">
      <c r="A105" s="18"/>
      <c r="B105"/>
      <c r="C105"/>
      <c r="D105"/>
      <c r="E105"/>
      <c r="F105"/>
      <c r="G105"/>
      <c r="H105"/>
      <c r="I105" s="28"/>
      <c r="K105" s="28"/>
    </row>
    <row r="106" spans="1:11" s="16" customFormat="1" x14ac:dyDescent="0.3">
      <c r="A106" s="18"/>
      <c r="B106"/>
      <c r="C106"/>
      <c r="D106"/>
      <c r="E106"/>
      <c r="F106"/>
      <c r="G106"/>
      <c r="H106"/>
      <c r="I106" s="28"/>
      <c r="K106" s="28"/>
    </row>
    <row r="107" spans="1:11" s="16" customFormat="1" x14ac:dyDescent="0.3">
      <c r="A107" s="18"/>
      <c r="B107"/>
      <c r="C107"/>
      <c r="D107"/>
      <c r="E107"/>
      <c r="F107"/>
      <c r="G107"/>
      <c r="H107"/>
      <c r="I107" s="28"/>
      <c r="K107" s="28"/>
    </row>
    <row r="108" spans="1:11" s="16" customFormat="1" x14ac:dyDescent="0.3">
      <c r="A108" s="18"/>
      <c r="B108"/>
      <c r="C108"/>
      <c r="D108"/>
      <c r="E108"/>
      <c r="F108"/>
      <c r="G108"/>
      <c r="H108"/>
      <c r="I108" s="28"/>
      <c r="K108" s="28"/>
    </row>
    <row r="109" spans="1:11" s="16" customFormat="1" x14ac:dyDescent="0.3">
      <c r="A109" s="18"/>
      <c r="B109"/>
      <c r="C109"/>
      <c r="D109"/>
      <c r="E109"/>
      <c r="F109"/>
      <c r="G109"/>
      <c r="H109"/>
      <c r="I109" s="28"/>
      <c r="K109" s="28"/>
    </row>
    <row r="110" spans="1:11" s="16" customFormat="1" x14ac:dyDescent="0.3">
      <c r="A110" s="18"/>
      <c r="B110"/>
      <c r="C110"/>
      <c r="D110"/>
      <c r="E110"/>
      <c r="F110"/>
      <c r="G110"/>
      <c r="H110"/>
      <c r="I110" s="28"/>
      <c r="K110" s="28"/>
    </row>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682-3F30-4F2C-87E0-751F5AC701F0}">
  <sheetPr codeName="Planilha27">
    <tabColor theme="9" tint="0.59999389629810485"/>
  </sheetPr>
  <dimension ref="A1:Q110"/>
  <sheetViews>
    <sheetView showGridLines="0" workbookViewId="0">
      <selection activeCell="J9" sqref="J9"/>
    </sheetView>
  </sheetViews>
  <sheetFormatPr defaultColWidth="8.85546875" defaultRowHeight="18.75" x14ac:dyDescent="0.3"/>
  <cols>
    <col min="1" max="1" width="12.7109375" style="18" customWidth="1"/>
    <col min="2" max="2" width="26.28515625" customWidth="1"/>
    <col min="9" max="17" width="8.85546875" style="16"/>
  </cols>
  <sheetData>
    <row r="1" spans="1:17" x14ac:dyDescent="0.3">
      <c r="A1" s="17" t="s">
        <v>121</v>
      </c>
      <c r="I1" s="15"/>
      <c r="J1" s="15"/>
      <c r="K1" s="15"/>
      <c r="L1" s="15"/>
      <c r="M1" s="15"/>
      <c r="N1" s="15"/>
      <c r="O1" s="15"/>
      <c r="P1" s="15"/>
      <c r="Q1" s="15"/>
    </row>
    <row r="2" spans="1:17" x14ac:dyDescent="0.3">
      <c r="A2" s="18" t="s">
        <v>124</v>
      </c>
      <c r="I2" s="15"/>
      <c r="J2" s="15"/>
      <c r="K2" s="15"/>
      <c r="L2" s="15"/>
      <c r="M2" s="15"/>
      <c r="N2" s="15"/>
      <c r="O2" s="15"/>
      <c r="P2" s="15"/>
      <c r="Q2" s="15"/>
    </row>
    <row r="3" spans="1:17" x14ac:dyDescent="0.3">
      <c r="K3" s="28"/>
    </row>
    <row r="4" spans="1:17" ht="15.75" x14ac:dyDescent="0.25">
      <c r="A4" s="2" t="s">
        <v>15</v>
      </c>
      <c r="B4" s="2" t="s">
        <v>16</v>
      </c>
      <c r="K4" s="28"/>
    </row>
    <row r="5" spans="1:17" ht="15.75" x14ac:dyDescent="0.25">
      <c r="A5" s="24" t="s">
        <v>22</v>
      </c>
      <c r="B5" s="27" t="s">
        <v>123</v>
      </c>
      <c r="K5" s="28"/>
    </row>
    <row r="6" spans="1:17" ht="15.75" x14ac:dyDescent="0.25">
      <c r="A6" s="24"/>
      <c r="B6" s="27"/>
      <c r="K6" s="28"/>
    </row>
    <row r="7" spans="1:17" ht="15.75" x14ac:dyDescent="0.25">
      <c r="A7" s="24"/>
      <c r="B7" s="27"/>
      <c r="K7" s="28"/>
    </row>
    <row r="8" spans="1:17" x14ac:dyDescent="0.3">
      <c r="K8" s="28"/>
    </row>
    <row r="9" spans="1:17" x14ac:dyDescent="0.3">
      <c r="K9" s="28"/>
    </row>
    <row r="10" spans="1:17" x14ac:dyDescent="0.3">
      <c r="K10" s="28"/>
    </row>
    <row r="11" spans="1:17" x14ac:dyDescent="0.3">
      <c r="C11" s="1" t="s">
        <v>17</v>
      </c>
      <c r="D11" s="14" t="s">
        <v>22</v>
      </c>
      <c r="E11" s="13">
        <v>1</v>
      </c>
      <c r="F11" s="13">
        <v>2</v>
      </c>
      <c r="G11" s="13">
        <v>2</v>
      </c>
      <c r="I11" s="29" cm="1">
        <f t="array" ref="I11">_xlfn.LAMBDA(_xlpm.matrix, ROWS(_xlpm.matrix)*COLUMNS(_xlpm.matrix) )(E11:G15)</f>
        <v>15</v>
      </c>
      <c r="K11" s="28"/>
    </row>
    <row r="12" spans="1:17" x14ac:dyDescent="0.3">
      <c r="E12" s="13">
        <v>3</v>
      </c>
      <c r="F12" s="13">
        <v>4</v>
      </c>
      <c r="G12" s="13">
        <v>4</v>
      </c>
      <c r="I12" s="28"/>
      <c r="K12" s="28"/>
    </row>
    <row r="13" spans="1:17" x14ac:dyDescent="0.3">
      <c r="E13" s="13">
        <v>5</v>
      </c>
      <c r="F13" s="13">
        <v>6</v>
      </c>
      <c r="G13" s="13">
        <v>6</v>
      </c>
      <c r="I13" s="28"/>
      <c r="K13" s="28"/>
    </row>
    <row r="14" spans="1:17" x14ac:dyDescent="0.3">
      <c r="E14" s="13">
        <v>7</v>
      </c>
      <c r="F14" s="13">
        <v>8</v>
      </c>
      <c r="G14" s="13">
        <v>8</v>
      </c>
      <c r="I14" s="28"/>
      <c r="K14" s="28"/>
    </row>
    <row r="15" spans="1:17" x14ac:dyDescent="0.3">
      <c r="E15" s="13">
        <v>9</v>
      </c>
      <c r="F15" s="13">
        <v>10</v>
      </c>
      <c r="G15" s="13">
        <v>10</v>
      </c>
      <c r="I15" s="28"/>
      <c r="K15" s="28"/>
    </row>
    <row r="16" spans="1:17" x14ac:dyDescent="0.3">
      <c r="I16" s="28"/>
      <c r="K16" s="28"/>
    </row>
    <row r="17" spans="3:11" x14ac:dyDescent="0.3">
      <c r="I17" s="28"/>
      <c r="K17" s="28"/>
    </row>
    <row r="18" spans="3:11" x14ac:dyDescent="0.3">
      <c r="C18" s="1" t="s">
        <v>17</v>
      </c>
      <c r="D18" s="14" t="s">
        <v>22</v>
      </c>
      <c r="E18" s="13">
        <v>1</v>
      </c>
      <c r="F18" s="13">
        <v>2</v>
      </c>
      <c r="G18" s="13">
        <v>2</v>
      </c>
      <c r="I18" s="29" cm="1">
        <f t="array" ref="I18">NUMEL(E18:G19)</f>
        <v>6</v>
      </c>
      <c r="K18" s="28"/>
    </row>
    <row r="19" spans="3:11" x14ac:dyDescent="0.3">
      <c r="E19" s="13">
        <v>3</v>
      </c>
      <c r="F19" s="13">
        <v>4</v>
      </c>
      <c r="G19" s="13">
        <v>4</v>
      </c>
      <c r="I19" s="28"/>
      <c r="K19" s="28"/>
    </row>
    <row r="20" spans="3:11" x14ac:dyDescent="0.3">
      <c r="I20" s="28"/>
      <c r="K20" s="28"/>
    </row>
    <row r="21" spans="3:11" x14ac:dyDescent="0.3">
      <c r="I21" s="28"/>
      <c r="K21" s="28"/>
    </row>
    <row r="22" spans="3:11" x14ac:dyDescent="0.3">
      <c r="I22" s="28"/>
      <c r="K22" s="28"/>
    </row>
    <row r="23" spans="3:11" x14ac:dyDescent="0.3">
      <c r="I23" s="28"/>
      <c r="K23" s="28"/>
    </row>
    <row r="24" spans="3:11" x14ac:dyDescent="0.3">
      <c r="I24" s="28"/>
      <c r="K24" s="28"/>
    </row>
    <row r="25" spans="3:11" x14ac:dyDescent="0.3">
      <c r="I25" s="28"/>
      <c r="K25" s="28"/>
    </row>
    <row r="26" spans="3:11" x14ac:dyDescent="0.3">
      <c r="I26" s="28"/>
      <c r="K26" s="28"/>
    </row>
    <row r="27" spans="3:11" x14ac:dyDescent="0.3">
      <c r="I27" s="28"/>
      <c r="K27" s="28"/>
    </row>
    <row r="28" spans="3:11" x14ac:dyDescent="0.3">
      <c r="I28" s="28"/>
      <c r="K28" s="28"/>
    </row>
    <row r="29" spans="3:11" x14ac:dyDescent="0.3">
      <c r="I29" s="28"/>
      <c r="K29" s="28"/>
    </row>
    <row r="30" spans="3:11" x14ac:dyDescent="0.3">
      <c r="I30" s="28"/>
      <c r="K30" s="28"/>
    </row>
    <row r="31" spans="3:11" x14ac:dyDescent="0.3">
      <c r="I31" s="28"/>
      <c r="K31" s="28"/>
    </row>
    <row r="32" spans="3:11" x14ac:dyDescent="0.3">
      <c r="I32" s="28"/>
      <c r="K32" s="28"/>
    </row>
    <row r="33" spans="9:11" x14ac:dyDescent="0.3">
      <c r="I33" s="28"/>
      <c r="K33" s="28"/>
    </row>
    <row r="34" spans="9:11" x14ac:dyDescent="0.3">
      <c r="I34" s="28"/>
      <c r="K34" s="28"/>
    </row>
    <row r="35" spans="9:11" x14ac:dyDescent="0.3">
      <c r="I35" s="28"/>
      <c r="K35" s="28"/>
    </row>
    <row r="36" spans="9:11" x14ac:dyDescent="0.3">
      <c r="I36" s="28"/>
      <c r="K36" s="28"/>
    </row>
    <row r="37" spans="9:11" x14ac:dyDescent="0.3">
      <c r="I37" s="28"/>
      <c r="K37" s="28"/>
    </row>
    <row r="38" spans="9:11" x14ac:dyDescent="0.3">
      <c r="I38" s="28"/>
      <c r="K38" s="28"/>
    </row>
    <row r="39" spans="9:11" x14ac:dyDescent="0.3">
      <c r="I39" s="28"/>
      <c r="K39" s="28"/>
    </row>
    <row r="40" spans="9:11" x14ac:dyDescent="0.3">
      <c r="I40" s="28"/>
      <c r="K40" s="28"/>
    </row>
    <row r="41" spans="9:11" x14ac:dyDescent="0.3">
      <c r="I41" s="28"/>
      <c r="K41" s="28"/>
    </row>
    <row r="42" spans="9:11" x14ac:dyDescent="0.3">
      <c r="I42" s="28"/>
      <c r="K42" s="28"/>
    </row>
    <row r="43" spans="9:11" x14ac:dyDescent="0.3">
      <c r="I43" s="28"/>
      <c r="K43" s="28"/>
    </row>
    <row r="44" spans="9:11" x14ac:dyDescent="0.3">
      <c r="I44" s="28"/>
      <c r="K44" s="28"/>
    </row>
    <row r="45" spans="9:11" x14ac:dyDescent="0.3">
      <c r="I45" s="28"/>
      <c r="K45" s="28"/>
    </row>
    <row r="46" spans="9:11" x14ac:dyDescent="0.3">
      <c r="I46" s="28"/>
      <c r="K46" s="28"/>
    </row>
    <row r="47" spans="9:11" x14ac:dyDescent="0.3">
      <c r="I47" s="28"/>
      <c r="K47" s="28"/>
    </row>
    <row r="48" spans="9:11" x14ac:dyDescent="0.3">
      <c r="I48" s="28"/>
      <c r="K48" s="28"/>
    </row>
    <row r="49" spans="9:11" x14ac:dyDescent="0.3">
      <c r="I49" s="28"/>
      <c r="K49" s="28"/>
    </row>
    <row r="50" spans="9:11" x14ac:dyDescent="0.3">
      <c r="I50" s="28"/>
      <c r="K50" s="28"/>
    </row>
    <row r="51" spans="9:11" x14ac:dyDescent="0.3">
      <c r="I51" s="28"/>
      <c r="K51" s="28"/>
    </row>
    <row r="52" spans="9:11" x14ac:dyDescent="0.3">
      <c r="I52" s="28"/>
      <c r="K52" s="28"/>
    </row>
    <row r="53" spans="9:11" x14ac:dyDescent="0.3">
      <c r="I53" s="28"/>
      <c r="K53" s="28"/>
    </row>
    <row r="54" spans="9:11" x14ac:dyDescent="0.3">
      <c r="I54" s="28"/>
      <c r="K54" s="28"/>
    </row>
    <row r="55" spans="9:11" x14ac:dyDescent="0.3">
      <c r="I55" s="28"/>
      <c r="K55" s="28"/>
    </row>
    <row r="56" spans="9:11" x14ac:dyDescent="0.3">
      <c r="I56" s="28"/>
      <c r="K56" s="28"/>
    </row>
    <row r="57" spans="9:11" x14ac:dyDescent="0.3">
      <c r="I57" s="28"/>
      <c r="K57" s="28"/>
    </row>
    <row r="58" spans="9:11" x14ac:dyDescent="0.3">
      <c r="I58" s="28"/>
      <c r="K58" s="28"/>
    </row>
    <row r="59" spans="9:11" x14ac:dyDescent="0.3">
      <c r="I59" s="28"/>
      <c r="K59" s="28"/>
    </row>
    <row r="60" spans="9:11" x14ac:dyDescent="0.3">
      <c r="I60" s="28"/>
      <c r="K60" s="28"/>
    </row>
    <row r="61" spans="9:11" x14ac:dyDescent="0.3">
      <c r="I61" s="28"/>
      <c r="K61" s="28"/>
    </row>
    <row r="62" spans="9:11" x14ac:dyDescent="0.3">
      <c r="I62" s="28"/>
      <c r="K62" s="28"/>
    </row>
    <row r="63" spans="9:11" x14ac:dyDescent="0.3">
      <c r="I63" s="28"/>
      <c r="K63" s="28"/>
    </row>
    <row r="64" spans="9:11" x14ac:dyDescent="0.3">
      <c r="I64" s="28"/>
      <c r="K64" s="28"/>
    </row>
    <row r="65" spans="9:11" x14ac:dyDescent="0.3">
      <c r="I65" s="28"/>
      <c r="K65" s="28"/>
    </row>
    <row r="66" spans="9:11" x14ac:dyDescent="0.3">
      <c r="I66" s="28"/>
      <c r="K66" s="28"/>
    </row>
    <row r="67" spans="9:11" x14ac:dyDescent="0.3">
      <c r="I67" s="28"/>
      <c r="K67" s="28"/>
    </row>
    <row r="68" spans="9:11" x14ac:dyDescent="0.3">
      <c r="I68" s="28"/>
      <c r="K68" s="28"/>
    </row>
    <row r="69" spans="9:11" x14ac:dyDescent="0.3">
      <c r="I69" s="28"/>
      <c r="K69" s="28"/>
    </row>
    <row r="70" spans="9:11" x14ac:dyDescent="0.3">
      <c r="I70" s="28"/>
      <c r="K70" s="28"/>
    </row>
    <row r="71" spans="9:11" x14ac:dyDescent="0.3">
      <c r="I71" s="28"/>
      <c r="K71" s="28"/>
    </row>
    <row r="72" spans="9:11" x14ac:dyDescent="0.3">
      <c r="I72" s="28"/>
      <c r="K72" s="28"/>
    </row>
    <row r="73" spans="9:11" x14ac:dyDescent="0.3">
      <c r="I73" s="28"/>
      <c r="K73" s="28"/>
    </row>
    <row r="74" spans="9:11" x14ac:dyDescent="0.3">
      <c r="I74" s="28"/>
      <c r="K74" s="28"/>
    </row>
    <row r="75" spans="9:11" x14ac:dyDescent="0.3">
      <c r="I75" s="28"/>
      <c r="K75" s="28"/>
    </row>
    <row r="76" spans="9:11" x14ac:dyDescent="0.3">
      <c r="I76" s="28"/>
      <c r="K76" s="28"/>
    </row>
    <row r="77" spans="9:11" x14ac:dyDescent="0.3">
      <c r="I77" s="28"/>
      <c r="K77" s="28"/>
    </row>
    <row r="78" spans="9:11" x14ac:dyDescent="0.3">
      <c r="I78" s="28"/>
      <c r="K78" s="28"/>
    </row>
    <row r="79" spans="9:11" x14ac:dyDescent="0.3">
      <c r="I79" s="28"/>
      <c r="K79" s="28"/>
    </row>
    <row r="80" spans="9:11" x14ac:dyDescent="0.3">
      <c r="I80" s="28"/>
      <c r="K80" s="28"/>
    </row>
    <row r="81" spans="9:11" x14ac:dyDescent="0.3">
      <c r="I81" s="28"/>
      <c r="K81" s="28"/>
    </row>
    <row r="82" spans="9:11" x14ac:dyDescent="0.3">
      <c r="I82" s="28"/>
      <c r="K82" s="28"/>
    </row>
    <row r="83" spans="9:11" x14ac:dyDescent="0.3">
      <c r="I83" s="28"/>
      <c r="K83" s="28"/>
    </row>
    <row r="84" spans="9:11" x14ac:dyDescent="0.3">
      <c r="I84" s="28"/>
      <c r="K84" s="28"/>
    </row>
    <row r="85" spans="9:11" x14ac:dyDescent="0.3">
      <c r="I85" s="28"/>
      <c r="K85" s="28"/>
    </row>
    <row r="86" spans="9:11" x14ac:dyDescent="0.3">
      <c r="I86" s="28"/>
      <c r="K86" s="28"/>
    </row>
    <row r="87" spans="9:11" x14ac:dyDescent="0.3">
      <c r="I87" s="28"/>
      <c r="K87" s="28"/>
    </row>
    <row r="88" spans="9:11" x14ac:dyDescent="0.3">
      <c r="I88" s="28"/>
      <c r="K88" s="28"/>
    </row>
    <row r="89" spans="9:11" x14ac:dyDescent="0.3">
      <c r="I89" s="28"/>
      <c r="K89" s="28"/>
    </row>
    <row r="90" spans="9:11" x14ac:dyDescent="0.3">
      <c r="I90" s="28"/>
      <c r="K90" s="28"/>
    </row>
    <row r="91" spans="9:11" x14ac:dyDescent="0.3">
      <c r="I91" s="28"/>
      <c r="K91" s="28"/>
    </row>
    <row r="92" spans="9:11" x14ac:dyDescent="0.3">
      <c r="I92" s="28"/>
      <c r="K92" s="28"/>
    </row>
    <row r="93" spans="9:11" x14ac:dyDescent="0.3">
      <c r="I93" s="28"/>
      <c r="K93" s="28"/>
    </row>
    <row r="94" spans="9:11" x14ac:dyDescent="0.3">
      <c r="I94" s="28"/>
      <c r="K94" s="28"/>
    </row>
    <row r="95" spans="9:11" x14ac:dyDescent="0.3">
      <c r="I95" s="28"/>
      <c r="K95" s="28"/>
    </row>
    <row r="96" spans="9:11" x14ac:dyDescent="0.3">
      <c r="I96" s="28"/>
      <c r="K96" s="28"/>
    </row>
    <row r="97" spans="9:11" x14ac:dyDescent="0.3">
      <c r="I97" s="28"/>
      <c r="K97" s="28"/>
    </row>
    <row r="98" spans="9:11" x14ac:dyDescent="0.3">
      <c r="I98" s="28"/>
      <c r="K98" s="28"/>
    </row>
    <row r="99" spans="9:11" x14ac:dyDescent="0.3">
      <c r="I99" s="28"/>
      <c r="K99" s="28"/>
    </row>
    <row r="100" spans="9:11" x14ac:dyDescent="0.3">
      <c r="I100" s="28"/>
      <c r="K100" s="28"/>
    </row>
    <row r="101" spans="9:11" x14ac:dyDescent="0.3">
      <c r="I101" s="28"/>
      <c r="K101" s="28"/>
    </row>
    <row r="102" spans="9:11" x14ac:dyDescent="0.3">
      <c r="I102" s="28"/>
      <c r="K102" s="28"/>
    </row>
    <row r="103" spans="9:11" x14ac:dyDescent="0.3">
      <c r="I103" s="28"/>
      <c r="K103" s="28"/>
    </row>
    <row r="104" spans="9:11" x14ac:dyDescent="0.3">
      <c r="I104" s="28"/>
      <c r="K104" s="28"/>
    </row>
    <row r="105" spans="9:11" x14ac:dyDescent="0.3">
      <c r="I105" s="28"/>
      <c r="K105" s="28"/>
    </row>
    <row r="106" spans="9:11" x14ac:dyDescent="0.3">
      <c r="I106" s="28"/>
      <c r="K106" s="28"/>
    </row>
    <row r="107" spans="9:11" x14ac:dyDescent="0.3">
      <c r="I107" s="28"/>
      <c r="K107" s="28"/>
    </row>
    <row r="108" spans="9:11" x14ac:dyDescent="0.3">
      <c r="I108" s="28"/>
      <c r="K108" s="28"/>
    </row>
    <row r="109" spans="9:11" x14ac:dyDescent="0.3">
      <c r="I109" s="28"/>
      <c r="K109" s="28"/>
    </row>
    <row r="110" spans="9:11" x14ac:dyDescent="0.3">
      <c r="I110" s="28"/>
      <c r="K110" s="28"/>
    </row>
  </sheetData>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8714-B703-4C9F-AB5D-F70F66CA9810}">
  <sheetPr codeName="Planilha28">
    <tabColor theme="9" tint="0.59999389629810485"/>
  </sheetPr>
  <dimension ref="A1:Q24"/>
  <sheetViews>
    <sheetView showGridLines="0" workbookViewId="0">
      <selection activeCell="P11" sqref="P11"/>
    </sheetView>
  </sheetViews>
  <sheetFormatPr defaultColWidth="8.85546875" defaultRowHeight="18.75" x14ac:dyDescent="0.3"/>
  <cols>
    <col min="1" max="1" width="12.7109375" style="18" customWidth="1"/>
    <col min="2" max="2" width="36.42578125" customWidth="1"/>
    <col min="5" max="5" width="12.28515625" bestFit="1" customWidth="1"/>
    <col min="6" max="6" width="12.42578125" bestFit="1" customWidth="1"/>
    <col min="11" max="15" width="8.85546875" style="16"/>
    <col min="16" max="17" width="12.42578125" style="16" bestFit="1" customWidth="1"/>
    <col min="18" max="19" width="12.42578125" bestFit="1" customWidth="1"/>
  </cols>
  <sheetData>
    <row r="1" spans="1:17" x14ac:dyDescent="0.3">
      <c r="A1" s="17" t="s">
        <v>146</v>
      </c>
      <c r="K1" s="15"/>
      <c r="L1" s="15"/>
      <c r="M1" s="15"/>
      <c r="N1" s="15"/>
      <c r="O1" s="15"/>
      <c r="P1" s="15"/>
      <c r="Q1" s="15"/>
    </row>
    <row r="2" spans="1:17" x14ac:dyDescent="0.3">
      <c r="A2" s="18" t="s">
        <v>149</v>
      </c>
      <c r="K2" s="15"/>
      <c r="L2" s="15"/>
      <c r="M2" s="15"/>
      <c r="N2" s="15"/>
      <c r="O2" s="15"/>
      <c r="P2" s="15"/>
      <c r="Q2" s="15"/>
    </row>
    <row r="4" spans="1:17" ht="15.75" x14ac:dyDescent="0.25">
      <c r="A4" s="2" t="s">
        <v>15</v>
      </c>
      <c r="B4" s="2" t="s">
        <v>16</v>
      </c>
    </row>
    <row r="5" spans="1:17" ht="63" x14ac:dyDescent="0.25">
      <c r="A5" s="20" t="s">
        <v>22</v>
      </c>
      <c r="B5" s="27" t="s">
        <v>150</v>
      </c>
    </row>
    <row r="6" spans="1:17" ht="31.5" x14ac:dyDescent="0.25">
      <c r="A6" s="24" t="s">
        <v>147</v>
      </c>
      <c r="B6" s="25" t="s">
        <v>148</v>
      </c>
    </row>
    <row r="7" spans="1:17" x14ac:dyDescent="0.3">
      <c r="D7" s="1" t="s">
        <v>17</v>
      </c>
      <c r="E7" s="14" t="s">
        <v>22</v>
      </c>
      <c r="F7" s="13">
        <v>1</v>
      </c>
      <c r="G7" s="13">
        <v>2</v>
      </c>
      <c r="H7" s="13">
        <v>3</v>
      </c>
      <c r="K7" s="16" cm="1">
        <f t="array" ref="K7:M9">_xlfn.LAMBDA(_xlpm.matrix,_xlop.dim,
_xlfn.LET(_xlpm.dim,IF(_xlfn.ISOMITTED(_xlpm.dim),1,_xlpm.dim),
IF(_xlpm.dim = 1,
_xlfn._xlws.FILTER( _xlpm.matrix, _xlfn.BYROW(_xlpm.matrix,_xlfn.LAMBDA(_xlpm.row, SUM(1*ISERROR(_xlpm.row)) + SUM(1*ISBLANK(_xlpm.row)) ))=0 ),
_xlfn._xlws.FILTER( _xlpm.matrix, _xlfn.BYCOL(_xlpm.matrix,_xlfn.LAMBDA(_xlpm.col, SUM(1*ISERROR(_xlpm.col)) + SUM(1*ISBLANK(_xlpm.col)) ))=0 ) )
))($F$7:$H$12,$F$14)</f>
        <v>1</v>
      </c>
      <c r="L7" s="16">
        <v>2</v>
      </c>
      <c r="M7" s="16">
        <v>3</v>
      </c>
    </row>
    <row r="8" spans="1:17" x14ac:dyDescent="0.3">
      <c r="F8" s="13">
        <v>4</v>
      </c>
      <c r="G8" s="13" t="e">
        <f>NA()</f>
        <v>#N/A</v>
      </c>
      <c r="H8" s="13">
        <v>6</v>
      </c>
      <c r="K8" s="16">
        <v>7</v>
      </c>
      <c r="L8" s="16">
        <v>8</v>
      </c>
      <c r="M8" s="16">
        <v>9</v>
      </c>
    </row>
    <row r="9" spans="1:17" x14ac:dyDescent="0.3">
      <c r="F9" s="13">
        <v>7</v>
      </c>
      <c r="G9" s="13">
        <v>8</v>
      </c>
      <c r="H9" s="13">
        <v>9</v>
      </c>
      <c r="K9" s="16">
        <v>16</v>
      </c>
      <c r="L9" s="16">
        <v>17</v>
      </c>
      <c r="M9" s="16">
        <v>18</v>
      </c>
    </row>
    <row r="10" spans="1:17" ht="15" x14ac:dyDescent="0.25">
      <c r="A10"/>
      <c r="F10" s="13" t="e">
        <v>#VALUE!</v>
      </c>
      <c r="G10" s="13">
        <v>11</v>
      </c>
      <c r="H10" s="13">
        <v>12</v>
      </c>
    </row>
    <row r="11" spans="1:17" x14ac:dyDescent="0.3">
      <c r="F11" s="13">
        <v>13</v>
      </c>
      <c r="G11" s="13"/>
      <c r="H11" s="13">
        <v>15</v>
      </c>
    </row>
    <row r="12" spans="1:17" x14ac:dyDescent="0.3">
      <c r="F12" s="13">
        <v>16</v>
      </c>
      <c r="G12" s="13">
        <v>17</v>
      </c>
      <c r="H12" s="13">
        <v>18</v>
      </c>
    </row>
    <row r="14" spans="1:17" x14ac:dyDescent="0.3">
      <c r="E14" s="14" t="s">
        <v>147</v>
      </c>
      <c r="F14" s="13">
        <v>1</v>
      </c>
    </row>
    <row r="17" spans="4:11" x14ac:dyDescent="0.3">
      <c r="D17" s="1" t="s">
        <v>17</v>
      </c>
      <c r="E17" s="14" t="s">
        <v>22</v>
      </c>
      <c r="F17" s="13">
        <v>1</v>
      </c>
      <c r="G17" s="13">
        <v>2</v>
      </c>
      <c r="H17" s="13">
        <v>3</v>
      </c>
      <c r="K17" s="16" cm="1">
        <f t="array" ref="K17:K22">RMMISSING($F$17:$H$22,$F$24)</f>
        <v>3</v>
      </c>
    </row>
    <row r="18" spans="4:11" x14ac:dyDescent="0.3">
      <c r="F18" s="13">
        <v>4</v>
      </c>
      <c r="G18" s="13" t="e">
        <f>NA()</f>
        <v>#N/A</v>
      </c>
      <c r="H18" s="13">
        <v>6</v>
      </c>
      <c r="K18" s="16">
        <v>6</v>
      </c>
    </row>
    <row r="19" spans="4:11" x14ac:dyDescent="0.3">
      <c r="F19" s="13">
        <v>7</v>
      </c>
      <c r="G19" s="13">
        <v>8</v>
      </c>
      <c r="H19" s="13">
        <v>9</v>
      </c>
      <c r="K19" s="16">
        <v>9</v>
      </c>
    </row>
    <row r="20" spans="4:11" x14ac:dyDescent="0.3">
      <c r="F20" s="13" t="e">
        <v>#VALUE!</v>
      </c>
      <c r="G20" s="13">
        <v>11</v>
      </c>
      <c r="H20" s="13">
        <v>12</v>
      </c>
      <c r="K20" s="16">
        <v>12</v>
      </c>
    </row>
    <row r="21" spans="4:11" x14ac:dyDescent="0.3">
      <c r="F21" s="13">
        <v>13</v>
      </c>
      <c r="G21" s="13"/>
      <c r="H21" s="13">
        <v>15</v>
      </c>
      <c r="K21" s="16">
        <v>15</v>
      </c>
    </row>
    <row r="22" spans="4:11" x14ac:dyDescent="0.3">
      <c r="F22" s="13">
        <v>16</v>
      </c>
      <c r="G22" s="13">
        <v>17</v>
      </c>
      <c r="H22" s="13">
        <v>18</v>
      </c>
      <c r="K22" s="16">
        <v>18</v>
      </c>
    </row>
    <row r="24" spans="4:11" x14ac:dyDescent="0.3">
      <c r="E24" s="14" t="s">
        <v>147</v>
      </c>
      <c r="F24" s="13">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30</vt:i4>
      </vt:variant>
    </vt:vector>
  </HeadingPairs>
  <TitlesOfParts>
    <vt:vector size="30" baseType="lpstr">
      <vt:lpstr>Function List</vt:lpstr>
      <vt:lpstr>General</vt:lpstr>
      <vt:lpstr>OLS Functions</vt:lpstr>
      <vt:lpstr>HPFILTER</vt:lpstr>
      <vt:lpstr>DETREND</vt:lpstr>
      <vt:lpstr>SEASADJ</vt:lpstr>
      <vt:lpstr>DUMMYVAR</vt:lpstr>
      <vt:lpstr>ADDCONST</vt:lpstr>
      <vt:lpstr>ADDTREND</vt:lpstr>
      <vt:lpstr>EYE</vt:lpstr>
      <vt:lpstr>ZEROS</vt:lpstr>
      <vt:lpstr>ONES</vt:lpstr>
      <vt:lpstr>DIAG</vt:lpstr>
      <vt:lpstr>TRIL</vt:lpstr>
      <vt:lpstr>TRIU</vt:lpstr>
      <vt:lpstr>VEC</vt:lpstr>
      <vt:lpstr>RESHAPE</vt:lpstr>
      <vt:lpstr>FLIPLR</vt:lpstr>
      <vt:lpstr>FLIPUD</vt:lpstr>
      <vt:lpstr>REPMAT</vt:lpstr>
      <vt:lpstr>NOZERO (FIND)</vt:lpstr>
      <vt:lpstr>BLKDIAG</vt:lpstr>
      <vt:lpstr>ALL</vt:lpstr>
      <vt:lpstr>ANY</vt:lpstr>
      <vt:lpstr>NNZ</vt:lpstr>
      <vt:lpstr>LINSPACE</vt:lpstr>
      <vt:lpstr>LENGTH</vt:lpstr>
      <vt:lpstr>SIZE</vt:lpstr>
      <vt:lpstr>NUMEL</vt:lpstr>
      <vt:lpstr>RMMISSING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2022-02-28T15:33:27Z</dcterms:created>
  <dcterms:modified xsi:type="dcterms:W3CDTF">2022-05-03T01:17:05Z</dcterms:modified>
</cp:coreProperties>
</file>