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10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9.xml.rels" ContentType="application/vnd.openxmlformats-package.relationships+xml"/>
  <Override PartName="/xl/drawings/_rels/drawing3.xml.rels" ContentType="application/vnd.openxmlformats-package.relationship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10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nu" sheetId="1" state="visible" r:id="rId2"/>
    <sheet name="R.T - Fluxo de Caixa" sheetId="2" state="visible" r:id="rId3"/>
    <sheet name="Vendas 12 M." sheetId="3" state="visible" r:id="rId4"/>
    <sheet name="Consolidado" sheetId="4" state="visible" r:id="rId5"/>
    <sheet name="Dashboard Financeiro" sheetId="5" state="visible" r:id="rId6"/>
    <sheet name="Dashboard Custos" sheetId="6" state="visible" r:id="rId7"/>
    <sheet name="Dashboard Final" sheetId="7" state="visible" r:id="rId8"/>
    <sheet name="Orçado x Realizado" sheetId="8" state="visible" r:id="rId9"/>
    <sheet name="Res. x Pessoa" sheetId="9" state="visible" r:id="rId10"/>
    <sheet name="Parametros" sheetId="10" state="visible" r:id="rId11"/>
    <sheet name="DASH2" sheetId="11" state="visible" r:id="rId12"/>
    <sheet name="Custos" sheetId="12" state="visible" r:id="rId13"/>
    <sheet name="(Ano Anterior)" sheetId="13" state="visible" r:id="rId14"/>
  </sheets>
  <definedNames>
    <definedName function="false" hidden="false" name="fff" vbProcedure="false">#REF!,#REF!,#REF!,#REF!</definedName>
    <definedName function="false" hidden="false" name="geral" vbProcedure="false">#REF!</definedName>
    <definedName function="false" hidden="false" name="mar" vbProcedure="false">#REF!</definedName>
    <definedName function="false" hidden="false" name="meses" vbProcedure="false">#REF!</definedName>
    <definedName function="false" hidden="false" name="nf" vbProcedure="false">#REF!,#REF!,#REF!,#REF!</definedName>
    <definedName function="false" hidden="false" name="notas" vbProcedure="false">#REF!,#REF!,#REF!,#REF!,#REF!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<sst xmlns="http://schemas.openxmlformats.org/spreadsheetml/2006/main" count="558" uniqueCount="226">
  <si>
    <t xml:space="preserve">MENU</t>
  </si>
  <si>
    <t xml:space="preserve">ANO BASE:</t>
  </si>
  <si>
    <t xml:space="preserve">Fluxo de Caixa</t>
  </si>
  <si>
    <t xml:space="preserve">Consolidado</t>
  </si>
  <si>
    <t xml:space="preserve">Orçamento</t>
  </si>
  <si>
    <t xml:space="preserve">Dashboard</t>
  </si>
  <si>
    <t xml:space="preserve">Parâmetros</t>
  </si>
  <si>
    <t xml:space="preserve">Cod</t>
  </si>
  <si>
    <t xml:space="preserve">Conta</t>
  </si>
  <si>
    <t xml:space="preserve">Orçado</t>
  </si>
  <si>
    <t xml:space="preserve">Realizado</t>
  </si>
  <si>
    <t xml:space="preserve">%</t>
  </si>
  <si>
    <t xml:space="preserve">.....</t>
  </si>
  <si>
    <t xml:space="preserve">2.0</t>
  </si>
  <si>
    <t xml:space="preserve">Depósitos</t>
  </si>
  <si>
    <t xml:space="preserve">Cheques</t>
  </si>
  <si>
    <t xml:space="preserve">Cartões Crédito</t>
  </si>
  <si>
    <t xml:space="preserve">Cartões Débito</t>
  </si>
  <si>
    <t xml:space="preserve">OR</t>
  </si>
  <si>
    <t xml:space="preserve">Ganhos Financeiros</t>
  </si>
  <si>
    <t xml:space="preserve">Dinheiro</t>
  </si>
  <si>
    <t xml:space="preserve">Outras Entradas / Outras saidas / Cheques devolvidos</t>
  </si>
  <si>
    <t xml:space="preserve">..........</t>
  </si>
  <si>
    <t xml:space="preserve">3.0</t>
  </si>
  <si>
    <t xml:space="preserve">CV</t>
  </si>
  <si>
    <t xml:space="preserve">CP</t>
  </si>
  <si>
    <t xml:space="preserve">CI</t>
  </si>
  <si>
    <t xml:space="preserve">CFP</t>
  </si>
  <si>
    <t xml:space="preserve">CF</t>
  </si>
  <si>
    <t xml:space="preserve">MEO</t>
  </si>
  <si>
    <t xml:space="preserve">Amortização FCO</t>
  </si>
  <si>
    <t xml:space="preserve">Aquisição de Móveis e Utensílios / Equipamentos</t>
  </si>
  <si>
    <t xml:space="preserve">Amortização Empréstimo Capital de Giro</t>
  </si>
  <si>
    <t xml:space="preserve">Amortização Máquinas e Equipamentos</t>
  </si>
  <si>
    <t xml:space="preserve">Amortização / Aquisição de Imóveis</t>
  </si>
  <si>
    <t xml:space="preserve">Leasing de Veículos</t>
  </si>
  <si>
    <t xml:space="preserve">Pagamento de Empréstimos (principal)</t>
  </si>
  <si>
    <t xml:space="preserve">Distribuição Lucros</t>
  </si>
  <si>
    <t xml:space="preserve">Consórcios / Título Capitalização / Aplicações financeiras</t>
  </si>
  <si>
    <t xml:space="preserve">Investimentos (Outras empresas do Grupo)</t>
  </si>
  <si>
    <t xml:space="preserve">Investimentos (Loja João Pessoa)</t>
  </si>
  <si>
    <t xml:space="preserve">COOPERMAG</t>
  </si>
  <si>
    <t xml:space="preserve">......</t>
  </si>
  <si>
    <t xml:space="preserve">Aplicacao Unicred</t>
  </si>
  <si>
    <t xml:space="preserve">Emprest Eufrauzio</t>
  </si>
  <si>
    <t xml:space="preserve">SALDO FINAL - LANÇADO (BANCOS + CAIXA + APLICAÇÃO)</t>
  </si>
  <si>
    <t xml:space="preserve">.</t>
  </si>
  <si>
    <t xml:space="preserve">% CUSTOS</t>
  </si>
  <si>
    <t xml:space="preserve">COMPARATIVO CUSTOS</t>
  </si>
  <si>
    <t xml:space="preserve">Média 2021</t>
  </si>
  <si>
    <t xml:space="preserve">MÉDIA 1° SEM</t>
  </si>
  <si>
    <t xml:space="preserve">MÉDIA 2° SEM</t>
  </si>
  <si>
    <t xml:space="preserve">% Custos</t>
  </si>
  <si>
    <t xml:space="preserve">REALIZADO</t>
  </si>
  <si>
    <t xml:space="preserve">IDEAL</t>
  </si>
  <si>
    <t xml:space="preserve">Custos com Produtos ------------------------------------------------</t>
  </si>
  <si>
    <t xml:space="preserve">Custos com Produtos</t>
  </si>
  <si>
    <t xml:space="preserve">Custos com Impostos ------------------------------------------------</t>
  </si>
  <si>
    <t xml:space="preserve">Custos com Impostos</t>
  </si>
  <si>
    <t xml:space="preserve">Custos com Vendas --------------------------------------------------</t>
  </si>
  <si>
    <t xml:space="preserve">Custos com Vendas</t>
  </si>
  <si>
    <t xml:space="preserve">Custos com Pessoas --------------------------------------------------</t>
  </si>
  <si>
    <t xml:space="preserve">Custos com Pessoas</t>
  </si>
  <si>
    <t xml:space="preserve">Custos Administrativos + Diretoria ------------------------------</t>
  </si>
  <si>
    <t xml:space="preserve">Custos Adm. + Diretoria</t>
  </si>
  <si>
    <t xml:space="preserve">Investimentos ---------------------------------------------------------</t>
  </si>
  <si>
    <t xml:space="preserve">Investimentos</t>
  </si>
  <si>
    <t xml:space="preserve">TOTAL</t>
  </si>
  <si>
    <t xml:space="preserve">Total</t>
  </si>
  <si>
    <t xml:space="preserve"> </t>
  </si>
  <si>
    <t xml:space="preserve">APURAÇÃO DE RESULTADOS</t>
  </si>
  <si>
    <t xml:space="preserve">MÉDIA I SEM.</t>
  </si>
  <si>
    <t xml:space="preserve">MÉDIA %</t>
  </si>
  <si>
    <t xml:space="preserve">MÉDIA II SEM.</t>
  </si>
  <si>
    <t xml:space="preserve">MÉDIA 19</t>
  </si>
  <si>
    <t xml:space="preserve">DIF. %</t>
  </si>
  <si>
    <t xml:space="preserve">Receitas Totais</t>
  </si>
  <si>
    <t xml:space="preserve">Vendas (Dinheiro + Cartão + Cheque)</t>
  </si>
  <si>
    <t xml:space="preserve">Outras Receitas</t>
  </si>
  <si>
    <t xml:space="preserve">Custos Variáveis</t>
  </si>
  <si>
    <t xml:space="preserve">P.P</t>
  </si>
  <si>
    <t xml:space="preserve">CPV (Custo Produto Vendido)</t>
  </si>
  <si>
    <t xml:space="preserve">CMA (Matéria Prima + Embalagem)</t>
  </si>
  <si>
    <t xml:space="preserve">CMA (MP + Embalagem)</t>
  </si>
  <si>
    <t xml:space="preserve">CMV (Revenda)</t>
  </si>
  <si>
    <t xml:space="preserve">Demais Custos Variáveis</t>
  </si>
  <si>
    <t xml:space="preserve">Margem de Contribuição</t>
  </si>
  <si>
    <t xml:space="preserve">Custos Fixos</t>
  </si>
  <si>
    <t xml:space="preserve">Pessoas</t>
  </si>
  <si>
    <t xml:space="preserve">Demais Custos Fixos</t>
  </si>
  <si>
    <t xml:space="preserve">Lucro Operacional</t>
  </si>
  <si>
    <t xml:space="preserve">x</t>
  </si>
  <si>
    <t xml:space="preserve">Lucro Líquido</t>
  </si>
  <si>
    <t xml:space="preserve">GESTÃO FINANCEIRA</t>
  </si>
  <si>
    <t xml:space="preserve">Saldo Inicial (Banco + Caixa)</t>
  </si>
  <si>
    <t xml:space="preserve">Saldo Final (Banco + Caixa)</t>
  </si>
  <si>
    <t xml:space="preserve">PONTO DE EQUILÍBRIO</t>
  </si>
  <si>
    <t xml:space="preserve">TM</t>
  </si>
  <si>
    <t xml:space="preserve">Ponto de Equilíbrio Operacional</t>
  </si>
  <si>
    <t xml:space="preserve">Ponto de Equilíbrio Financeiro</t>
  </si>
  <si>
    <t xml:space="preserve">1)</t>
  </si>
  <si>
    <t xml:space="preserve">No mês de </t>
  </si>
  <si>
    <t xml:space="preserve">2)</t>
  </si>
  <si>
    <t xml:space="preserve">Outubro,</t>
  </si>
  <si>
    <t xml:space="preserve">3)</t>
  </si>
  <si>
    <t xml:space="preserve"> a empresa teve uma Receita Total de R$ </t>
  </si>
  <si>
    <t xml:space="preserve">4)</t>
  </si>
  <si>
    <t xml:space="preserve">5)</t>
  </si>
  <si>
    <t xml:space="preserve"> Já os custos variáveis somaram </t>
  </si>
  <si>
    <t xml:space="preserve">6)</t>
  </si>
  <si>
    <t xml:space="preserve">7)</t>
  </si>
  <si>
    <t xml:space="preserve"> das receitas gerando assim uma *Margem de Contribuição de </t>
  </si>
  <si>
    <t xml:space="preserve">8)</t>
  </si>
  <si>
    <t xml:space="preserve">9)</t>
  </si>
  <si>
    <t xml:space="preserve">. Os custos fixos no período somaram </t>
  </si>
  <si>
    <t xml:space="preserve">10)</t>
  </si>
  <si>
    <t xml:space="preserve">11)</t>
  </si>
  <si>
    <t xml:space="preserve"> o que gerou um Lucro Operacional de </t>
  </si>
  <si>
    <t xml:space="preserve">12)</t>
  </si>
  <si>
    <t xml:space="preserve">13)</t>
  </si>
  <si>
    <t xml:space="preserve">. O Movimento extra operacional (Investimentos) totalizou </t>
  </si>
  <si>
    <t xml:space="preserve">14)</t>
  </si>
  <si>
    <t xml:space="preserve">15)</t>
  </si>
  <si>
    <t xml:space="preserve"> gerando assim um </t>
  </si>
  <si>
    <t xml:space="preserve">16)</t>
  </si>
  <si>
    <t xml:space="preserve">17)</t>
  </si>
  <si>
    <t xml:space="preserve">18)</t>
  </si>
  <si>
    <t xml:space="preserve">. Importante ressaltar que esse nível de Lucro Operacional apresentado é considerado </t>
  </si>
  <si>
    <t xml:space="preserve">19)</t>
  </si>
  <si>
    <t xml:space="preserve">20)</t>
  </si>
  <si>
    <t xml:space="preserve">. Já o Lucro Líquido apresentado é considerado </t>
  </si>
  <si>
    <t xml:space="preserve">21)</t>
  </si>
  <si>
    <t xml:space="preserve">22)</t>
  </si>
  <si>
    <t xml:space="preserve"> para o segmento. Isso em função do</t>
  </si>
  <si>
    <t xml:space="preserve">Ponto de Equilíbrio</t>
  </si>
  <si>
    <t xml:space="preserve">Dashboard Financeiro</t>
  </si>
  <si>
    <t xml:space="preserve">Disponíveis (Saldo)</t>
  </si>
  <si>
    <t xml:space="preserve">Receita Total</t>
  </si>
  <si>
    <t xml:space="preserve">Custo Variável</t>
  </si>
  <si>
    <t xml:space="preserve">Custo Fixo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</si>
  <si>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</si>
  <si>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</si>
  <si>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</si>
  <si>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</si>
  <si>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</si>
  <si>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</si>
  <si>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</si>
  <si>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</si>
  <si>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</si>
  <si>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</si>
  <si>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</si>
  <si>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</si>
  <si>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Disponíveis</t>
  </si>
  <si>
    <t xml:space="preserve">Vendas</t>
  </si>
  <si>
    <t xml:space="preserve">MEO (Investimentos)</t>
  </si>
  <si>
    <t xml:space="preserve">Ponto de Equilíbrio (Operacional)</t>
  </si>
  <si>
    <t xml:space="preserve">Ponto de Equilíbrio (Financeiro)</t>
  </si>
  <si>
    <t xml:space="preserve">Fórmula</t>
  </si>
  <si>
    <t xml:space="preserve">Revenda</t>
  </si>
  <si>
    <t xml:space="preserve">Dashboard Custos</t>
  </si>
  <si>
    <t xml:space="preserve">Receitas</t>
  </si>
  <si>
    <t xml:space="preserve">Dashboard Conclusão</t>
  </si>
  <si>
    <t xml:space="preserve">Ano 1</t>
  </si>
  <si>
    <t xml:space="preserve">janeiro </t>
  </si>
  <si>
    <t xml:space="preserve">CCL</t>
  </si>
  <si>
    <t xml:space="preserve">fevereiro </t>
  </si>
  <si>
    <t xml:space="preserve">março </t>
  </si>
  <si>
    <t xml:space="preserve">Média Venda</t>
  </si>
  <si>
    <t xml:space="preserve">abril </t>
  </si>
  <si>
    <t xml:space="preserve">maio </t>
  </si>
  <si>
    <t xml:space="preserve">Ano 2</t>
  </si>
  <si>
    <t xml:space="preserve">junho </t>
  </si>
  <si>
    <t xml:space="preserve">Ano 3</t>
  </si>
  <si>
    <t xml:space="preserve">julho </t>
  </si>
  <si>
    <t xml:space="preserve">Ano 4</t>
  </si>
  <si>
    <t xml:space="preserve">agosto </t>
  </si>
  <si>
    <t xml:space="preserve">Vendas Totais - 12 Meses</t>
  </si>
  <si>
    <t xml:space="preserve">setembro </t>
  </si>
  <si>
    <t xml:space="preserve">outubro </t>
  </si>
  <si>
    <t xml:space="preserve">novembro </t>
  </si>
  <si>
    <t xml:space="preserve">dezembro </t>
  </si>
  <si>
    <t xml:space="preserve">agosto</t>
  </si>
  <si>
    <t xml:space="preserve">ORÇADO</t>
  </si>
  <si>
    <t xml:space="preserve">MÉDIA. 17</t>
  </si>
  <si>
    <t xml:space="preserve">MÉDIA. 18</t>
  </si>
  <si>
    <t xml:space="preserve">MÉDIA. 19</t>
  </si>
  <si>
    <t xml:space="preserve">MÉDIA. 21</t>
  </si>
  <si>
    <t xml:space="preserve">21 x 22 %</t>
  </si>
  <si>
    <t xml:space="preserve">Quantidade de Colaboradores</t>
  </si>
  <si>
    <r>
      <rPr>
        <b val="true"/>
        <sz val="12"/>
        <color rgb="FFFFFFFF"/>
        <rFont val="Century Gothic"/>
        <family val="2"/>
        <charset val="1"/>
      </rPr>
      <t xml:space="preserve">Receitas Totais </t>
    </r>
    <r>
      <rPr>
        <b val="true"/>
        <sz val="12"/>
        <color rgb="FFFFFFFF"/>
        <rFont val="Calibri"/>
        <family val="2"/>
        <charset val="1"/>
      </rPr>
      <t xml:space="preserve">│</t>
    </r>
    <r>
      <rPr>
        <b val="true"/>
        <sz val="12"/>
        <color rgb="FFFFFFFF"/>
        <rFont val="Century Gothic"/>
        <family val="2"/>
        <charset val="1"/>
      </rPr>
      <t xml:space="preserve"> Colaborador</t>
    </r>
  </si>
  <si>
    <t xml:space="preserve">Custos Fixos │ Colaborador</t>
  </si>
  <si>
    <t xml:space="preserve">Pessoas │ Colaborador</t>
  </si>
  <si>
    <t xml:space="preserve">Demais Custos Fixos │ Colaborador</t>
  </si>
  <si>
    <t xml:space="preserve">Lucro Operacional │ Colaborador</t>
  </si>
  <si>
    <t xml:space="preserve">Lucro Líquido │ Colaborador</t>
  </si>
  <si>
    <t xml:space="preserve">PARÂMETROS</t>
  </si>
  <si>
    <t xml:space="preserve">Atualizado: 18/07/2019</t>
  </si>
  <si>
    <t xml:space="preserve">ITEM</t>
  </si>
  <si>
    <t xml:space="preserve">Baixo</t>
  </si>
  <si>
    <t xml:space="preserve">Médio</t>
  </si>
  <si>
    <t xml:space="preserve">Bom</t>
  </si>
  <si>
    <t xml:space="preserve">Ótimo</t>
  </si>
  <si>
    <t xml:space="preserve">Excelente</t>
  </si>
  <si>
    <t xml:space="preserve">Ponto de Eq. Oper.</t>
  </si>
  <si>
    <t xml:space="preserve">Ponto de Eq. Finan.</t>
  </si>
  <si>
    <t xml:space="preserve">Venda</t>
  </si>
  <si>
    <t xml:space="preserve">COVID</t>
  </si>
  <si>
    <t xml:space="preserve">PÓS COVID</t>
  </si>
  <si>
    <t xml:space="preserve">Custo Variavel Total</t>
  </si>
  <si>
    <t xml:space="preserve">Custo Variavel Div.</t>
  </si>
  <si>
    <t xml:space="preserve">CMA</t>
  </si>
  <si>
    <t xml:space="preserve">CMV</t>
  </si>
  <si>
    <t xml:space="preserve">Custo Fixo Total</t>
  </si>
  <si>
    <t xml:space="preserve">Custo Fixo Pessoas</t>
  </si>
  <si>
    <t xml:space="preserve">Custo Fixo Oper.</t>
  </si>
  <si>
    <t xml:space="preserve">LO</t>
  </si>
  <si>
    <t xml:space="preserve">LL</t>
  </si>
  <si>
    <t xml:space="preserve">Composição CF</t>
  </si>
  <si>
    <t xml:space="preserve">Pessoas: </t>
  </si>
  <si>
    <t xml:space="preserve">Operacional:</t>
  </si>
  <si>
    <t xml:space="preserve">CF X Pessoas</t>
  </si>
  <si>
    <t xml:space="preserve">MC</t>
  </si>
  <si>
    <t xml:space="preserve">LO X Pessoas</t>
  </si>
  <si>
    <t xml:space="preserve">Recebimento</t>
  </si>
  <si>
    <t xml:space="preserve">v</t>
  </si>
  <si>
    <t xml:space="preserve">r</t>
  </si>
</sst>
</file>

<file path=xl/styles.xml><?xml version="1.0" encoding="utf-8"?>
<styleSheet xmlns="http://schemas.openxmlformats.org/spreadsheetml/2006/main">
  <numFmts count="37">
    <numFmt numFmtId="164" formatCode="General"/>
    <numFmt numFmtId="165" formatCode="_-&quot;R$ &quot;* #,##0.00_-;&quot;-R$ &quot;* #,##0.00_-;_-&quot;R$ &quot;* \-??_-;_-@_-"/>
    <numFmt numFmtId="166" formatCode="_(&quot;R$ &quot;* #,##0.00_);_(&quot;R$ &quot;* \(#,##0.00\);_(&quot;R$ &quot;* \-??_);_(@_)"/>
    <numFmt numFmtId="167" formatCode="_-&quot;R$&quot;* #,##0.00_-;&quot;-R$&quot;* #,##0.00_-;_-&quot;R$&quot;* \-??_-;_-@_-"/>
    <numFmt numFmtId="168" formatCode="0%"/>
    <numFmt numFmtId="169" formatCode="_-[$R$-416]\ * #,##0.00_-;\-[$R$-416]\ * #,##0.00_-;_-[$R$-416]\ * \-??_-;_-@_-"/>
    <numFmt numFmtId="170" formatCode="_(\$* #,##0.00_);_(\$* \(#,##0.00\);_(\$* \-??_);_(@_)"/>
    <numFmt numFmtId="171" formatCode="0.00%"/>
    <numFmt numFmtId="172" formatCode="General"/>
    <numFmt numFmtId="173" formatCode="[$-416]d\-mmm;@"/>
    <numFmt numFmtId="174" formatCode="_-[$R$-416]\ * #,##0_-;\-[$R$-416]\ * #,##0_-;_-[$R$-416]\ * \-??_-;_-@_-"/>
    <numFmt numFmtId="175" formatCode="mmm/yy"/>
    <numFmt numFmtId="176" formatCode="_-&quot;R$&quot;* #,##0_-;&quot;-R$&quot;* #,##0_-;_-&quot;R$&quot;* \-??_-;_-@_-"/>
    <numFmt numFmtId="177" formatCode="[$-416]d;@"/>
    <numFmt numFmtId="178" formatCode="[$-416]mmm\-yy;@"/>
    <numFmt numFmtId="179" formatCode="0.0%"/>
    <numFmt numFmtId="180" formatCode="_(* #,##0.00_);_(* \(#,##0.00\);_(* \-??_);_(@_)"/>
    <numFmt numFmtId="181" formatCode="#,##0.00_);\(#,##0.00\)"/>
    <numFmt numFmtId="182" formatCode="0.00&quot; pp&quot;"/>
    <numFmt numFmtId="183" formatCode="#,##0"/>
    <numFmt numFmtId="184" formatCode="00&quot; Dias&quot;"/>
    <numFmt numFmtId="185" formatCode="00&quot; Itens&quot;"/>
    <numFmt numFmtId="186" formatCode="0&quot; Dias&quot;"/>
    <numFmt numFmtId="187" formatCode="&quot;R$ &quot;#,##0.00;[RED]&quot;-R$ &quot;#,##0.00"/>
    <numFmt numFmtId="188" formatCode="0"/>
    <numFmt numFmtId="189" formatCode="0.000"/>
    <numFmt numFmtId="190" formatCode="_-[$R$-416]* #,##0.00_-;\-[$R$-416]* #,##0.00_-;_-[$R$-416]* \-??_-;_-@_-"/>
    <numFmt numFmtId="191" formatCode="_(\$* #,##0_);_(\$* \(#,##0\);_(\$* \-??_);_(@_)"/>
    <numFmt numFmtId="192" formatCode="#,##0.00_ ;\-#,##0.00\ "/>
    <numFmt numFmtId="193" formatCode="_-[$R$-416]* #,##0_-;\-[$R$-416]* #,##0_-;_-[$R$-416]* \-??_-;_-@_-"/>
    <numFmt numFmtId="194" formatCode="&quot;P.P. &quot;0.00"/>
    <numFmt numFmtId="195" formatCode="0.00%&quot; Sob Receita&quot;"/>
    <numFmt numFmtId="196" formatCode="\∆%\ 0.00"/>
    <numFmt numFmtId="197" formatCode="&quot;%Venda &quot;0.00%"/>
    <numFmt numFmtId="198" formatCode="#,##0_ ;\-#,##0\ "/>
    <numFmt numFmtId="199" formatCode="&quot;R$&quot;#,##0;&quot;-R$&quot;#,##0"/>
    <numFmt numFmtId="200" formatCode="0.00"/>
  </numFmts>
  <fonts count="1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A6A6A6"/>
      <name val="Calibri"/>
      <family val="2"/>
      <charset val="1"/>
    </font>
    <font>
      <sz val="11"/>
      <color rgb="FF7C7C7C"/>
      <name val="Calibri"/>
      <family val="2"/>
      <charset val="1"/>
    </font>
    <font>
      <b val="true"/>
      <sz val="18"/>
      <color rgb="FFFFFFFF"/>
      <name val="Euphemia"/>
      <family val="2"/>
      <charset val="1"/>
    </font>
    <font>
      <sz val="18"/>
      <color rgb="FF44546A"/>
      <name val="Calibri Light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0"/>
      <color rgb="FF8497B0"/>
      <name val="Euphemia"/>
      <family val="2"/>
      <charset val="1"/>
    </font>
    <font>
      <sz val="11"/>
      <color rgb="FF000000"/>
      <name val="Century Gothic"/>
      <family val="2"/>
      <charset val="1"/>
    </font>
    <font>
      <b val="true"/>
      <sz val="14"/>
      <color rgb="FFFFFFFF"/>
      <name val="Century Gothic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u val="single"/>
      <sz val="10"/>
      <color rgb="FFFFFFFF"/>
      <name val="Century Gothic"/>
      <family val="2"/>
      <charset val="1"/>
    </font>
    <font>
      <b val="true"/>
      <sz val="10"/>
      <color rgb="FFFFFFFF"/>
      <name val="Century Gothic"/>
      <family val="2"/>
      <charset val="1"/>
    </font>
    <font>
      <sz val="10"/>
      <color rgb="FF000000"/>
      <name val="Century Gothic"/>
      <family val="2"/>
      <charset val="1"/>
    </font>
    <font>
      <sz val="10"/>
      <name val="Century Gothic"/>
      <family val="2"/>
      <charset val="1"/>
    </font>
    <font>
      <b val="true"/>
      <sz val="10"/>
      <color rgb="FF808080"/>
      <name val="Century Gothic"/>
      <family val="2"/>
      <charset val="1"/>
    </font>
    <font>
      <sz val="10"/>
      <color rgb="FF808080"/>
      <name val="Century Gothic"/>
      <family val="2"/>
      <charset val="1"/>
    </font>
    <font>
      <sz val="10"/>
      <color rgb="FFFFFFFF"/>
      <name val="Century Gothic"/>
      <family val="2"/>
      <charset val="1"/>
    </font>
    <font>
      <sz val="11"/>
      <color rgb="FF808080"/>
      <name val="Century Gothic"/>
      <family val="2"/>
      <charset val="1"/>
    </font>
    <font>
      <b val="true"/>
      <sz val="10"/>
      <name val="Century Gothic"/>
      <family val="2"/>
      <charset val="1"/>
    </font>
    <font>
      <sz val="11"/>
      <color rgb="FFFFFFFF"/>
      <name val="Century Gothic"/>
      <family val="2"/>
      <charset val="1"/>
    </font>
    <font>
      <b val="true"/>
      <sz val="13"/>
      <color rgb="FF808080"/>
      <name val="Century Gothic"/>
      <family val="2"/>
      <charset val="1"/>
    </font>
    <font>
      <b val="true"/>
      <sz val="11"/>
      <color rgb="FF808080"/>
      <name val="Century Gothic"/>
      <family val="2"/>
      <charset val="1"/>
    </font>
    <font>
      <b val="true"/>
      <sz val="11"/>
      <color rgb="FFFFFFFF"/>
      <name val="Century Gothic"/>
      <family val="2"/>
      <charset val="1"/>
    </font>
    <font>
      <sz val="8"/>
      <color rgb="FFBFBFBF"/>
      <name val="Century Gothic"/>
      <family val="2"/>
      <charset val="1"/>
    </font>
    <font>
      <sz val="12"/>
      <color rgb="FF595959"/>
      <name val="Century Gothic"/>
      <family val="2"/>
    </font>
    <font>
      <sz val="9"/>
      <color rgb="FF404040"/>
      <name val="Century Gothic"/>
      <family val="2"/>
    </font>
    <font>
      <sz val="9"/>
      <color rgb="FF595959"/>
      <name val="Century Gothic"/>
      <family val="2"/>
    </font>
    <font>
      <sz val="12"/>
      <name val="Times New Roman"/>
      <family val="0"/>
    </font>
    <font>
      <b val="true"/>
      <sz val="11"/>
      <color rgb="FFFFFFFF"/>
      <name val="Century Gothic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808080"/>
      <name val="Century Gothic"/>
      <family val="2"/>
    </font>
    <font>
      <b val="true"/>
      <sz val="8"/>
      <color rgb="FF808080"/>
      <name val="Century Gothic"/>
      <family val="2"/>
    </font>
    <font>
      <b val="true"/>
      <sz val="9"/>
      <color rgb="FF808080"/>
      <name val="Century Gothic"/>
      <family val="2"/>
    </font>
    <font>
      <sz val="10"/>
      <color rgb="FF000000"/>
      <name val="Calibri"/>
      <family val="2"/>
    </font>
    <font>
      <sz val="13"/>
      <color rgb="FF000000"/>
      <name val="Century Gothic"/>
      <family val="2"/>
      <charset val="1"/>
    </font>
    <font>
      <sz val="13"/>
      <color rgb="FFFFFFFF"/>
      <name val="Century Gothic"/>
      <family val="2"/>
      <charset val="1"/>
    </font>
    <font>
      <sz val="13"/>
      <color rgb="FF5B9BD5"/>
      <name val="Century Gothic"/>
      <family val="2"/>
      <charset val="1"/>
    </font>
    <font>
      <sz val="13"/>
      <color rgb="FFFF0000"/>
      <name val="Century Gothic"/>
      <family val="2"/>
      <charset val="1"/>
    </font>
    <font>
      <b val="true"/>
      <sz val="12"/>
      <color rgb="FF808080"/>
      <name val="Century Gothic"/>
      <family val="2"/>
      <charset val="1"/>
    </font>
    <font>
      <sz val="12"/>
      <color rgb="FF000000"/>
      <name val="Century Gothic"/>
      <family val="2"/>
      <charset val="1"/>
    </font>
    <font>
      <sz val="12"/>
      <color rgb="FF808080"/>
      <name val="Century Gothic"/>
      <family val="2"/>
      <charset val="1"/>
    </font>
    <font>
      <b val="true"/>
      <sz val="12"/>
      <color rgb="FFC55A11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b val="true"/>
      <sz val="13"/>
      <name val="Century Gothic"/>
      <family val="2"/>
      <charset val="1"/>
    </font>
    <font>
      <sz val="13"/>
      <name val="Century Gothic"/>
      <family val="2"/>
      <charset val="1"/>
    </font>
    <font>
      <sz val="13"/>
      <color rgb="FF808080"/>
      <name val="Century Gothic"/>
      <family val="2"/>
      <charset val="1"/>
    </font>
    <font>
      <b val="true"/>
      <sz val="13"/>
      <color rgb="FFFFFFFF"/>
      <name val="Century Gothic"/>
      <family val="2"/>
      <charset val="1"/>
    </font>
    <font>
      <sz val="14"/>
      <color rgb="FFFFFFFF"/>
      <name val="Calibri"/>
      <family val="2"/>
    </font>
    <font>
      <sz val="10"/>
      <name val="Arial"/>
      <family val="2"/>
    </font>
    <font>
      <b val="true"/>
      <sz val="12"/>
      <color rgb="FFFFFFFF"/>
      <name val="Century Gothic"/>
      <family val="0"/>
    </font>
    <font>
      <sz val="15"/>
      <name val="Century Gothic"/>
      <family val="2"/>
      <charset val="1"/>
    </font>
    <font>
      <sz val="12"/>
      <name val="Century Gothic"/>
      <family val="2"/>
      <charset val="1"/>
    </font>
    <font>
      <sz val="22"/>
      <color rgb="FFFFFFFF"/>
      <name val="Century Gothic"/>
      <family val="2"/>
      <charset val="1"/>
    </font>
    <font>
      <sz val="20"/>
      <color rgb="FFFFFFFF"/>
      <name val="Century Gothic"/>
      <family val="2"/>
      <charset val="1"/>
    </font>
    <font>
      <sz val="20"/>
      <name val="Century Gothic"/>
      <family val="2"/>
      <charset val="1"/>
    </font>
    <font>
      <sz val="20"/>
      <color rgb="FF5B9BD5"/>
      <name val="Century Gothic"/>
      <family val="2"/>
      <charset val="1"/>
    </font>
    <font>
      <sz val="11"/>
      <name val="Century Gothic"/>
      <family val="2"/>
      <charset val="1"/>
    </font>
    <font>
      <b val="true"/>
      <sz val="26"/>
      <color rgb="FFFFFFFF"/>
      <name val="Century Gothic"/>
      <family val="2"/>
      <charset val="1"/>
    </font>
    <font>
      <sz val="30"/>
      <name val="Century Gothic"/>
      <family val="2"/>
      <charset val="1"/>
    </font>
    <font>
      <b val="true"/>
      <sz val="26"/>
      <color rgb="FF5B9BD5"/>
      <name val="Century Gothic"/>
      <family val="2"/>
      <charset val="1"/>
    </font>
    <font>
      <b val="true"/>
      <sz val="30"/>
      <color rgb="FF5B9BD5"/>
      <name val="Century Gothic"/>
      <family val="2"/>
      <charset val="1"/>
    </font>
    <font>
      <sz val="18"/>
      <name val="Century Gothic"/>
      <family val="2"/>
      <charset val="1"/>
    </font>
    <font>
      <sz val="15"/>
      <color rgb="FF5B9BD5"/>
      <name val="Century Gothic"/>
      <family val="2"/>
      <charset val="1"/>
    </font>
    <font>
      <sz val="20"/>
      <color rgb="FF2F5597"/>
      <name val="Century Gothic"/>
      <family val="2"/>
      <charset val="1"/>
    </font>
    <font>
      <b val="true"/>
      <sz val="30"/>
      <color rgb="FF2F5597"/>
      <name val="Century Gothic"/>
      <family val="2"/>
      <charset val="1"/>
    </font>
    <font>
      <sz val="17"/>
      <name val="Century Gothic"/>
      <family val="2"/>
      <charset val="1"/>
    </font>
    <font>
      <b val="true"/>
      <sz val="17"/>
      <name val="Century Gothic"/>
      <family val="2"/>
      <charset val="1"/>
    </font>
    <font>
      <b val="true"/>
      <sz val="18"/>
      <color rgb="FFC00000"/>
      <name val="Century Gothic"/>
      <family val="2"/>
      <charset val="1"/>
    </font>
    <font>
      <b val="true"/>
      <sz val="17"/>
      <color rgb="FF2F5597"/>
      <name val="Century Gothic"/>
      <family val="2"/>
      <charset val="1"/>
    </font>
    <font>
      <b val="true"/>
      <sz val="17"/>
      <color rgb="FF5B9BD5"/>
      <name val="Century Gothic"/>
      <family val="2"/>
      <charset val="1"/>
    </font>
    <font>
      <sz val="15"/>
      <color rgb="FFF2F2F2"/>
      <name val="Century Gothic"/>
      <family val="2"/>
      <charset val="1"/>
    </font>
    <font>
      <b val="true"/>
      <sz val="30"/>
      <color rgb="FFFFFFFF"/>
      <name val="Century Gothic"/>
      <family val="2"/>
      <charset val="1"/>
    </font>
    <font>
      <sz val="15"/>
      <color rgb="FFFFFFFF"/>
      <name val="Century Gothic"/>
      <family val="2"/>
      <charset val="1"/>
    </font>
    <font>
      <sz val="12"/>
      <color rgb="FFFFFFFF"/>
      <name val="Century Gothic"/>
      <family val="2"/>
      <charset val="1"/>
    </font>
    <font>
      <b val="true"/>
      <sz val="18"/>
      <color rgb="FF5B9BD5"/>
      <name val="Century Gothic"/>
      <family val="2"/>
      <charset val="1"/>
    </font>
    <font>
      <b val="true"/>
      <sz val="18"/>
      <color rgb="FF2E75B6"/>
      <name val="Century Gothic"/>
      <family val="2"/>
      <charset val="1"/>
    </font>
    <font>
      <b val="true"/>
      <sz val="18"/>
      <color rgb="FF00B050"/>
      <name val="Century Gothic"/>
      <family val="2"/>
      <charset val="1"/>
    </font>
    <font>
      <b val="true"/>
      <sz val="20"/>
      <color rgb="FF5B9BD5"/>
      <name val="Calibri"/>
      <family val="2"/>
    </font>
    <font>
      <b val="true"/>
      <sz val="20"/>
      <color rgb="FFED7D31"/>
      <name val="Calibri"/>
      <family val="2"/>
    </font>
    <font>
      <b val="true"/>
      <sz val="18"/>
      <color rgb="FF595959"/>
      <name val="Calibri"/>
      <family val="2"/>
    </font>
    <font>
      <sz val="22"/>
      <color rgb="FFF2F2F2"/>
      <name val="Century Gothic"/>
      <family val="2"/>
      <charset val="1"/>
    </font>
    <font>
      <sz val="15"/>
      <color rgb="FF767171"/>
      <name val="Century Gothic"/>
      <family val="2"/>
      <charset val="1"/>
    </font>
    <font>
      <sz val="15"/>
      <color rgb="FF808080"/>
      <name val="Century Gothic"/>
      <family val="2"/>
      <charset val="1"/>
    </font>
    <font>
      <b val="true"/>
      <sz val="20"/>
      <color rgb="FFFFFFFF"/>
      <name val="Century Gothic"/>
      <family val="2"/>
      <charset val="1"/>
    </font>
    <font>
      <b val="true"/>
      <sz val="15"/>
      <color rgb="FFFFFFFF"/>
      <name val="Century Gothic"/>
      <family val="2"/>
      <charset val="1"/>
    </font>
    <font>
      <sz val="16"/>
      <name val="Century Gothic"/>
      <family val="2"/>
      <charset val="1"/>
    </font>
    <font>
      <sz val="16"/>
      <color rgb="FFFFFFFF"/>
      <name val="Century Gothic"/>
      <family val="2"/>
      <charset val="1"/>
    </font>
    <font>
      <sz val="16"/>
      <color rgb="FFF2F2F2"/>
      <name val="Century Gothic"/>
      <family val="2"/>
      <charset val="1"/>
    </font>
    <font>
      <b val="true"/>
      <sz val="20"/>
      <color rgb="FF808080"/>
      <name val="Century Gothic"/>
      <family val="2"/>
      <charset val="1"/>
    </font>
    <font>
      <b val="true"/>
      <sz val="14"/>
      <color rgb="FF4472C4"/>
      <name val="Calibri"/>
      <family val="2"/>
    </font>
    <font>
      <b val="true"/>
      <sz val="16"/>
      <color rgb="FF4472C4"/>
      <name val="Calibri"/>
      <family val="2"/>
    </font>
    <font>
      <sz val="11"/>
      <color rgb="FF808080"/>
      <name val="Calibri"/>
      <family val="2"/>
      <charset val="1"/>
    </font>
    <font>
      <sz val="14"/>
      <color rgb="FF595959"/>
      <name val="Century Gothic"/>
      <family val="2"/>
    </font>
    <font>
      <sz val="12"/>
      <color rgb="FF808080"/>
      <name val="Century Gothic"/>
      <family val="2"/>
    </font>
    <font>
      <sz val="8"/>
      <color rgb="FF595959"/>
      <name val="Century Gothic"/>
      <family val="2"/>
    </font>
    <font>
      <sz val="7"/>
      <color rgb="FF595959"/>
      <name val="Century Gothic"/>
      <family val="2"/>
    </font>
    <font>
      <b val="true"/>
      <sz val="8"/>
      <color rgb="FF595959"/>
      <name val="Century Gothic"/>
      <family val="2"/>
    </font>
    <font>
      <b val="true"/>
      <sz val="14"/>
      <color rgb="FFFFFFFF"/>
      <name val="Century Gothic"/>
      <family val="0"/>
    </font>
    <font>
      <b val="true"/>
      <sz val="12"/>
      <color rgb="FFFFFFFF"/>
      <name val="Calibri"/>
      <family val="2"/>
      <charset val="1"/>
    </font>
    <font>
      <sz val="11"/>
      <color rgb="FF1F4E79"/>
      <name val="Century Gothic"/>
      <family val="2"/>
      <charset val="1"/>
    </font>
    <font>
      <sz val="11"/>
      <color rgb="FF7C7C7C"/>
      <name val="Century Gothic"/>
      <family val="2"/>
      <charset val="1"/>
    </font>
    <font>
      <sz val="18"/>
      <color rgb="FFFFFFFF"/>
      <name val="Euphemia"/>
      <family val="2"/>
      <charset val="1"/>
    </font>
    <font>
      <sz val="6"/>
      <color rgb="FFFFFFFF"/>
      <name val="Euphemia"/>
      <family val="2"/>
      <charset val="1"/>
    </font>
    <font>
      <sz val="11"/>
      <color rgb="FF333F50"/>
      <name val="Century Gothic"/>
      <family val="2"/>
      <charset val="1"/>
    </font>
    <font>
      <sz val="11"/>
      <color rgb="FF8497B0"/>
      <name val="Century Gothic"/>
      <family val="2"/>
      <charset val="1"/>
    </font>
    <font>
      <sz val="11"/>
      <color rgb="FFFF0000"/>
      <name val="Century Gothic"/>
      <family val="2"/>
      <charset val="1"/>
    </font>
    <font>
      <b val="true"/>
      <sz val="9"/>
      <color rgb="FFC00000"/>
      <name val="Century Gothic"/>
      <family val="2"/>
      <charset val="1"/>
    </font>
    <font>
      <b val="true"/>
      <sz val="9"/>
      <color rgb="FF00B050"/>
      <name val="Century Gothic"/>
      <family val="2"/>
      <charset val="1"/>
    </font>
    <font>
      <b val="true"/>
      <sz val="23"/>
      <color rgb="FFFFFFFF"/>
      <name val="Century Gothic"/>
      <family val="2"/>
      <charset val="1"/>
    </font>
    <font>
      <b val="true"/>
      <sz val="24"/>
      <color rgb="FFFFFFFF"/>
      <name val="Century Gothic"/>
      <family val="2"/>
      <charset val="1"/>
    </font>
    <font>
      <b val="true"/>
      <sz val="10"/>
      <name val="Arial"/>
      <family val="2"/>
      <charset val="1"/>
    </font>
    <font>
      <b val="true"/>
      <sz val="22"/>
      <color rgb="FFFFFFFF"/>
      <name val="Century Gothic"/>
      <family val="2"/>
      <charset val="1"/>
    </font>
    <font>
      <sz val="13"/>
      <color rgb="FFD9D9D9"/>
      <name val="Century Gothic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5F5F5"/>
      </patternFill>
    </fill>
    <fill>
      <patternFill patternType="solid">
        <fgColor rgb="FF8497B0"/>
        <bgColor rgb="FF8B8B8B"/>
      </patternFill>
    </fill>
    <fill>
      <patternFill patternType="solid">
        <fgColor rgb="FF9DC3E6"/>
        <bgColor rgb="FFBFBFBF"/>
      </patternFill>
    </fill>
    <fill>
      <patternFill patternType="solid">
        <fgColor rgb="FF44546A"/>
        <bgColor rgb="FF595959"/>
      </patternFill>
    </fill>
    <fill>
      <patternFill patternType="solid">
        <fgColor rgb="FFFFE699"/>
        <bgColor rgb="FFE7E6E6"/>
      </patternFill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5F5F5"/>
      </patternFill>
    </fill>
    <fill>
      <patternFill patternType="solid">
        <fgColor rgb="FFF5F5F5"/>
        <bgColor rgb="FFF2F2F2"/>
      </patternFill>
    </fill>
    <fill>
      <patternFill patternType="solid">
        <fgColor rgb="FF4472C4"/>
        <bgColor rgb="FF2E75B6"/>
      </patternFill>
    </fill>
    <fill>
      <patternFill patternType="solid">
        <fgColor rgb="FF2E75B6"/>
        <bgColor rgb="FF4472C4"/>
      </patternFill>
    </fill>
    <fill>
      <patternFill patternType="solid">
        <fgColor rgb="FF5B9BD5"/>
        <bgColor rgb="FF8497B0"/>
      </patternFill>
    </fill>
    <fill>
      <patternFill patternType="solid">
        <fgColor rgb="FFED7D31"/>
        <bgColor rgb="FFC55A11"/>
      </patternFill>
    </fill>
    <fill>
      <patternFill patternType="solid">
        <fgColor rgb="FFE7E6E6"/>
        <bgColor rgb="FFF2F2F2"/>
      </patternFill>
    </fill>
    <fill>
      <patternFill patternType="solid">
        <fgColor rgb="FF808080"/>
        <bgColor rgb="FF7C7C7C"/>
      </patternFill>
    </fill>
    <fill>
      <patternFill patternType="solid">
        <fgColor rgb="FF333F50"/>
        <bgColor rgb="FF404040"/>
      </patternFill>
    </fill>
    <fill>
      <patternFill patternType="solid">
        <fgColor rgb="FF0070C0"/>
        <bgColor rgb="FF0563C1"/>
      </patternFill>
    </fill>
  </fills>
  <borders count="32">
    <border diagonalUp="false" diagonalDown="false">
      <left/>
      <right/>
      <top/>
      <bottom/>
      <diagonal/>
    </border>
    <border diagonalUp="false" diagonalDown="false">
      <left style="thin">
        <color rgb="FFD6DCE5"/>
      </left>
      <right style="thin">
        <color rgb="FFD6DCE5"/>
      </right>
      <top style="thin">
        <color rgb="FFD6DCE5"/>
      </top>
      <bottom/>
      <diagonal/>
    </border>
    <border diagonalUp="false" diagonalDown="false">
      <left style="thin">
        <color rgb="FFD6DCE5"/>
      </left>
      <right style="thin">
        <color rgb="FFD6DCE5"/>
      </right>
      <top/>
      <bottom/>
      <diagonal/>
    </border>
    <border diagonalUp="false" diagonalDown="false">
      <left style="thin">
        <color rgb="FFD6DCE5"/>
      </left>
      <right style="thin">
        <color rgb="FFD6DCE5"/>
      </right>
      <top/>
      <bottom style="thin">
        <color rgb="FFD6DCE5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/>
      <top style="thin">
        <color rgb="FFD9D9D9"/>
      </top>
      <bottom style="thin">
        <color rgb="FFD9D9D9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/>
      <top/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medium">
        <color rgb="FF4472C4"/>
      </left>
      <right/>
      <top style="medium">
        <color rgb="FF4472C4"/>
      </top>
      <bottom style="thin">
        <color rgb="FFD9D9D9"/>
      </bottom>
      <diagonal/>
    </border>
    <border diagonalUp="false" diagonalDown="false">
      <left/>
      <right/>
      <top style="medium">
        <color rgb="FF4472C4"/>
      </top>
      <bottom style="thin">
        <color rgb="FFD9D9D9"/>
      </bottom>
      <diagonal/>
    </border>
    <border diagonalUp="false" diagonalDown="false">
      <left/>
      <right style="medium">
        <color rgb="FF0070C0"/>
      </right>
      <top style="medium">
        <color rgb="FF4472C4"/>
      </top>
      <bottom style="thin">
        <color rgb="FFD9D9D9"/>
      </bottom>
      <diagonal/>
    </border>
    <border diagonalUp="false" diagonalDown="false">
      <left style="medium">
        <color rgb="FF0070C0"/>
      </left>
      <right style="medium">
        <color rgb="FF0070C0"/>
      </right>
      <top style="medium">
        <color rgb="FF4472C4"/>
      </top>
      <bottom style="thin">
        <color rgb="FFD9D9D9"/>
      </bottom>
      <diagonal/>
    </border>
    <border diagonalUp="false" diagonalDown="false">
      <left style="medium">
        <color rgb="FF4472C4"/>
      </left>
      <right/>
      <top style="thin">
        <color rgb="FFD9D9D9"/>
      </top>
      <bottom/>
      <diagonal/>
    </border>
    <border diagonalUp="false" diagonalDown="false">
      <left/>
      <right style="medium">
        <color rgb="FF0070C0"/>
      </right>
      <top style="thin">
        <color rgb="FFD9D9D9"/>
      </top>
      <bottom/>
      <diagonal/>
    </border>
    <border diagonalUp="false" diagonalDown="false">
      <left style="medium">
        <color rgb="FF0070C0"/>
      </left>
      <right style="medium">
        <color rgb="FF0070C0"/>
      </right>
      <top style="thin">
        <color rgb="FFD9D9D9"/>
      </top>
      <bottom/>
      <diagonal/>
    </border>
    <border diagonalUp="false" diagonalDown="false">
      <left style="medium">
        <color rgb="FF4472C4"/>
      </left>
      <right/>
      <top/>
      <bottom style="thin">
        <color rgb="FFD9D9D9"/>
      </bottom>
      <diagonal/>
    </border>
    <border diagonalUp="false" diagonalDown="false">
      <left/>
      <right style="medium">
        <color rgb="FF0070C0"/>
      </right>
      <top/>
      <bottom style="thin">
        <color rgb="FFD9D9D9"/>
      </bottom>
      <diagonal/>
    </border>
    <border diagonalUp="false" diagonalDown="false">
      <left/>
      <right style="medium">
        <color rgb="FF0070C0"/>
      </right>
      <top style="thin">
        <color rgb="FFD9D9D9"/>
      </top>
      <bottom style="thin">
        <color rgb="FFD9D9D9"/>
      </bottom>
      <diagonal/>
    </border>
    <border diagonalUp="false" diagonalDown="false">
      <left style="medium">
        <color rgb="FF4472C4"/>
      </left>
      <right/>
      <top style="thin">
        <color rgb="FFD9D9D9"/>
      </top>
      <bottom style="thin">
        <color rgb="FFD9D9D9"/>
      </bottom>
      <diagonal/>
    </border>
    <border diagonalUp="false" diagonalDown="false">
      <left style="medium">
        <color rgb="FF0070C0"/>
      </left>
      <right style="medium">
        <color rgb="FF0070C0"/>
      </right>
      <top style="thin">
        <color rgb="FFD9D9D9"/>
      </top>
      <bottom style="thin">
        <color rgb="FFD9D9D9"/>
      </bottom>
      <diagonal/>
    </border>
    <border diagonalUp="false" diagonalDown="false">
      <left style="medium">
        <color rgb="FF4472C4"/>
      </left>
      <right/>
      <top style="thin">
        <color rgb="FFD9D9D9"/>
      </top>
      <bottom style="medium">
        <color rgb="FF4472C4"/>
      </bottom>
      <diagonal/>
    </border>
    <border diagonalUp="false" diagonalDown="false">
      <left/>
      <right/>
      <top style="thin">
        <color rgb="FFD9D9D9"/>
      </top>
      <bottom style="medium">
        <color rgb="FF4472C4"/>
      </bottom>
      <diagonal/>
    </border>
    <border diagonalUp="false" diagonalDown="false">
      <left/>
      <right style="medium">
        <color rgb="FF0070C0"/>
      </right>
      <top style="thin">
        <color rgb="FFD9D9D9"/>
      </top>
      <bottom style="medium">
        <color rgb="FF4472C4"/>
      </bottom>
      <diagonal/>
    </border>
    <border diagonalUp="false" diagonalDown="false">
      <left style="medium">
        <color rgb="FF0070C0"/>
      </left>
      <right style="medium">
        <color rgb="FF0070C0"/>
      </right>
      <top style="thin">
        <color rgb="FFD9D9D9"/>
      </top>
      <bottom style="medium">
        <color rgb="FF4472C4"/>
      </bottom>
      <diagonal/>
    </border>
    <border diagonalUp="false" diagonalDown="false">
      <left style="medium">
        <color rgb="FF0070C0"/>
      </left>
      <right style="medium">
        <color rgb="FF0070C0"/>
      </right>
      <top style="medium">
        <color rgb="FF0070C0"/>
      </top>
      <bottom style="thin">
        <color rgb="FFD9D9D9"/>
      </bottom>
      <diagonal/>
    </border>
    <border diagonalUp="false" diagonalDown="false">
      <left style="medium">
        <color rgb="FF0070C0"/>
      </left>
      <right style="medium">
        <color rgb="FF0070C0"/>
      </right>
      <top style="thin">
        <color rgb="FFD9D9D9"/>
      </top>
      <bottom style="medium">
        <color rgb="FF0070C0"/>
      </bottom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80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6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0" xfId="29" applyFont="true" applyBorder="true" applyAlignment="true" applyProtection="true">
      <alignment horizontal="left" vertical="center" textRotation="0" wrapText="false" indent="1" shrinkToFit="false"/>
      <protection locked="true" hidden="true"/>
    </xf>
    <xf numFmtId="164" fontId="6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9" fillId="3" borderId="0" xfId="29" applyFont="true" applyBorder="true" applyAlignment="true" applyProtection="true">
      <alignment horizontal="left" vertical="center" textRotation="0" wrapText="false" indent="1" shrinkToFit="false"/>
      <protection locked="true" hidden="true"/>
    </xf>
    <xf numFmtId="164" fontId="7" fillId="3" borderId="0" xfId="29" applyFont="true" applyBorder="true" applyAlignment="true" applyProtection="true">
      <alignment horizontal="right" vertical="center" textRotation="0" wrapText="false" indent="1" shrinkToFit="false"/>
      <protection locked="true" hidden="true"/>
    </xf>
    <xf numFmtId="164" fontId="7" fillId="3" borderId="0" xfId="29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9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2" fillId="4" borderId="0" xfId="2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4" fillId="5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5" borderId="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9" fontId="15" fillId="5" borderId="4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2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15" fillId="2" borderId="4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9" fontId="17" fillId="0" borderId="4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18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8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18" fillId="2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8" fillId="0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9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17" fillId="2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7" fillId="0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5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5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15" fillId="5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5" fillId="5" borderId="4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19" fillId="0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8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15" fillId="2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9" fontId="15" fillId="0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5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2" fontId="19" fillId="6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6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6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19" fillId="6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9" fillId="6" borderId="4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0" fillId="5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7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7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19" fillId="7" borderId="4" xfId="17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1" fontId="19" fillId="7" borderId="4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2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71" fontId="17" fillId="0" borderId="4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15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2" fontId="2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5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3" fontId="2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5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9" fontId="25" fillId="2" borderId="7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25" fillId="2" borderId="7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25" fillId="2" borderId="7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2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5" fillId="2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4" fontId="25" fillId="2" borderId="8" xfId="17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6" fillId="5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6" fillId="5" borderId="9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1" fontId="26" fillId="5" borderId="9" xfId="19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6" fillId="5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4" fontId="26" fillId="5" borderId="8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9" fontId="2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2" borderId="0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3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33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4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4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2" fillId="9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5" fillId="9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6" fillId="11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6" fillId="11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6" fillId="11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6" fillId="11" borderId="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6" fillId="11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6" fillId="11" borderId="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46" fillId="11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46" fillId="11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6" fillId="11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2" fillId="0" borderId="1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2" fillId="2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42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0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1" fillId="10" borderId="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1" fillId="1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10" borderId="5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21" fillId="10" borderId="5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21" fillId="9" borderId="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21" fillId="9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21" fillId="9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21" fillId="9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1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1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1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21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1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8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48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2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4" fillId="9" borderId="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4" fillId="9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9" borderId="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38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2" fillId="1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2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2" fillId="1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42" fillId="9" borderId="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42" fillId="9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42" fillId="9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2" fillId="9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42" fillId="9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2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2" fontId="42" fillId="2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44" fillId="10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21" fillId="9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9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9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9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49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44" fillId="9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38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2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42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24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10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42" fillId="10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3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3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25" fillId="9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3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2" fillId="9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3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4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4" fillId="10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38" fillId="1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3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44" fillId="9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4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1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2" fillId="10" borderId="9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1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2" fillId="10" borderId="9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42" fillId="10" borderId="9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2" fillId="9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2" fillId="9" borderId="9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42" fillId="9" borderId="9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42" fillId="9" borderId="9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2" fillId="9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2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4" fontId="42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2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0" fillId="1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1" fontId="42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2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4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3" fontId="4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2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1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4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4" fillId="2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4" fontId="44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5" fontId="44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6" fontId="44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7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8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2" fillId="2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2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6" fillId="1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9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0" fontId="61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3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55" fillId="9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66" fillId="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64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63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3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55" fillId="9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84" fontId="69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5" fontId="69" fillId="2" borderId="0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9" fontId="71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4" fillId="9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9" borderId="0" xfId="2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56" fillId="13" borderId="0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57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82" fontId="75" fillId="11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64" fillId="2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9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76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5" fillId="11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4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78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79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80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8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6" fillId="13" borderId="0" xfId="26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9" fillId="9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64" fillId="9" borderId="1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3" fillId="9" borderId="13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5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6" fillId="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9" fontId="71" fillId="9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63" fillId="9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7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7" fillId="1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9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9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9" fillId="9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92" fillId="16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5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5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9" fontId="18" fillId="2" borderId="4" xfId="17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93" fontId="19" fillId="2" borderId="4" xfId="17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3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24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2" fillId="2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2" fillId="2" borderId="1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2" fillId="2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2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2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43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4" fillId="2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2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4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5" fillId="2" borderId="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3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6" fillId="5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46" fillId="5" borderId="21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6" fillId="5" borderId="5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6" fillId="5" borderId="22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6" fillId="5" borderId="5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46" fillId="5" borderId="5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2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42" fillId="2" borderId="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42" fillId="2" borderId="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2" fillId="2" borderId="23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2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42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43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21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21" fillId="2" borderId="24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21" fillId="2" borderId="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21" fillId="2" borderId="23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21" fillId="2" borderId="25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25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25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42" fillId="2" borderId="24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2" fillId="2" borderId="25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3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42" fillId="2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4" fontId="42" fillId="2" borderId="26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2" fillId="2" borderId="2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2" fillId="2" borderId="28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2" fillId="2" borderId="29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2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74" fontId="42" fillId="2" borderId="0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42" fillId="2" borderId="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6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46" fillId="13" borderId="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83" fontId="46" fillId="13" borderId="5" xfId="1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83" fontId="46" fillId="13" borderId="5" xfId="17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46" fillId="13" borderId="5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46" fillId="5" borderId="14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6" fillId="5" borderId="15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6" fillId="5" borderId="16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6" fillId="5" borderId="3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4" fillId="2" borderId="24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4" fillId="2" borderId="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4" fillId="2" borderId="23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4" fillId="2" borderId="25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4" fontId="44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9" fontId="44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21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42" fillId="2" borderId="31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5" fillId="17" borderId="0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5" fillId="1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6" fillId="17" borderId="0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5" fillId="17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10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83" fontId="10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08" fillId="2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07" fillId="2" borderId="0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0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9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0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1" fillId="2" borderId="0" xfId="27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2" fillId="18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13" fillId="1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7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2" borderId="0" xfId="27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2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1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4" fontId="112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13" fillId="1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1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95" fontId="26" fillId="1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6" fontId="112" fillId="18" borderId="0" xfId="2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3" fontId="113" fillId="1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3" fontId="17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11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3" fontId="4" fillId="0" borderId="0" xfId="27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97" fontId="87" fillId="1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2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97" fontId="115" fillId="18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8" fontId="113" fillId="1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1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99" fontId="12" fillId="1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87" fillId="1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99" fontId="87" fillId="1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9" fontId="115" fillId="18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42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5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6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6" fillId="5" borderId="0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6" fillId="5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6" fillId="5" borderId="0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1" fontId="46" fillId="5" borderId="0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6" fillId="5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6" fillId="5" borderId="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46" fillId="5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46" fillId="5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6" fillId="5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1" fillId="2" borderId="5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1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2" borderId="5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21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21" fillId="2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21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21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21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21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7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8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8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8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48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42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44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4" fillId="2" borderId="7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2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2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42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81" fontId="42" fillId="2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43" fillId="2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2" fillId="2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42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2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1" fontId="44" fillId="2" borderId="5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200" fontId="21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1" fillId="2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4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9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9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9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49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9" fontId="44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4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1" fontId="42" fillId="2" borderId="5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1" fillId="2" borderId="7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25" fillId="2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9" fontId="25" fillId="2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4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44" fillId="2" borderId="7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38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44" fillId="2" borderId="7" xfId="19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44" fillId="2" borderId="7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2" fillId="2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2" fillId="2" borderId="9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1" fontId="42" fillId="2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2" fillId="2" borderId="9" xfId="17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1" fontId="42" fillId="2" borderId="9" xfId="19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4" fontId="42" fillId="2" borderId="9" xfId="17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79" fontId="42" fillId="2" borderId="9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4" fontId="42" fillId="2" borderId="9" xfId="1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9" fontId="42" fillId="2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Moeda 11 2" xfId="21"/>
    <cellStyle name="Moeda 2" xfId="22"/>
    <cellStyle name="Moeda 3" xfId="23"/>
    <cellStyle name="Moeda 5" xfId="24"/>
    <cellStyle name="Normal 2" xfId="25"/>
    <cellStyle name="Normal 7" xfId="26"/>
    <cellStyle name="Normal 8" xfId="27"/>
    <cellStyle name="Porcentagem 2 2" xfId="28"/>
    <cellStyle name="Excel Built-in Title" xfId="29"/>
    <cellStyle name="*unknown*" xfId="20" builtinId="8"/>
  </cellStyles>
  <dxfs count="7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C00000"/>
      </font>
    </dxf>
    <dxf>
      <font>
        <color rgb="FF000000"/>
      </font>
    </dxf>
    <dxf>
      <font>
        <color rgb="FF0070C0"/>
      </font>
    </dxf>
    <dxf>
      <font>
        <color rgb="FFED7D31"/>
      </font>
    </dxf>
    <dxf>
      <font>
        <color rgb="FFC00000"/>
      </font>
    </dxf>
    <dxf>
      <font>
        <color rgb="FF00B050"/>
      </font>
    </dxf>
    <dxf>
      <font>
        <color rgb="FF000000"/>
      </font>
    </dxf>
    <dxf>
      <font>
        <color rgb="FF0070C0"/>
      </font>
    </dxf>
    <dxf>
      <font>
        <color rgb="FFED7D31"/>
      </font>
    </dxf>
    <dxf>
      <font>
        <color rgb="FFC00000"/>
      </font>
    </dxf>
    <dxf>
      <font>
        <color rgb="FF00B050"/>
      </font>
    </dxf>
    <dxf>
      <font>
        <color rgb="FF000000"/>
      </font>
    </dxf>
    <dxf>
      <font>
        <color rgb="FF0070C0"/>
      </font>
    </dxf>
    <dxf>
      <font>
        <color rgb="FFED7D31"/>
      </font>
    </dxf>
    <dxf>
      <font>
        <color rgb="FFC00000"/>
      </font>
    </dxf>
    <dxf>
      <font>
        <color rgb="FF00B050"/>
      </font>
    </dxf>
    <dxf>
      <font>
        <color rgb="FF000000"/>
      </font>
    </dxf>
    <dxf>
      <font>
        <color rgb="FF0070C0"/>
      </font>
    </dxf>
    <dxf>
      <font>
        <color rgb="FFED7D31"/>
      </font>
    </dxf>
    <dxf>
      <font>
        <color rgb="FFC00000"/>
      </font>
    </dxf>
    <dxf>
      <font>
        <color rgb="FF00B050"/>
      </font>
    </dxf>
    <dxf>
      <font>
        <color rgb="FF000000"/>
      </font>
    </dxf>
    <dxf>
      <font>
        <color rgb="FF0070C0"/>
      </font>
    </dxf>
    <dxf>
      <font>
        <color rgb="FFED7D31"/>
      </font>
    </dxf>
    <dxf>
      <font>
        <color rgb="FFC00000"/>
      </font>
    </dxf>
    <dxf>
      <font>
        <color rgb="FF00B050"/>
      </font>
    </dxf>
    <dxf>
      <font>
        <color rgb="FF000000"/>
      </font>
    </dxf>
    <dxf>
      <font>
        <color rgb="FF0070C0"/>
      </font>
    </dxf>
    <dxf>
      <font>
        <color rgb="FFED7D31"/>
      </font>
    </dxf>
    <dxf>
      <font>
        <color rgb="FFC00000"/>
      </font>
    </dxf>
    <dxf>
      <font>
        <color rgb="FF00B050"/>
      </font>
    </dxf>
    <dxf>
      <font>
        <color rgb="FF000000"/>
      </font>
    </dxf>
    <dxf>
      <font>
        <color rgb="FF0070C0"/>
      </font>
    </dxf>
    <dxf>
      <font>
        <color rgb="FFED7D31"/>
      </font>
    </dxf>
    <dxf>
      <font>
        <color rgb="FFC00000"/>
      </font>
    </dxf>
    <dxf>
      <font>
        <color rgb="FF00B050"/>
      </font>
    </dxf>
    <dxf>
      <font>
        <color rgb="FF000000"/>
      </font>
    </dxf>
    <dxf>
      <font>
        <color rgb="FF0070C0"/>
      </font>
    </dxf>
    <dxf>
      <font>
        <color rgb="FFED7D31"/>
      </font>
    </dxf>
    <dxf>
      <font>
        <color rgb="FFC00000"/>
      </font>
    </dxf>
    <dxf>
      <font>
        <color rgb="FF00B050"/>
      </font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  <dxf>
      <font>
        <color rgb="FFFF4747"/>
      </font>
    </dxf>
    <dxf>
      <font>
        <color rgb="FF92D05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70AD47"/>
      <rgbColor rgb="FF000080"/>
      <rgbColor rgb="FF7C7C7C"/>
      <rgbColor rgb="FF800080"/>
      <rgbColor rgb="FF0070C0"/>
      <rgbColor rgb="FFBFBFBF"/>
      <rgbColor rgb="FF808080"/>
      <rgbColor rgb="FF8497B0"/>
      <rgbColor rgb="FF595959"/>
      <rgbColor rgb="FFF5F5F5"/>
      <rgbColor rgb="FFF2F2F2"/>
      <rgbColor rgb="FF660066"/>
      <rgbColor rgb="FFFF4747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2E75B6"/>
      <rgbColor rgb="FF0000FF"/>
      <rgbColor rgb="FF00CCFF"/>
      <rgbColor rgb="FFE7E6E6"/>
      <rgbColor rgb="FFC5E0B4"/>
      <rgbColor rgb="FFFFE699"/>
      <rgbColor rgb="FF9DC3E6"/>
      <rgbColor rgb="FFA6A6A6"/>
      <rgbColor rgb="FFB3B3B3"/>
      <rgbColor rgb="FFD9D9D9"/>
      <rgbColor rgb="FF4472C4"/>
      <rgbColor rgb="FF5B9BD5"/>
      <rgbColor rgb="FF92D050"/>
      <rgbColor rgb="FFFFC000"/>
      <rgbColor rgb="FFA5A5A5"/>
      <rgbColor rgb="FFED7D31"/>
      <rgbColor rgb="FF767171"/>
      <rgbColor rgb="FF8B8B8B"/>
      <rgbColor rgb="FF2F5597"/>
      <rgbColor rgb="FF00B050"/>
      <rgbColor rgb="FF003300"/>
      <rgbColor rgb="FF333F50"/>
      <rgbColor rgb="FFC55A11"/>
      <rgbColor rgb="FF44546A"/>
      <rgbColor rgb="FF1F4E7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200" spc="-1" strike="noStrike">
                <a:solidFill>
                  <a:srgbClr val="595959"/>
                </a:solidFill>
                <a:latin typeface="Century Gothic"/>
              </a:defRPr>
            </a:pPr>
            <a:r>
              <a:rPr b="0" lang="pt-BR" sz="1200" spc="-1" strike="noStrike">
                <a:solidFill>
                  <a:srgbClr val="595959"/>
                </a:solidFill>
                <a:latin typeface="Century Gothic"/>
              </a:rPr>
              <a:t>Representatividade (Custos x Faturamento)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pieChart>
        <c:varyColors val="1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0.00%" sourceLinked="1"/>
            <c:dLbl>
              <c:idx val="0"/>
              <c:numFmt formatCode="0.0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entury Gothic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0.0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entury Gothic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0.0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entury Gothic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0.0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entury Gothic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0.0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entury Gothic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0.00%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entury Gothic"/>
                    </a:defRPr>
                  </a:pPr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entury Gothic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</c:dLbls>
          <c:cat>
            <c:strRef>
              <c:f>'R.T - Fluxo de Caixa'!$K$141:$K$146</c:f>
              <c:strCache>
                <c:ptCount val="6"/>
                <c:pt idx="0">
                  <c:v>Custos com Produtos</c:v>
                </c:pt>
                <c:pt idx="1">
                  <c:v>Custos com Impostos</c:v>
                </c:pt>
                <c:pt idx="2">
                  <c:v>Custos com Vendas</c:v>
                </c:pt>
                <c:pt idx="3">
                  <c:v>Custos com Pessoas</c:v>
                </c:pt>
                <c:pt idx="4">
                  <c:v>Custos Adm. + Diretoria</c:v>
                </c:pt>
                <c:pt idx="5">
                  <c:v>Investimentos</c:v>
                </c:pt>
              </c:strCache>
            </c:strRef>
          </c:cat>
          <c:val>
            <c:numRef>
              <c:f>'R.T - Fluxo de Caixa'!$L$141:$L$146</c:f>
              <c:numCache>
                <c:formatCode>General</c:formatCode>
                <c:ptCount val="6"/>
                <c:pt idx="0">
                  <c:v>0.309793753198141</c:v>
                </c:pt>
                <c:pt idx="1">
                  <c:v>0.195558660472504</c:v>
                </c:pt>
                <c:pt idx="2">
                  <c:v>0.0735854822534897</c:v>
                </c:pt>
                <c:pt idx="3">
                  <c:v>0.14147717088475</c:v>
                </c:pt>
                <c:pt idx="4">
                  <c:v>0.173030731961433</c:v>
                </c:pt>
                <c:pt idx="5">
                  <c:v>0.0632326341183498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12365645697502"/>
          <c:y val="0.181675680363479"/>
          <c:w val="0.378430051082324"/>
          <c:h val="0.74473203429103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entury Gothic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400" spc="-1" strike="noStrike">
                <a:solidFill>
                  <a:srgbClr val="808080"/>
                </a:solidFill>
                <a:latin typeface="Century Gothic"/>
              </a:defRPr>
            </a:pPr>
            <a:r>
              <a:rPr b="1" lang="pt-BR" sz="1400" spc="-1" strike="noStrike">
                <a:solidFill>
                  <a:srgbClr val="808080"/>
                </a:solidFill>
                <a:latin typeface="Century Gothic"/>
              </a:rPr>
              <a:t>Vendas Totais - 12 Meses</a:t>
            </a:r>
          </a:p>
        </c:rich>
      </c:tx>
      <c:layout>
        <c:manualLayout>
          <c:xMode val="edge"/>
          <c:yMode val="edge"/>
          <c:x val="0.346644344871732"/>
          <c:y val="0.0370457763095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238317987099316"/>
          <c:y val="0.154082114204814"/>
          <c:w val="0.959623812103009"/>
          <c:h val="0.74846625766871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Pt>
            <c:idx val="10"/>
            <c:marker>
              <c:symbol val="none"/>
            </c:marker>
          </c:dPt>
          <c:dPt>
            <c:idx val="11"/>
            <c:marker>
              <c:symbol val="none"/>
            </c:marker>
          </c:dPt>
          <c:dLbls>
            <c:numFmt formatCode="_-&quot;R$&quot;* #,##0_-;&quot;-R$&quot;* #,##0_-;_-&quot;R$&quot;* \-??_-;_-@_-" sourceLinked="1"/>
            <c:dLbl>
              <c:idx val="10"/>
              <c:layout>
                <c:manualLayout>
                  <c:x val="-0.0549369569467216"/>
                  <c:y val="0.0518690764469105"/>
                </c:manualLayout>
              </c:layout>
              <c:numFmt formatCode="_-&quot;R$&quot;* #,##0_-;&quot;-R$&quot;* #,##0_-;_-&quot;R$&quot;* \-??_-;_-@_-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808080"/>
                      </a:solidFill>
                      <a:latin typeface="Century Gothic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layout>
                <c:manualLayout>
                  <c:x val="-0.0241594431772139"/>
                  <c:y val="-0.0863797167920202"/>
                </c:manualLayout>
              </c:layout>
              <c:numFmt formatCode="_-&quot;R$&quot;* #,##0_-;&quot;-R$&quot;* #,##0_-;_-&quot;R$&quot;* \-??_-;_-@_-" sourceLinked="1"/>
              <c:txPr>
                <a:bodyPr wrap="square"/>
                <a:lstStyle/>
                <a:p>
                  <a:pPr>
                    <a:defRPr b="1" sz="800" spc="-1" strike="noStrike">
                      <a:solidFill>
                        <a:srgbClr val="808080"/>
                      </a:solidFill>
                      <a:latin typeface="Century Gothic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800" spc="-1" strike="noStrike">
                    <a:solidFill>
                      <a:srgbClr val="808080"/>
                    </a:solidFill>
                    <a:latin typeface="Century Gothic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'Vendas 12 M.'!$C$4:$N$4</c:f>
              <c:strCache>
                <c:ptCount val="12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</c:strCache>
            </c:strRef>
          </c:cat>
          <c:val>
            <c:numRef>
              <c:f>'Vendas 12 M.'!$C$5:$N$5</c:f>
              <c:numCache>
                <c:formatCode>General</c:formatCode>
                <c:ptCount val="12"/>
                <c:pt idx="0">
                  <c:v>44287.76</c:v>
                </c:pt>
                <c:pt idx="1">
                  <c:v>58341.99</c:v>
                </c:pt>
                <c:pt idx="2">
                  <c:v>60662.3</c:v>
                </c:pt>
                <c:pt idx="3">
                  <c:v>73659.92</c:v>
                </c:pt>
                <c:pt idx="4">
                  <c:v>65724.08</c:v>
                </c:pt>
                <c:pt idx="5">
                  <c:v>86526.98</c:v>
                </c:pt>
                <c:pt idx="6">
                  <c:v>94314.39</c:v>
                </c:pt>
                <c:pt idx="7">
                  <c:v>84215.3</c:v>
                </c:pt>
                <c:pt idx="8">
                  <c:v>82831.23</c:v>
                </c:pt>
                <c:pt idx="9">
                  <c:v>91562.04</c:v>
                </c:pt>
                <c:pt idx="10">
                  <c:v>83220.73</c:v>
                </c:pt>
                <c:pt idx="11">
                  <c:v>91562.04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0574735"/>
        <c:axId val="35015804"/>
      </c:lineChart>
      <c:dateAx>
        <c:axId val="40574735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900" spc="-1" strike="noStrike">
                <a:solidFill>
                  <a:srgbClr val="808080"/>
                </a:solidFill>
                <a:latin typeface="Century Gothic"/>
              </a:defRPr>
            </a:pPr>
          </a:p>
        </c:txPr>
        <c:crossAx val="35015804"/>
        <c:crosses val="autoZero"/>
        <c:auto val="1"/>
        <c:lblOffset val="100"/>
        <c:baseTimeUnit val="months"/>
        <c:noMultiLvlLbl val="0"/>
      </c:dateAx>
      <c:valAx>
        <c:axId val="35015804"/>
        <c:scaling>
          <c:orientation val="minMax"/>
        </c:scaling>
        <c:delete val="1"/>
        <c:axPos val="l"/>
        <c:numFmt formatCode="_-&quot;R$&quot;* #,##0_-;&quot;-R$&quot;* #,##0_-;_-&quot;R$&quot;* \-??_-;_-@_-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0574735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0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stacked"/>
        <c:varyColors val="0"/>
        <c:ser>
          <c:idx val="0"/>
          <c:order val="0"/>
          <c:tx>
            <c:strRef>
              <c:f>Consolidado!$B$71</c:f>
              <c:strCache>
                <c:ptCount val="1"/>
                <c:pt idx="0">
                  <c:v>Ponto de Equilíbrio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_-[$R$-416]\ * #,##0.00_-;\-[$R$-416]\ * #,##0.00_-;_-[$R$-416]\ * \-??_-;_-@_-" sourceLinked="1"/>
            <c:txPr>
              <a:bodyPr wrap="squar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
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Consolidado!$B$72</c:f>
              <c:numCache>
                <c:formatCode>General</c:formatCode>
                <c:ptCount val="1"/>
                <c:pt idx="0">
                  <c:v>63055.6531565309</c:v>
                </c:pt>
              </c:numCache>
            </c:numRef>
          </c:val>
        </c:ser>
        <c:ser>
          <c:idx val="1"/>
          <c:order val="1"/>
          <c:tx>
            <c:strRef>
              <c:f>Consolidado!$C$71</c:f>
              <c:strCache>
                <c:ptCount val="1"/>
                <c:pt idx="0">
                  <c:v> Receitas Totais 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_-[$R$-416]\ * #,##0.00_-;\-[$R$-416]\ * #,##0.00_-;_-[$R$-416]\ * \-??_-;_-@_-" sourceLinked="1"/>
            <c:txPr>
              <a:bodyPr wrap="squar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
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Consolidado!$C$72</c:f>
              <c:numCache>
                <c:formatCode>General</c:formatCode>
                <c:ptCount val="1"/>
                <c:pt idx="0">
                  <c:v>95289.72</c:v>
                </c:pt>
              </c:numCache>
            </c:numRef>
          </c:val>
        </c:ser>
        <c:gapWidth val="150"/>
        <c:shape val="box"/>
        <c:axId val="23667365"/>
        <c:axId val="66452616"/>
        <c:axId val="0"/>
      </c:bar3DChart>
      <c:catAx>
        <c:axId val="2366736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452616"/>
        <c:auto val="1"/>
        <c:lblAlgn val="ctr"/>
        <c:lblOffset val="100"/>
        <c:noMultiLvlLbl val="0"/>
      </c:catAx>
      <c:valAx>
        <c:axId val="66452616"/>
        <c:scaling>
          <c:orientation val="minMax"/>
        </c:scaling>
        <c:delete val="1"/>
        <c:axPos val="l"/>
        <c:numFmt formatCode="_-[$R$-416]\ * #,##0.00_-;\-[$R$-416]\ * #,##0.00_-;_-[$R$-416]\ * \-??_-;_-@_-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667365"/>
        <c:crossBetween val="between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Pt>
            <c:idx val="1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Lbls>
            <c:numFmt formatCode="0%" sourceLinked="1"/>
            <c:dLbl>
              <c:idx val="1"/>
              <c:layout>
                <c:manualLayout>
                  <c:x val="0.00450450450450459"/>
                  <c:y val="-0.0134266430981842"/>
                </c:manualLayout>
              </c:layout>
              <c:numFmt formatCode="0%" sourceLinked="1"/>
              <c:txPr>
                <a:bodyPr wrap="square"/>
                <a:lstStyle/>
                <a:p>
                  <a:pPr>
                    <a:defRPr b="1" sz="2000" spc="-1" strike="noStrike">
                      <a:solidFill>
                        <a:srgbClr val="ed7d31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1" sz="2000" spc="-1" strike="noStrike">
                    <a:solidFill>
                      <a:srgbClr val="5b9bd5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'Dashboard Custos'!$N$18:$O$18</c:f>
              <c:strCache>
                <c:ptCount val="2"/>
                <c:pt idx="0">
                  <c:v>Receitas</c:v>
                </c:pt>
                <c:pt idx="1">
                  <c:v>Custo Fixo</c:v>
                </c:pt>
              </c:strCache>
            </c:strRef>
          </c:cat>
          <c:val>
            <c:numRef>
              <c:f>'Dashboard Custos'!$N$19:$O$19</c:f>
              <c:numCache>
                <c:formatCode>General</c:formatCode>
                <c:ptCount val="2"/>
                <c:pt idx="0">
                  <c:v>0.238373337453892</c:v>
                </c:pt>
                <c:pt idx="1">
                  <c:v>0.0179252467580904</c:v>
                </c:pt>
              </c:numCache>
            </c:numRef>
          </c:val>
        </c:ser>
        <c:gapWidth val="219"/>
        <c:overlap val="-27"/>
        <c:axId val="23102815"/>
        <c:axId val="92343244"/>
      </c:barChart>
      <c:catAx>
        <c:axId val="231028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8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343244"/>
        <c:crosses val="autoZero"/>
        <c:auto val="1"/>
        <c:lblAlgn val="ctr"/>
        <c:lblOffset val="100"/>
        <c:noMultiLvlLbl val="0"/>
      </c:catAx>
      <c:valAx>
        <c:axId val="9234324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102815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_(\$* #,##0_);_(\$* \(#,##0\);_(\$* \-??_);_(@_)" sourceLinked="1"/>
            <c:txPr>
              <a:bodyPr wrap="square"/>
              <a:lstStyle/>
              <a:p>
                <a:pPr>
                  <a:defRPr b="1" sz="1400" spc="-1" strike="noStrike">
                    <a:solidFill>
                      <a:srgbClr val="4472c4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41400">
                <a:solidFill>
                  <a:srgbClr val="5b9bd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'Dashboard Final'!$AC$10:$AN$10</c:f>
              <c:strCache>
                <c:ptCount val="12"/>
                <c:pt idx="0">
                  <c:v>fev/22</c:v>
                </c:pt>
                <c:pt idx="1">
                  <c:v>mar/22</c:v>
                </c:pt>
                <c:pt idx="2">
                  <c:v>abr/22</c:v>
                </c:pt>
                <c:pt idx="3">
                  <c:v>mai/22</c:v>
                </c:pt>
                <c:pt idx="4">
                  <c:v>jun/22</c:v>
                </c:pt>
                <c:pt idx="5">
                  <c:v>jul/22</c:v>
                </c:pt>
                <c:pt idx="6">
                  <c:v>ago/22</c:v>
                </c:pt>
                <c:pt idx="7">
                  <c:v>set/22</c:v>
                </c:pt>
                <c:pt idx="8">
                  <c:v>out/22</c:v>
                </c:pt>
                <c:pt idx="9">
                  <c:v>nov/22</c:v>
                </c:pt>
                <c:pt idx="10">
                  <c:v>dez/22</c:v>
                </c:pt>
                <c:pt idx="11">
                  <c:v>jan/23</c:v>
                </c:pt>
              </c:strCache>
            </c:strRef>
          </c:cat>
          <c:val>
            <c:numRef>
              <c:f>'Dashboard Final'!$AC$11:$AN$11</c:f>
              <c:numCache>
                <c:formatCode>General</c:formatCode>
                <c:ptCount val="12"/>
                <c:pt idx="0">
                  <c:v>44287.76</c:v>
                </c:pt>
                <c:pt idx="1">
                  <c:v>58341.99</c:v>
                </c:pt>
                <c:pt idx="2">
                  <c:v>60662.3</c:v>
                </c:pt>
                <c:pt idx="3">
                  <c:v>73659.92</c:v>
                </c:pt>
                <c:pt idx="4">
                  <c:v>65724.08</c:v>
                </c:pt>
                <c:pt idx="5">
                  <c:v>86526.98</c:v>
                </c:pt>
                <c:pt idx="6">
                  <c:v>94314.39</c:v>
                </c:pt>
                <c:pt idx="7">
                  <c:v>84215.3</c:v>
                </c:pt>
                <c:pt idx="8">
                  <c:v>82831.23</c:v>
                </c:pt>
                <c:pt idx="9">
                  <c:v>91562.04</c:v>
                </c:pt>
                <c:pt idx="10">
                  <c:v>83220.73</c:v>
                </c:pt>
                <c:pt idx="11">
                  <c:v>91562.04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6816694"/>
        <c:axId val="79419174"/>
      </c:lineChart>
      <c:dateAx>
        <c:axId val="66816694"/>
        <c:scaling>
          <c:orientation val="minMax"/>
        </c:scaling>
        <c:delete val="0"/>
        <c:axPos val="b"/>
        <c:numFmt formatCode="mmm\-yy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1" sz="1600" spc="-1" strike="noStrike">
                <a:solidFill>
                  <a:srgbClr val="4472c4"/>
                </a:solidFill>
                <a:latin typeface="Calibri"/>
              </a:defRPr>
            </a:pPr>
          </a:p>
        </c:txPr>
        <c:crossAx val="79419174"/>
        <c:crosses val="autoZero"/>
        <c:auto val="1"/>
        <c:lblOffset val="100"/>
        <c:baseTimeUnit val="months"/>
        <c:noMultiLvlLbl val="0"/>
      </c:dateAx>
      <c:valAx>
        <c:axId val="79419174"/>
        <c:scaling>
          <c:orientation val="minMax"/>
        </c:scaling>
        <c:delete val="1"/>
        <c:axPos val="l"/>
        <c:numFmt formatCode="_(\$* #,##0_);_(\$* \(#,##0\);_(\$* \-??_);_(@_)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6816694"/>
        <c:crossBetween val="between"/>
      </c:valAx>
      <c:spPr>
        <a:solidFill>
          <a:srgbClr val="e7e6e6"/>
        </a:solidFill>
        <a:ln w="25560">
          <a:solidFill>
            <a:srgbClr val="e7e6e6"/>
          </a:solidFill>
          <a:round/>
        </a:ln>
      </c:spPr>
    </c:plotArea>
    <c:plotVisOnly val="1"/>
    <c:dispBlanksAs val="gap"/>
  </c:chart>
  <c:spPr>
    <a:solidFill>
      <a:srgbClr val="e7e6e6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entury Gothic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entury Gothic"/>
              </a:rPr>
              <a:t>Orçado x Realizado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'Orçado x Realizado'!$C$4</c:f>
              <c:strCache>
                <c:ptCount val="1"/>
                <c:pt idx="0">
                  <c:v> ORÇADO 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_-[$R$-416]* #,##0_-;\-[$R$-416]* #,##0_-;_-[$R$-416]* \-??_-;_-@_-" sourceLinked="1"/>
            <c:txPr>
              <a:bodyPr rot="-5400000" wrap="square"/>
              <a:lstStyle/>
              <a:p>
                <a:pPr>
                  <a:defRPr b="0" sz="1200" spc="-1" strike="noStrike">
                    <a:solidFill>
                      <a:srgbClr val="808080"/>
                    </a:solidFill>
                    <a:latin typeface="Century Gothic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'Orçado x Realizado'!$B$5:$B$9</c:f>
              <c:strCache>
                <c:ptCount val="5"/>
                <c:pt idx="0">
                  <c:v>Receitas</c:v>
                </c:pt>
                <c:pt idx="1">
                  <c:v>Custos Variáveis</c:v>
                </c:pt>
                <c:pt idx="2">
                  <c:v>Custos Fixos</c:v>
                </c:pt>
                <c:pt idx="3">
                  <c:v>MEO</c:v>
                </c:pt>
                <c:pt idx="4">
                  <c:v>Lucro Líquido</c:v>
                </c:pt>
              </c:strCache>
            </c:strRef>
          </c:cat>
          <c:val>
            <c:numRef>
              <c:f>'Orçado x Realizado'!$C$5:$C$9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'Orçado x Realizado'!$D$4</c:f>
              <c:strCache>
                <c:ptCount val="1"/>
                <c:pt idx="0">
                  <c:v> REALIZADO 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Pt>
            <c:idx val="4"/>
            <c:invertIfNegative val="0"/>
            <c:spPr>
              <a:solidFill>
                <a:srgbClr val="ed7d31"/>
              </a:solidFill>
              <a:ln w="0">
                <a:noFill/>
              </a:ln>
            </c:spPr>
          </c:dPt>
          <c:dLbls>
            <c:numFmt formatCode="_-[$R$-416]* #,##0_-;\-[$R$-416]* #,##0_-;_-[$R$-416]* \-??_-;_-@_-" sourceLinked="1"/>
            <c:dLbl>
              <c:idx val="4"/>
              <c:layout>
                <c:manualLayout>
                  <c:x val="-1.38837013592591E-016"/>
                  <c:y val="0.168972901985021"/>
                </c:manualLayout>
              </c:layout>
              <c:numFmt formatCode="_-[$R$-416]* #,##0_-;\-[$R$-416]* #,##0_-;_-[$R$-416]* \-??_-;_-@_-" sourceLinked="1"/>
              <c:txPr>
                <a:bodyPr rot="-5400000" wrap="square"/>
                <a:lstStyle/>
                <a:p>
                  <a:pPr>
                    <a:defRPr b="0" sz="1200" spc="-1" strike="noStrike">
                      <a:solidFill>
                        <a:srgbClr val="808080"/>
                      </a:solidFill>
                      <a:latin typeface="Century Gothic"/>
                    </a:defRPr>
                  </a:pPr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 wrap="square"/>
              <a:lstStyle/>
              <a:p>
                <a:pPr>
                  <a:defRPr b="0" sz="1200" spc="-1" strike="noStrike">
                    <a:solidFill>
                      <a:srgbClr val="808080"/>
                    </a:solidFill>
                    <a:latin typeface="Century Gothic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'Orçado x Realizado'!$B$5:$B$9</c:f>
              <c:strCache>
                <c:ptCount val="5"/>
                <c:pt idx="0">
                  <c:v>Receitas</c:v>
                </c:pt>
                <c:pt idx="1">
                  <c:v>Custos Variáveis</c:v>
                </c:pt>
                <c:pt idx="2">
                  <c:v>Custos Fixos</c:v>
                </c:pt>
                <c:pt idx="3">
                  <c:v>MEO</c:v>
                </c:pt>
                <c:pt idx="4">
                  <c:v>Lucro Líquido</c:v>
                </c:pt>
              </c:strCache>
            </c:strRef>
          </c:cat>
          <c:val>
            <c:numRef>
              <c:f>'Orçado x Realizado'!$D$5:$D$9</c:f>
              <c:numCache>
                <c:formatCode>General</c:formatCode>
                <c:ptCount val="5"/>
                <c:pt idx="0">
                  <c:v>95289.72</c:v>
                </c:pt>
                <c:pt idx="1">
                  <c:v>55166.83</c:v>
                </c:pt>
                <c:pt idx="2">
                  <c:v>29969.37</c:v>
                </c:pt>
                <c:pt idx="3">
                  <c:v>6025.42</c:v>
                </c:pt>
                <c:pt idx="4">
                  <c:v>4128.09999999999</c:v>
                </c:pt>
              </c:numCache>
            </c:numRef>
          </c:val>
        </c:ser>
        <c:gapWidth val="219"/>
        <c:overlap val="-27"/>
        <c:axId val="91112769"/>
        <c:axId val="76490724"/>
      </c:barChart>
      <c:catAx>
        <c:axId val="911127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-1" strike="noStrike">
                <a:solidFill>
                  <a:srgbClr val="595959"/>
                </a:solidFill>
                <a:latin typeface="Century Gothic"/>
              </a:defRPr>
            </a:pPr>
          </a:p>
        </c:txPr>
        <c:crossAx val="76490724"/>
        <c:crosses val="autoZero"/>
        <c:auto val="1"/>
        <c:lblAlgn val="ctr"/>
        <c:lblOffset val="100"/>
        <c:noMultiLvlLbl val="0"/>
      </c:catAx>
      <c:valAx>
        <c:axId val="76490724"/>
        <c:scaling>
          <c:orientation val="minMax"/>
        </c:scaling>
        <c:delete val="0"/>
        <c:axPos val="l"/>
        <c:numFmt formatCode="_-[$R$-416]* #,##0_-;\-[$R$-416]* #,##0_-;_-[$R$-416]* \-??_-;_-@_-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700" spc="-1" strike="noStrike">
                <a:solidFill>
                  <a:srgbClr val="595959"/>
                </a:solidFill>
                <a:latin typeface="Century Gothic"/>
              </a:defRPr>
            </a:pPr>
          </a:p>
        </c:txPr>
        <c:crossAx val="9111276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1" sz="800" spc="-1" strike="noStrike">
              <a:solidFill>
                <a:srgbClr val="595959"/>
              </a:solidFill>
              <a:latin typeface="Century Gothic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15"/>
      <c:rotY val="20"/>
      <c:rAngAx val="0"/>
      <c:perspective val="30"/>
    </c:view3D>
    <c:floor>
      <c:spPr>
        <a:noFill/>
        <a:ln w="6480">
          <a:noFill/>
        </a:ln>
      </c:spPr>
    </c:floor>
    <c:sideWall>
      <c:spPr>
        <a:noFill/>
        <a:ln w="6480">
          <a:noFill/>
        </a:ln>
      </c:spPr>
    </c:sideWall>
    <c:backWall>
      <c:spPr>
        <a:noFill/>
        <a:ln w="6480">
          <a:noFill/>
        </a:ln>
      </c:spPr>
    </c:backWall>
    <c:plotArea>
      <c:bar3DChart>
        <c:barDir val="col"/>
        <c:grouping val="stacked"/>
        <c:varyColors val="0"/>
        <c:ser>
          <c:idx val="0"/>
          <c:order val="0"/>
          <c:tx>
            <c:strRef>
              <c:f>'(Ano Anterior)'!$B$71</c:f>
              <c:strCache>
                <c:ptCount val="1"/>
                <c:pt idx="0">
                  <c:v>Ponto de Equilíbrio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numFmt formatCode="_-[$R$-416]\ * #,##0.00_-;\-[$R$-416]\ * #,##0.00_-;_-[$R$-416]\ * \-??_-;_-@_-" sourceLinked="1"/>
            <c:txPr>
              <a:bodyPr wrap="squar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
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'(Ano Anterior)'!$B$72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'(Ano Anterior)'!$C$71</c:f>
              <c:strCache>
                <c:ptCount val="1"/>
                <c:pt idx="0">
                  <c:v> Receitas Totais 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numFmt formatCode="_-[$R$-416]\ * #,##0.00_-;\-[$R$-416]\ * #,##0.00_-;_-[$R$-416]\ * \-??_-;_-@_-" sourceLinked="1"/>
            <c:txPr>
              <a:bodyPr wrap="square"/>
              <a:lstStyle/>
              <a:p>
                <a:pPr>
                  <a:defRPr b="0" sz="1400" spc="-1" strike="noStrike">
                    <a:solidFill>
                      <a:srgbClr val="ffffff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
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'(Ano Anterior)'!$C$72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gapWidth val="150"/>
        <c:shape val="box"/>
        <c:axId val="72764409"/>
        <c:axId val="78151992"/>
        <c:axId val="0"/>
      </c:bar3DChart>
      <c:catAx>
        <c:axId val="7276440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151992"/>
        <c:auto val="1"/>
        <c:lblAlgn val="ctr"/>
        <c:lblOffset val="100"/>
        <c:noMultiLvlLbl val="0"/>
      </c:catAx>
      <c:valAx>
        <c:axId val="78151992"/>
        <c:scaling>
          <c:orientation val="minMax"/>
        </c:scaling>
        <c:delete val="1"/>
        <c:axPos val="l"/>
        <c:numFmt formatCode="_-[$R$-416]\ * #,##0.00_-;\-[$R$-416]\ * #,##0.00_-;_-[$R$-416]\ * \-??_-;_-@_-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764409"/>
        <c:crossBetween val="between"/>
      </c:valAx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R.T - Fluxo de Caixa&apos;!A1"/><Relationship Id="rId2" Type="http://schemas.openxmlformats.org/officeDocument/2006/relationships/image" Target="../media/image1.png"/><Relationship Id="rId3" Type="http://schemas.openxmlformats.org/officeDocument/2006/relationships/hyperlink" Target="#Dashboard.A1"/><Relationship Id="rId4" Type="http://schemas.openxmlformats.org/officeDocument/2006/relationships/image" Target="../media/image2.png"/><Relationship Id="rId5" Type="http://schemas.openxmlformats.org/officeDocument/2006/relationships/hyperlink" Target="#Parametros!A1"/><Relationship Id="rId6" Type="http://schemas.openxmlformats.org/officeDocument/2006/relationships/image" Target="../media/image3.png"/><Relationship Id="rId7" Type="http://schemas.openxmlformats.org/officeDocument/2006/relationships/hyperlink" Target="#Consolidado!A1"/><Relationship Id="rId8" Type="http://schemas.openxmlformats.org/officeDocument/2006/relationships/image" Target="../media/image4.png"/><Relationship Id="rId9" Type="http://schemas.openxmlformats.org/officeDocument/2006/relationships/hyperlink" Target="#&apos;Or&#231;ado x Realizado&apos;!A1"/><Relationship Id="rId10" Type="http://schemas.openxmlformats.org/officeDocument/2006/relationships/image" Target="../media/image5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6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7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190440</xdr:colOff>
      <xdr:row>4</xdr:row>
      <xdr:rowOff>114480</xdr:rowOff>
    </xdr:from>
    <xdr:to>
      <xdr:col>1</xdr:col>
      <xdr:colOff>1004400</xdr:colOff>
      <xdr:row>7</xdr:row>
      <xdr:rowOff>56520</xdr:rowOff>
    </xdr:to>
    <xdr:pic>
      <xdr:nvPicPr>
        <xdr:cNvPr id="0" name="Imagem 8" descr="">
          <a:hlinkClick r:id="rId1"/>
        </xdr:cNvPr>
        <xdr:cNvPicPr/>
      </xdr:nvPicPr>
      <xdr:blipFill>
        <a:blip r:embed="rId2"/>
        <a:stretch/>
      </xdr:blipFill>
      <xdr:spPr>
        <a:xfrm>
          <a:off x="237240" y="1413360"/>
          <a:ext cx="813960" cy="685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272880</xdr:colOff>
      <xdr:row>4</xdr:row>
      <xdr:rowOff>133200</xdr:rowOff>
    </xdr:from>
    <xdr:to>
      <xdr:col>10</xdr:col>
      <xdr:colOff>957960</xdr:colOff>
      <xdr:row>7</xdr:row>
      <xdr:rowOff>69120</xdr:rowOff>
    </xdr:to>
    <xdr:pic>
      <xdr:nvPicPr>
        <xdr:cNvPr id="1" name="Imagem 10" descr="">
          <a:hlinkClick r:id="rId3"/>
        </xdr:cNvPr>
        <xdr:cNvPicPr/>
      </xdr:nvPicPr>
      <xdr:blipFill>
        <a:blip r:embed="rId4"/>
        <a:stretch/>
      </xdr:blipFill>
      <xdr:spPr>
        <a:xfrm>
          <a:off x="5421240" y="1432080"/>
          <a:ext cx="685080" cy="67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196920</xdr:colOff>
      <xdr:row>4</xdr:row>
      <xdr:rowOff>19080</xdr:rowOff>
    </xdr:from>
    <xdr:to>
      <xdr:col>13</xdr:col>
      <xdr:colOff>1028160</xdr:colOff>
      <xdr:row>7</xdr:row>
      <xdr:rowOff>174600</xdr:rowOff>
    </xdr:to>
    <xdr:pic>
      <xdr:nvPicPr>
        <xdr:cNvPr id="2" name="Imagem 12" descr="">
          <a:hlinkClick r:id="rId5"/>
        </xdr:cNvPr>
        <xdr:cNvPicPr/>
      </xdr:nvPicPr>
      <xdr:blipFill>
        <a:blip r:embed="rId6"/>
        <a:stretch/>
      </xdr:blipFill>
      <xdr:spPr>
        <a:xfrm>
          <a:off x="7045920" y="1317960"/>
          <a:ext cx="831240" cy="898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209520</xdr:colOff>
      <xdr:row>4</xdr:row>
      <xdr:rowOff>101520</xdr:rowOff>
    </xdr:from>
    <xdr:to>
      <xdr:col>4</xdr:col>
      <xdr:colOff>983520</xdr:colOff>
      <xdr:row>7</xdr:row>
      <xdr:rowOff>99720</xdr:rowOff>
    </xdr:to>
    <xdr:pic>
      <xdr:nvPicPr>
        <xdr:cNvPr id="3" name="Imagem 13" descr="">
          <a:hlinkClick r:id="rId7"/>
        </xdr:cNvPr>
        <xdr:cNvPicPr/>
      </xdr:nvPicPr>
      <xdr:blipFill>
        <a:blip r:embed="rId8"/>
        <a:stretch/>
      </xdr:blipFill>
      <xdr:spPr>
        <a:xfrm>
          <a:off x="1956960" y="1400400"/>
          <a:ext cx="774000" cy="741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285840</xdr:colOff>
      <xdr:row>4</xdr:row>
      <xdr:rowOff>158760</xdr:rowOff>
    </xdr:from>
    <xdr:to>
      <xdr:col>7</xdr:col>
      <xdr:colOff>964440</xdr:colOff>
      <xdr:row>7</xdr:row>
      <xdr:rowOff>76320</xdr:rowOff>
    </xdr:to>
    <xdr:pic>
      <xdr:nvPicPr>
        <xdr:cNvPr id="4" name="Imagem 14" descr="">
          <a:hlinkClick r:id="rId9"/>
        </xdr:cNvPr>
        <xdr:cNvPicPr/>
      </xdr:nvPicPr>
      <xdr:blipFill>
        <a:blip r:embed="rId10"/>
        <a:stretch/>
      </xdr:blipFill>
      <xdr:spPr>
        <a:xfrm>
          <a:off x="3733560" y="1457640"/>
          <a:ext cx="678600" cy="6606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140400</xdr:colOff>
      <xdr:row>69</xdr:row>
      <xdr:rowOff>178560</xdr:rowOff>
    </xdr:from>
    <xdr:to>
      <xdr:col>9</xdr:col>
      <xdr:colOff>487440</xdr:colOff>
      <xdr:row>90</xdr:row>
      <xdr:rowOff>84960</xdr:rowOff>
    </xdr:to>
    <xdr:graphicFrame>
      <xdr:nvGraphicFramePr>
        <xdr:cNvPr id="22" name="Gráfico 2"/>
        <xdr:cNvGraphicFramePr/>
      </xdr:nvGraphicFramePr>
      <xdr:xfrm>
        <a:off x="250200" y="10551240"/>
        <a:ext cx="10717560" cy="438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63360</xdr:colOff>
      <xdr:row>0</xdr:row>
      <xdr:rowOff>0</xdr:rowOff>
    </xdr:from>
    <xdr:to>
      <xdr:col>9</xdr:col>
      <xdr:colOff>797400</xdr:colOff>
      <xdr:row>1</xdr:row>
      <xdr:rowOff>208080</xdr:rowOff>
    </xdr:to>
    <xdr:sp>
      <xdr:nvSpPr>
        <xdr:cNvPr id="23" name="Retângulo 3"/>
        <xdr:cNvSpPr/>
      </xdr:nvSpPr>
      <xdr:spPr>
        <a:xfrm>
          <a:off x="9226800" y="0"/>
          <a:ext cx="2050920" cy="432720"/>
        </a:xfrm>
        <a:prstGeom prst="rect">
          <a:avLst/>
        </a:prstGeom>
        <a:solidFill>
          <a:srgbClr val="ffffff"/>
        </a:solidFill>
        <a:ln w="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33</xdr:col>
      <xdr:colOff>1077840</xdr:colOff>
      <xdr:row>0</xdr:row>
      <xdr:rowOff>0</xdr:rowOff>
    </xdr:from>
    <xdr:to>
      <xdr:col>35</xdr:col>
      <xdr:colOff>768600</xdr:colOff>
      <xdr:row>1</xdr:row>
      <xdr:rowOff>208080</xdr:rowOff>
    </xdr:to>
    <xdr:sp>
      <xdr:nvSpPr>
        <xdr:cNvPr id="24" name="Retângulo 4"/>
        <xdr:cNvSpPr/>
      </xdr:nvSpPr>
      <xdr:spPr>
        <a:xfrm>
          <a:off x="31026240" y="0"/>
          <a:ext cx="1430640" cy="432720"/>
        </a:xfrm>
        <a:prstGeom prst="rect">
          <a:avLst/>
        </a:prstGeom>
        <a:solidFill>
          <a:srgbClr val="ffffff"/>
        </a:solidFill>
        <a:ln w="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15840</xdr:colOff>
      <xdr:row>0</xdr:row>
      <xdr:rowOff>52200</xdr:rowOff>
    </xdr:from>
    <xdr:to>
      <xdr:col>1</xdr:col>
      <xdr:colOff>1662120</xdr:colOff>
      <xdr:row>3</xdr:row>
      <xdr:rowOff>81000</xdr:rowOff>
    </xdr:to>
    <xdr:pic>
      <xdr:nvPicPr>
        <xdr:cNvPr id="25" name="Imagem 5" descr=""/>
        <xdr:cNvPicPr/>
      </xdr:nvPicPr>
      <xdr:blipFill>
        <a:blip r:embed="rId2"/>
        <a:stretch/>
      </xdr:blipFill>
      <xdr:spPr>
        <a:xfrm>
          <a:off x="125640" y="52200"/>
          <a:ext cx="1646280" cy="523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35640</xdr:colOff>
      <xdr:row>147</xdr:row>
      <xdr:rowOff>158400</xdr:rowOff>
    </xdr:from>
    <xdr:to>
      <xdr:col>4</xdr:col>
      <xdr:colOff>332640</xdr:colOff>
      <xdr:row>162</xdr:row>
      <xdr:rowOff>31320</xdr:rowOff>
    </xdr:to>
    <xdr:graphicFrame>
      <xdr:nvGraphicFramePr>
        <xdr:cNvPr id="5" name="Gráfico 1"/>
        <xdr:cNvGraphicFramePr/>
      </xdr:nvGraphicFramePr>
      <xdr:xfrm>
        <a:off x="82440" y="26494920"/>
        <a:ext cx="7280640" cy="2501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15840</xdr:colOff>
      <xdr:row>0</xdr:row>
      <xdr:rowOff>15840</xdr:rowOff>
    </xdr:from>
    <xdr:to>
      <xdr:col>2</xdr:col>
      <xdr:colOff>491400</xdr:colOff>
      <xdr:row>2</xdr:row>
      <xdr:rowOff>36360</xdr:rowOff>
    </xdr:to>
    <xdr:pic>
      <xdr:nvPicPr>
        <xdr:cNvPr id="6" name="Imagem 4" descr=""/>
        <xdr:cNvPicPr/>
      </xdr:nvPicPr>
      <xdr:blipFill>
        <a:blip r:embed="rId2"/>
        <a:stretch/>
      </xdr:blipFill>
      <xdr:spPr>
        <a:xfrm>
          <a:off x="62640" y="15840"/>
          <a:ext cx="1297800" cy="4204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4</xdr:col>
      <xdr:colOff>895320</xdr:colOff>
      <xdr:row>0</xdr:row>
      <xdr:rowOff>0</xdr:rowOff>
    </xdr:from>
    <xdr:to>
      <xdr:col>5</xdr:col>
      <xdr:colOff>918360</xdr:colOff>
      <xdr:row>1</xdr:row>
      <xdr:rowOff>165960</xdr:rowOff>
    </xdr:to>
    <xdr:sp>
      <xdr:nvSpPr>
        <xdr:cNvPr id="7" name="Retângulo 2"/>
        <xdr:cNvSpPr/>
      </xdr:nvSpPr>
      <xdr:spPr>
        <a:xfrm>
          <a:off x="7925760" y="0"/>
          <a:ext cx="1246320" cy="390600"/>
        </a:xfrm>
        <a:prstGeom prst="rect">
          <a:avLst/>
        </a:prstGeom>
        <a:solidFill>
          <a:srgbClr val="ffffff"/>
        </a:solidFill>
        <a:ln w="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pt-BR" sz="1100" spc="-1" strike="noStrike">
              <a:solidFill>
                <a:srgbClr val="ffffff"/>
              </a:solidFill>
              <a:latin typeface="Century Gothic"/>
            </a:rPr>
            <a:t>LIMPAR DADOS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219600</xdr:colOff>
      <xdr:row>5</xdr:row>
      <xdr:rowOff>159120</xdr:rowOff>
    </xdr:from>
    <xdr:to>
      <xdr:col>9</xdr:col>
      <xdr:colOff>171360</xdr:colOff>
      <xdr:row>22</xdr:row>
      <xdr:rowOff>101160</xdr:rowOff>
    </xdr:to>
    <xdr:graphicFrame>
      <xdr:nvGraphicFramePr>
        <xdr:cNvPr id="8" name="Gráfico 1"/>
        <xdr:cNvGraphicFramePr/>
      </xdr:nvGraphicFramePr>
      <xdr:xfrm>
        <a:off x="336240" y="1065600"/>
        <a:ext cx="7310880" cy="305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140400</xdr:colOff>
      <xdr:row>69</xdr:row>
      <xdr:rowOff>178560</xdr:rowOff>
    </xdr:from>
    <xdr:to>
      <xdr:col>9</xdr:col>
      <xdr:colOff>487440</xdr:colOff>
      <xdr:row>90</xdr:row>
      <xdr:rowOff>84960</xdr:rowOff>
    </xdr:to>
    <xdr:graphicFrame>
      <xdr:nvGraphicFramePr>
        <xdr:cNvPr id="9" name="Gráfico 3"/>
        <xdr:cNvGraphicFramePr/>
      </xdr:nvGraphicFramePr>
      <xdr:xfrm>
        <a:off x="250200" y="10551240"/>
        <a:ext cx="10717560" cy="438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7</xdr:col>
      <xdr:colOff>63360</xdr:colOff>
      <xdr:row>0</xdr:row>
      <xdr:rowOff>0</xdr:rowOff>
    </xdr:from>
    <xdr:to>
      <xdr:col>9</xdr:col>
      <xdr:colOff>797400</xdr:colOff>
      <xdr:row>1</xdr:row>
      <xdr:rowOff>208080</xdr:rowOff>
    </xdr:to>
    <xdr:sp>
      <xdr:nvSpPr>
        <xdr:cNvPr id="10" name="Retângulo 5"/>
        <xdr:cNvSpPr/>
      </xdr:nvSpPr>
      <xdr:spPr>
        <a:xfrm>
          <a:off x="9226800" y="0"/>
          <a:ext cx="2050920" cy="432720"/>
        </a:xfrm>
        <a:prstGeom prst="rect">
          <a:avLst/>
        </a:prstGeom>
        <a:solidFill>
          <a:srgbClr val="ffffff"/>
        </a:solidFill>
        <a:ln w="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33</xdr:col>
      <xdr:colOff>1077840</xdr:colOff>
      <xdr:row>0</xdr:row>
      <xdr:rowOff>0</xdr:rowOff>
    </xdr:from>
    <xdr:to>
      <xdr:col>35</xdr:col>
      <xdr:colOff>768600</xdr:colOff>
      <xdr:row>1</xdr:row>
      <xdr:rowOff>208080</xdr:rowOff>
    </xdr:to>
    <xdr:sp>
      <xdr:nvSpPr>
        <xdr:cNvPr id="11" name="Retângulo 6"/>
        <xdr:cNvSpPr/>
      </xdr:nvSpPr>
      <xdr:spPr>
        <a:xfrm>
          <a:off x="17265240" y="0"/>
          <a:ext cx="1430640" cy="432720"/>
        </a:xfrm>
        <a:prstGeom prst="rect">
          <a:avLst/>
        </a:prstGeom>
        <a:solidFill>
          <a:srgbClr val="ffffff"/>
        </a:solidFill>
        <a:ln w="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15840</xdr:colOff>
      <xdr:row>0</xdr:row>
      <xdr:rowOff>52200</xdr:rowOff>
    </xdr:from>
    <xdr:to>
      <xdr:col>1</xdr:col>
      <xdr:colOff>1662120</xdr:colOff>
      <xdr:row>3</xdr:row>
      <xdr:rowOff>81000</xdr:rowOff>
    </xdr:to>
    <xdr:pic>
      <xdr:nvPicPr>
        <xdr:cNvPr id="12" name="Imagem 7" descr=""/>
        <xdr:cNvPicPr/>
      </xdr:nvPicPr>
      <xdr:blipFill>
        <a:blip r:embed="rId2"/>
        <a:stretch/>
      </xdr:blipFill>
      <xdr:spPr>
        <a:xfrm>
          <a:off x="125640" y="52200"/>
          <a:ext cx="1646280" cy="523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783000</xdr:colOff>
      <xdr:row>0</xdr:row>
      <xdr:rowOff>63360</xdr:rowOff>
    </xdr:from>
    <xdr:to>
      <xdr:col>11</xdr:col>
      <xdr:colOff>42840</xdr:colOff>
      <xdr:row>3</xdr:row>
      <xdr:rowOff>134280</xdr:rowOff>
    </xdr:to>
    <xdr:sp>
      <xdr:nvSpPr>
        <xdr:cNvPr id="13" name="Retângulo 2"/>
        <xdr:cNvSpPr/>
      </xdr:nvSpPr>
      <xdr:spPr>
        <a:xfrm>
          <a:off x="14352120" y="63360"/>
          <a:ext cx="2622960" cy="428760"/>
        </a:xfrm>
        <a:prstGeom prst="rect">
          <a:avLst/>
        </a:prstGeom>
        <a:solidFill>
          <a:srgbClr val="ffffff"/>
        </a:solidFill>
        <a:ln w="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783000</xdr:colOff>
      <xdr:row>0</xdr:row>
      <xdr:rowOff>63360</xdr:rowOff>
    </xdr:from>
    <xdr:to>
      <xdr:col>11</xdr:col>
      <xdr:colOff>42840</xdr:colOff>
      <xdr:row>3</xdr:row>
      <xdr:rowOff>134280</xdr:rowOff>
    </xdr:to>
    <xdr:sp>
      <xdr:nvSpPr>
        <xdr:cNvPr id="14" name="Retângulo 1"/>
        <xdr:cNvSpPr/>
      </xdr:nvSpPr>
      <xdr:spPr>
        <a:xfrm>
          <a:off x="14352120" y="63360"/>
          <a:ext cx="2622960" cy="428760"/>
        </a:xfrm>
        <a:prstGeom prst="rect">
          <a:avLst/>
        </a:prstGeom>
        <a:solidFill>
          <a:srgbClr val="ffffff"/>
        </a:solidFill>
        <a:ln w="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9</xdr:col>
      <xdr:colOff>50760</xdr:colOff>
      <xdr:row>16</xdr:row>
      <xdr:rowOff>25560</xdr:rowOff>
    </xdr:from>
    <xdr:to>
      <xdr:col>9</xdr:col>
      <xdr:colOff>2869560</xdr:colOff>
      <xdr:row>22</xdr:row>
      <xdr:rowOff>494640</xdr:rowOff>
    </xdr:to>
    <xdr:graphicFrame>
      <xdr:nvGraphicFramePr>
        <xdr:cNvPr id="15" name="Gráfico 4"/>
        <xdr:cNvGraphicFramePr/>
      </xdr:nvGraphicFramePr>
      <xdr:xfrm>
        <a:off x="13619880" y="5142240"/>
        <a:ext cx="2818800" cy="310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783000</xdr:colOff>
      <xdr:row>0</xdr:row>
      <xdr:rowOff>63360</xdr:rowOff>
    </xdr:from>
    <xdr:to>
      <xdr:col>11</xdr:col>
      <xdr:colOff>42840</xdr:colOff>
      <xdr:row>3</xdr:row>
      <xdr:rowOff>134280</xdr:rowOff>
    </xdr:to>
    <xdr:sp>
      <xdr:nvSpPr>
        <xdr:cNvPr id="16" name="Retângulo 1"/>
        <xdr:cNvSpPr/>
      </xdr:nvSpPr>
      <xdr:spPr>
        <a:xfrm>
          <a:off x="15543360" y="63360"/>
          <a:ext cx="3524400" cy="428760"/>
        </a:xfrm>
        <a:prstGeom prst="rect">
          <a:avLst/>
        </a:prstGeom>
        <a:solidFill>
          <a:srgbClr val="ffffff"/>
        </a:solidFill>
        <a:ln w="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2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30600</xdr:colOff>
      <xdr:row>16</xdr:row>
      <xdr:rowOff>38160</xdr:rowOff>
    </xdr:from>
    <xdr:to>
      <xdr:col>9</xdr:col>
      <xdr:colOff>3718080</xdr:colOff>
      <xdr:row>29</xdr:row>
      <xdr:rowOff>334800</xdr:rowOff>
    </xdr:to>
    <xdr:graphicFrame>
      <xdr:nvGraphicFramePr>
        <xdr:cNvPr id="17" name="Gráfico 3"/>
        <xdr:cNvGraphicFramePr/>
      </xdr:nvGraphicFramePr>
      <xdr:xfrm>
        <a:off x="429840" y="4716720"/>
        <a:ext cx="18048600" cy="510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720</xdr:colOff>
      <xdr:row>2</xdr:row>
      <xdr:rowOff>114480</xdr:rowOff>
    </xdr:from>
    <xdr:to>
      <xdr:col>8</xdr:col>
      <xdr:colOff>367560</xdr:colOff>
      <xdr:row>23</xdr:row>
      <xdr:rowOff>24840</xdr:rowOff>
    </xdr:to>
    <xdr:graphicFrame>
      <xdr:nvGraphicFramePr>
        <xdr:cNvPr id="18" name="Gráfico 1"/>
        <xdr:cNvGraphicFramePr/>
      </xdr:nvGraphicFramePr>
      <xdr:xfrm>
        <a:off x="47520" y="525960"/>
        <a:ext cx="6724440" cy="375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12</xdr:col>
      <xdr:colOff>57240</xdr:colOff>
      <xdr:row>0</xdr:row>
      <xdr:rowOff>0</xdr:rowOff>
    </xdr:from>
    <xdr:to>
      <xdr:col>14</xdr:col>
      <xdr:colOff>291600</xdr:colOff>
      <xdr:row>2</xdr:row>
      <xdr:rowOff>177120</xdr:rowOff>
    </xdr:to>
    <xdr:sp>
      <xdr:nvSpPr>
        <xdr:cNvPr id="19" name="Retângulo 3"/>
        <xdr:cNvSpPr/>
      </xdr:nvSpPr>
      <xdr:spPr>
        <a:xfrm>
          <a:off x="8907840" y="0"/>
          <a:ext cx="1457280" cy="588600"/>
        </a:xfrm>
        <a:prstGeom prst="rect">
          <a:avLst/>
        </a:prstGeom>
        <a:solidFill>
          <a:srgbClr val="ffffff"/>
        </a:solidFill>
        <a:ln w="0">
          <a:solidFill>
            <a:srgbClr val="ed7d3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pt-BR" sz="12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1" lang="pt-BR" sz="1400" spc="-1" strike="noStrike">
              <a:solidFill>
                <a:srgbClr val="ffffff"/>
              </a:solidFill>
              <a:latin typeface="Century Gothic"/>
            </a:rPr>
            <a:t>SELECT DADOS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0</xdr:rowOff>
    </xdr:from>
    <xdr:to>
      <xdr:col>2</xdr:col>
      <xdr:colOff>94680</xdr:colOff>
      <xdr:row>2</xdr:row>
      <xdr:rowOff>38880</xdr:rowOff>
    </xdr:to>
    <xdr:pic>
      <xdr:nvPicPr>
        <xdr:cNvPr id="20" name="Imagem 4" descr=""/>
        <xdr:cNvPicPr/>
      </xdr:nvPicPr>
      <xdr:blipFill>
        <a:blip r:embed="rId2"/>
        <a:stretch/>
      </xdr:blipFill>
      <xdr:spPr>
        <a:xfrm>
          <a:off x="46800" y="0"/>
          <a:ext cx="1404000" cy="450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0</xdr:row>
      <xdr:rowOff>39600</xdr:rowOff>
    </xdr:from>
    <xdr:to>
      <xdr:col>1</xdr:col>
      <xdr:colOff>1416960</xdr:colOff>
      <xdr:row>1</xdr:row>
      <xdr:rowOff>175320</xdr:rowOff>
    </xdr:to>
    <xdr:pic>
      <xdr:nvPicPr>
        <xdr:cNvPr id="21" name="Imagem 2" descr=""/>
        <xdr:cNvPicPr/>
      </xdr:nvPicPr>
      <xdr:blipFill>
        <a:blip r:embed="rId1"/>
        <a:stretch/>
      </xdr:blipFill>
      <xdr:spPr>
        <a:xfrm>
          <a:off x="109800" y="39600"/>
          <a:ext cx="1416960" cy="3603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ColWidth="8.6796875" defaultRowHeight="14.4" zeroHeight="false" outlineLevelRow="0" outlineLevelCol="0"/>
  <cols>
    <col collapsed="false" customWidth="true" hidden="false" outlineLevel="0" max="1" min="1" style="1" width="0.67"/>
    <col collapsed="false" customWidth="true" hidden="false" outlineLevel="0" max="2" min="2" style="2" width="17.44"/>
    <col collapsed="false" customWidth="true" hidden="false" outlineLevel="0" max="4" min="3" style="2" width="3.33"/>
    <col collapsed="false" customWidth="true" hidden="false" outlineLevel="0" max="5" min="5" style="2" width="17.44"/>
    <col collapsed="false" customWidth="true" hidden="false" outlineLevel="0" max="7" min="6" style="2" width="3.33"/>
    <col collapsed="false" customWidth="true" hidden="false" outlineLevel="0" max="8" min="8" style="2" width="17.44"/>
    <col collapsed="false" customWidth="true" hidden="false" outlineLevel="0" max="10" min="9" style="2" width="3.33"/>
    <col collapsed="false" customWidth="true" hidden="false" outlineLevel="0" max="11" min="11" style="2" width="17.44"/>
    <col collapsed="false" customWidth="true" hidden="false" outlineLevel="0" max="13" min="12" style="2" width="3.33"/>
    <col collapsed="false" customWidth="true" hidden="false" outlineLevel="0" max="14" min="14" style="2" width="17.44"/>
    <col collapsed="false" customWidth="false" hidden="false" outlineLevel="0" max="15" min="15" style="2" width="8.67"/>
    <col collapsed="false" customWidth="true" hidden="false" outlineLevel="0" max="16" min="16" style="2" width="17.44"/>
    <col collapsed="false" customWidth="false" hidden="false" outlineLevel="0" max="1024" min="17" style="2" width="8.67"/>
  </cols>
  <sheetData>
    <row r="1" s="3" customFormat="true" ht="54" hidden="false" customHeight="true" outlineLevel="0" collapsed="false">
      <c r="B1" s="4" t="s">
        <v>0</v>
      </c>
      <c r="C1" s="5"/>
      <c r="D1" s="5"/>
      <c r="E1" s="6"/>
      <c r="F1" s="5"/>
      <c r="G1" s="5"/>
      <c r="H1" s="6"/>
      <c r="I1" s="5"/>
      <c r="J1" s="5"/>
      <c r="K1" s="7" t="s">
        <v>1</v>
      </c>
      <c r="L1" s="8" t="n">
        <v>2023</v>
      </c>
      <c r="M1" s="8"/>
      <c r="N1" s="8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4" s="11" customFormat="true" ht="19.5" hidden="false" customHeight="true" outlineLevel="0" collapsed="false">
      <c r="A4" s="9"/>
      <c r="B4" s="10" t="s">
        <v>2</v>
      </c>
      <c r="E4" s="10" t="s">
        <v>3</v>
      </c>
      <c r="H4" s="10" t="s">
        <v>4</v>
      </c>
      <c r="K4" s="10" t="s">
        <v>5</v>
      </c>
      <c r="N4" s="10" t="s">
        <v>6</v>
      </c>
      <c r="P4" s="2"/>
    </row>
    <row r="5" customFormat="false" ht="19.5" hidden="false" customHeight="true" outlineLevel="0" collapsed="false">
      <c r="B5" s="12"/>
      <c r="E5" s="12"/>
      <c r="H5" s="12"/>
      <c r="K5" s="12"/>
      <c r="N5" s="12"/>
    </row>
    <row r="6" customFormat="false" ht="19.5" hidden="false" customHeight="true" outlineLevel="0" collapsed="false">
      <c r="B6" s="12"/>
      <c r="E6" s="12"/>
      <c r="H6" s="12"/>
      <c r="K6" s="12"/>
      <c r="N6" s="12"/>
    </row>
    <row r="7" customFormat="false" ht="19.5" hidden="false" customHeight="true" outlineLevel="0" collapsed="false">
      <c r="B7" s="13"/>
      <c r="E7" s="13"/>
      <c r="H7" s="13"/>
      <c r="K7" s="13"/>
      <c r="N7" s="13"/>
    </row>
    <row r="8" customFormat="false" ht="19.5" hidden="false" customHeight="true" outlineLevel="0" collapsed="false">
      <c r="B8" s="14"/>
      <c r="E8" s="14"/>
      <c r="H8" s="14"/>
      <c r="K8" s="14"/>
      <c r="N8" s="14"/>
    </row>
  </sheetData>
  <mergeCells count="1">
    <mergeCell ref="L1:N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Q4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9.34375" defaultRowHeight="13.8" zeroHeight="false" outlineLevelRow="0" outlineLevelCol="0"/>
  <cols>
    <col collapsed="false" customWidth="true" hidden="false" outlineLevel="0" max="1" min="1" style="379" width="0.44"/>
    <col collapsed="false" customWidth="true" hidden="false" outlineLevel="0" max="2" min="2" style="379" width="24.34"/>
    <col collapsed="false" customWidth="true" hidden="false" outlineLevel="0" max="14" min="3" style="380" width="11.65"/>
    <col collapsed="false" customWidth="true" hidden="false" outlineLevel="0" max="15" min="15" style="379" width="0.67"/>
    <col collapsed="false" customWidth="false" hidden="false" outlineLevel="0" max="1024" min="16" style="379" width="9.33"/>
  </cols>
  <sheetData>
    <row r="1" s="381" customFormat="true" ht="50.1" hidden="false" customHeight="true" outlineLevel="0" collapsed="false">
      <c r="B1" s="382" t="s">
        <v>195</v>
      </c>
      <c r="C1" s="383"/>
      <c r="D1" s="383"/>
      <c r="E1" s="383"/>
      <c r="F1" s="383"/>
      <c r="G1" s="383"/>
      <c r="H1" s="383"/>
      <c r="I1" s="383"/>
      <c r="J1" s="383"/>
      <c r="K1" s="383"/>
      <c r="L1" s="384" t="s">
        <v>196</v>
      </c>
      <c r="M1" s="384"/>
      <c r="N1" s="385" t="s">
        <v>0</v>
      </c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  <c r="AC1" s="379"/>
      <c r="AD1" s="379"/>
      <c r="AE1" s="379"/>
      <c r="AF1" s="379"/>
      <c r="AG1" s="379"/>
      <c r="AH1" s="379"/>
      <c r="AI1" s="379"/>
      <c r="AJ1" s="379"/>
      <c r="AK1" s="379"/>
      <c r="AL1" s="379"/>
      <c r="AM1" s="379"/>
      <c r="AN1" s="379"/>
      <c r="AO1" s="379"/>
      <c r="AP1" s="379"/>
      <c r="AQ1" s="379"/>
    </row>
    <row r="2" s="386" customFormat="true" ht="25.2" hidden="false" customHeight="true" outlineLevel="0" collapsed="false">
      <c r="B2" s="387" t="s">
        <v>197</v>
      </c>
      <c r="C2" s="387" t="s">
        <v>198</v>
      </c>
      <c r="D2" s="387" t="s">
        <v>199</v>
      </c>
      <c r="E2" s="387" t="s">
        <v>200</v>
      </c>
      <c r="F2" s="387" t="s">
        <v>201</v>
      </c>
      <c r="G2" s="387" t="s">
        <v>202</v>
      </c>
      <c r="H2" s="387"/>
      <c r="I2" s="387"/>
      <c r="J2" s="387"/>
      <c r="K2" s="387"/>
      <c r="L2" s="387"/>
      <c r="M2" s="387"/>
      <c r="N2" s="387"/>
      <c r="O2" s="388"/>
    </row>
    <row r="3" s="389" customFormat="true" ht="19.2" hidden="false" customHeight="true" outlineLevel="0" collapsed="false">
      <c r="B3" s="389" t="s">
        <v>90</v>
      </c>
      <c r="C3" s="390" t="n">
        <v>0.05</v>
      </c>
      <c r="D3" s="390" t="n">
        <f aca="false">C3+5%</f>
        <v>0.1</v>
      </c>
      <c r="E3" s="390" t="n">
        <f aca="false">D3+5%</f>
        <v>0.15</v>
      </c>
      <c r="F3" s="390" t="n">
        <v>0.2</v>
      </c>
      <c r="G3" s="390" t="n">
        <v>0.25</v>
      </c>
      <c r="H3" s="386"/>
      <c r="I3" s="386"/>
      <c r="J3" s="386"/>
      <c r="K3" s="386"/>
      <c r="L3" s="386"/>
      <c r="M3" s="386"/>
      <c r="N3" s="386"/>
      <c r="O3" s="386"/>
    </row>
    <row r="4" s="389" customFormat="true" ht="19.2" hidden="false" customHeight="true" outlineLevel="0" collapsed="false">
      <c r="B4" s="389" t="s">
        <v>153</v>
      </c>
      <c r="C4" s="390" t="n">
        <v>0.05</v>
      </c>
      <c r="D4" s="390" t="n">
        <f aca="false">C4+5%</f>
        <v>0.1</v>
      </c>
      <c r="E4" s="390" t="n">
        <f aca="false">D4+5%</f>
        <v>0.15</v>
      </c>
      <c r="F4" s="390" t="n">
        <v>0.2</v>
      </c>
      <c r="G4" s="390" t="n">
        <v>0.25</v>
      </c>
      <c r="H4" s="386"/>
      <c r="I4" s="386"/>
      <c r="J4" s="386"/>
      <c r="K4" s="386"/>
      <c r="L4" s="386"/>
      <c r="M4" s="386"/>
      <c r="N4" s="386"/>
      <c r="O4" s="386"/>
    </row>
    <row r="5" s="389" customFormat="true" ht="19.2" hidden="false" customHeight="true" outlineLevel="0" collapsed="false">
      <c r="B5" s="389" t="s">
        <v>92</v>
      </c>
      <c r="C5" s="390" t="n">
        <v>0.01</v>
      </c>
      <c r="D5" s="390" t="n">
        <f aca="false">C5+4%</f>
        <v>0.05</v>
      </c>
      <c r="E5" s="390" t="n">
        <v>0.1</v>
      </c>
      <c r="F5" s="390" t="n">
        <v>0.1</v>
      </c>
      <c r="G5" s="390" t="n">
        <v>0.15</v>
      </c>
    </row>
    <row r="6" s="389" customFormat="true" ht="19.2" hidden="false" customHeight="true" outlineLevel="0" collapsed="false">
      <c r="B6" s="389" t="s">
        <v>203</v>
      </c>
      <c r="C6" s="391" t="n">
        <f aca="false">D6+3</f>
        <v>30</v>
      </c>
      <c r="D6" s="391" t="n">
        <f aca="false">E6+3</f>
        <v>27</v>
      </c>
      <c r="E6" s="391" t="n">
        <f aca="false">F6+3</f>
        <v>24</v>
      </c>
      <c r="F6" s="391" t="n">
        <f aca="false">G6+3</f>
        <v>21</v>
      </c>
      <c r="G6" s="391" t="n">
        <v>18</v>
      </c>
      <c r="L6" s="392"/>
    </row>
    <row r="7" s="389" customFormat="true" ht="19.2" hidden="false" customHeight="true" outlineLevel="0" collapsed="false">
      <c r="B7" s="389" t="s">
        <v>204</v>
      </c>
      <c r="C7" s="391" t="n">
        <f aca="false">D7+3</f>
        <v>30</v>
      </c>
      <c r="D7" s="391" t="n">
        <f aca="false">E7+3</f>
        <v>27</v>
      </c>
      <c r="E7" s="391" t="n">
        <f aca="false">F7+3</f>
        <v>24</v>
      </c>
      <c r="F7" s="391" t="n">
        <f aca="false">G7+3</f>
        <v>21</v>
      </c>
      <c r="G7" s="391" t="n">
        <v>18</v>
      </c>
    </row>
    <row r="8" s="389" customFormat="true" ht="19.2" hidden="false" customHeight="true" outlineLevel="0" collapsed="false"/>
    <row r="9" s="389" customFormat="true" ht="19.2" hidden="false" customHeight="true" outlineLevel="0" collapsed="false"/>
    <row r="10" s="389" customFormat="true" ht="19.2" hidden="false" customHeight="true" outlineLevel="0" collapsed="false">
      <c r="B10" s="389" t="s">
        <v>205</v>
      </c>
      <c r="C10" s="393" t="n">
        <f aca="false">Consolidado!AM6</f>
        <v>0.238373337453892</v>
      </c>
      <c r="D10" s="391"/>
      <c r="E10" s="391"/>
      <c r="F10" s="391"/>
      <c r="G10" s="391"/>
    </row>
    <row r="11" s="389" customFormat="true" ht="19.2" hidden="false" customHeight="true" outlineLevel="0" collapsed="false">
      <c r="B11" s="389" t="s">
        <v>139</v>
      </c>
      <c r="C11" s="393" t="n">
        <f aca="false">Consolidado!AM18</f>
        <v>0.0179252467580904</v>
      </c>
      <c r="D11" s="391"/>
      <c r="E11" s="391"/>
      <c r="F11" s="391"/>
      <c r="G11" s="391"/>
    </row>
    <row r="12" s="389" customFormat="true" ht="19.2" hidden="false" customHeight="true" outlineLevel="0" collapsed="false">
      <c r="C12" s="394" t="n">
        <f aca="false">IF(C11&lt;0,(-C11+C10),C11-C10)</f>
        <v>-0.220448090695802</v>
      </c>
    </row>
    <row r="13" s="389" customFormat="true" ht="19.2" hidden="false" customHeight="true" outlineLevel="0" collapsed="false"/>
    <row r="14" s="389" customFormat="true" ht="19.2" hidden="false" customHeight="true" outlineLevel="0" collapsed="false"/>
    <row r="15" s="389" customFormat="true" ht="19.2" hidden="false" customHeight="true" outlineLevel="0" collapsed="false"/>
    <row r="16" s="389" customFormat="true" ht="19.2" hidden="false" customHeight="true" outlineLevel="0" collapsed="false"/>
    <row r="17" s="389" customFormat="true" ht="19.2" hidden="false" customHeight="true" outlineLevel="0" collapsed="false"/>
    <row r="18" s="395" customFormat="true" ht="19.5" hidden="false" customHeight="true" outlineLevel="0" collapsed="false">
      <c r="B18" s="389"/>
      <c r="C18" s="389"/>
      <c r="D18" s="389"/>
      <c r="E18" s="389"/>
      <c r="F18" s="389"/>
      <c r="G18" s="389"/>
      <c r="H18" s="389"/>
      <c r="I18" s="389"/>
      <c r="J18" s="389"/>
      <c r="K18" s="396"/>
      <c r="L18" s="396"/>
      <c r="M18" s="396"/>
      <c r="N18" s="396"/>
    </row>
    <row r="19" s="397" customFormat="true" ht="13.8" hidden="false" customHeight="false" outlineLevel="0" collapsed="false">
      <c r="B19" s="396"/>
      <c r="C19" s="396"/>
      <c r="D19" s="396"/>
      <c r="E19" s="396"/>
      <c r="F19" s="396"/>
      <c r="G19" s="395"/>
      <c r="H19" s="395"/>
      <c r="I19" s="395"/>
      <c r="J19" s="395"/>
      <c r="K19" s="398"/>
      <c r="L19" s="398"/>
      <c r="M19" s="398"/>
      <c r="N19" s="398"/>
    </row>
    <row r="20" s="397" customFormat="true" ht="13.8" hidden="false" customHeight="false" outlineLevel="0" collapsed="false">
      <c r="B20" s="398"/>
      <c r="C20" s="398"/>
      <c r="D20" s="398"/>
      <c r="E20" s="398"/>
      <c r="F20" s="398"/>
      <c r="K20" s="398"/>
      <c r="L20" s="398"/>
      <c r="M20" s="398"/>
      <c r="N20" s="398"/>
    </row>
    <row r="21" s="397" customFormat="true" ht="13.8" hidden="false" customHeight="false" outlineLevel="0" collapsed="false">
      <c r="G21" s="398"/>
      <c r="H21" s="398"/>
      <c r="I21" s="398"/>
      <c r="J21" s="398"/>
      <c r="K21" s="398"/>
      <c r="L21" s="398"/>
      <c r="M21" s="398"/>
      <c r="N21" s="398"/>
    </row>
    <row r="22" s="397" customFormat="true" ht="13.8" hidden="false" customHeight="false" outlineLevel="0" collapsed="false">
      <c r="G22" s="398" t="n">
        <f aca="false">IF(G6="Pago",0,1)</f>
        <v>1</v>
      </c>
      <c r="H22" s="398" t="n">
        <f aca="false">IF(H6="Pago",0,1)</f>
        <v>1</v>
      </c>
      <c r="I22" s="398" t="n">
        <f aca="false">IF(I6="Pago",0,1)</f>
        <v>1</v>
      </c>
      <c r="J22" s="398" t="n">
        <f aca="false">IF(J6="Pago",0,1)</f>
        <v>1</v>
      </c>
      <c r="K22" s="398" t="n">
        <f aca="false">IF(K6="Pago",0,1)</f>
        <v>1</v>
      </c>
      <c r="L22" s="398" t="n">
        <f aca="false">IF(L6="Pago",0,1)</f>
        <v>1</v>
      </c>
      <c r="M22" s="398" t="n">
        <f aca="false">IF(M6="Pago",0,1)</f>
        <v>1</v>
      </c>
      <c r="N22" s="398" t="n">
        <f aca="false">IF(N6="Pago",0,1)</f>
        <v>1</v>
      </c>
    </row>
    <row r="23" s="397" customFormat="true" ht="13.8" hidden="false" customHeight="false" outlineLevel="0" collapsed="false">
      <c r="G23" s="398" t="n">
        <f aca="false">IF(G7="Pago",0,1)</f>
        <v>1</v>
      </c>
      <c r="H23" s="398" t="n">
        <f aca="false">IF(H7="Pago",0,1)</f>
        <v>1</v>
      </c>
      <c r="I23" s="398" t="n">
        <f aca="false">IF(I7="Pago",0,1)</f>
        <v>1</v>
      </c>
      <c r="J23" s="398" t="n">
        <f aca="false">IF(J7="Pago",0,1)</f>
        <v>1</v>
      </c>
      <c r="K23" s="398" t="n">
        <f aca="false">IF(K7="Pago",0,1)</f>
        <v>1</v>
      </c>
      <c r="L23" s="398" t="n">
        <f aca="false">IF(L7="Pago",0,1)</f>
        <v>1</v>
      </c>
      <c r="M23" s="398" t="n">
        <f aca="false">IF(M7="Pago",0,1)</f>
        <v>1</v>
      </c>
      <c r="N23" s="398" t="n">
        <f aca="false">IF(N7="Pago",0,1)</f>
        <v>1</v>
      </c>
    </row>
    <row r="24" s="397" customFormat="true" ht="13.8" hidden="false" customHeight="false" outlineLevel="0" collapsed="false">
      <c r="G24" s="398" t="n">
        <f aca="false">IF(G8="Pago",0,1)</f>
        <v>1</v>
      </c>
      <c r="H24" s="398" t="n">
        <f aca="false">IF(H8="Pago",0,1)</f>
        <v>1</v>
      </c>
      <c r="I24" s="398" t="n">
        <f aca="false">IF(I8="Pago",0,1)</f>
        <v>1</v>
      </c>
      <c r="J24" s="398" t="n">
        <f aca="false">IF(J8="Pago",0,1)</f>
        <v>1</v>
      </c>
      <c r="K24" s="398" t="n">
        <f aca="false">IF(K8="Pago",0,1)</f>
        <v>1</v>
      </c>
      <c r="L24" s="398" t="n">
        <f aca="false">IF(L8="Pago",0,1)</f>
        <v>1</v>
      </c>
      <c r="M24" s="398" t="n">
        <f aca="false">IF(M8="Pago",0,1)</f>
        <v>1</v>
      </c>
      <c r="N24" s="398" t="n">
        <f aca="false">IF(N8="Pago",0,1)</f>
        <v>1</v>
      </c>
    </row>
    <row r="25" s="397" customFormat="true" ht="13.8" hidden="false" customHeight="false" outlineLevel="0" collapsed="false">
      <c r="C25" s="398" t="n">
        <f aca="false">IF(C9="Pago",0,1)</f>
        <v>1</v>
      </c>
      <c r="D25" s="398" t="n">
        <f aca="false">IF(D9="Pago",0,1)</f>
        <v>1</v>
      </c>
      <c r="E25" s="398" t="n">
        <f aca="false">IF(E9="Pago",0,1)</f>
        <v>1</v>
      </c>
      <c r="F25" s="398" t="n">
        <f aca="false">IF(F9="Pago",0,1)</f>
        <v>1</v>
      </c>
      <c r="G25" s="398" t="n">
        <f aca="false">IF(G9="Pago",0,1)</f>
        <v>1</v>
      </c>
      <c r="H25" s="398" t="n">
        <f aca="false">IF(H9="Pago",0,1)</f>
        <v>1</v>
      </c>
      <c r="I25" s="398" t="n">
        <f aca="false">IF(I9="Pago",0,1)</f>
        <v>1</v>
      </c>
      <c r="J25" s="398" t="n">
        <f aca="false">IF(J9="Pago",0,1)</f>
        <v>1</v>
      </c>
      <c r="K25" s="398" t="n">
        <f aca="false">IF(K9="Pago",0,1)</f>
        <v>1</v>
      </c>
      <c r="L25" s="398" t="n">
        <f aca="false">IF(L9="Pago",0,1)</f>
        <v>1</v>
      </c>
      <c r="M25" s="398" t="n">
        <f aca="false">IF(M9="Pago",0,1)</f>
        <v>1</v>
      </c>
      <c r="N25" s="398" t="n">
        <f aca="false">IF(N9="Pago",0,1)</f>
        <v>1</v>
      </c>
    </row>
    <row r="26" s="397" customFormat="true" ht="13.8" hidden="false" customHeight="false" outlineLevel="0" collapsed="false">
      <c r="C26" s="398" t="n">
        <f aca="false">IF(C10="Pago",0,1)</f>
        <v>1</v>
      </c>
      <c r="D26" s="398" t="n">
        <f aca="false">IF(D10="Pago",0,1)</f>
        <v>1</v>
      </c>
      <c r="E26" s="398" t="n">
        <f aca="false">IF(E10="Pago",0,1)</f>
        <v>1</v>
      </c>
      <c r="F26" s="398" t="n">
        <f aca="false">IF(F10="Pago",0,1)</f>
        <v>1</v>
      </c>
      <c r="G26" s="398" t="n">
        <f aca="false">IF(G10="Pago",0,1)</f>
        <v>1</v>
      </c>
      <c r="H26" s="398" t="n">
        <f aca="false">IF(H10="Pago",0,1)</f>
        <v>1</v>
      </c>
      <c r="I26" s="398" t="n">
        <f aca="false">IF(I10="Pago",0,1)</f>
        <v>1</v>
      </c>
      <c r="J26" s="398" t="n">
        <f aca="false">IF(J10="Pago",0,1)</f>
        <v>1</v>
      </c>
      <c r="K26" s="398" t="n">
        <f aca="false">IF(K10="Pago",0,1)</f>
        <v>1</v>
      </c>
      <c r="L26" s="398" t="n">
        <f aca="false">IF(L10="Pago",0,1)</f>
        <v>1</v>
      </c>
      <c r="M26" s="398" t="n">
        <f aca="false">IF(M10="Pago",0,1)</f>
        <v>1</v>
      </c>
      <c r="N26" s="398" t="n">
        <f aca="false">IF(N10="Pago",0,1)</f>
        <v>1</v>
      </c>
    </row>
    <row r="27" s="397" customFormat="true" ht="13.8" hidden="false" customHeight="false" outlineLevel="0" collapsed="false">
      <c r="C27" s="398" t="n">
        <f aca="false">IF(C11="Pago",0,1)</f>
        <v>1</v>
      </c>
      <c r="D27" s="398" t="n">
        <f aca="false">IF(D11="Pago",0,1)</f>
        <v>1</v>
      </c>
      <c r="E27" s="398" t="n">
        <f aca="false">IF(E11="Pago",0,1)</f>
        <v>1</v>
      </c>
      <c r="F27" s="398" t="n">
        <f aca="false">IF(F11="Pago",0,1)</f>
        <v>1</v>
      </c>
      <c r="G27" s="398" t="n">
        <f aca="false">IF(G11="Pago",0,1)</f>
        <v>1</v>
      </c>
      <c r="H27" s="398" t="n">
        <f aca="false">IF(H11="Pago",0,1)</f>
        <v>1</v>
      </c>
      <c r="I27" s="398" t="n">
        <f aca="false">IF(I11="Pago",0,1)</f>
        <v>1</v>
      </c>
      <c r="J27" s="398" t="n">
        <f aca="false">IF(J11="Pago",0,1)</f>
        <v>1</v>
      </c>
      <c r="K27" s="398" t="n">
        <f aca="false">IF(K11="Pago",0,1)</f>
        <v>1</v>
      </c>
      <c r="L27" s="398" t="n">
        <f aca="false">IF(L11="Pago",0,1)</f>
        <v>1</v>
      </c>
      <c r="M27" s="398" t="n">
        <f aca="false">IF(M11="Pago",0,1)</f>
        <v>1</v>
      </c>
      <c r="N27" s="398" t="n">
        <f aca="false">IF(N11="Pago",0,1)</f>
        <v>1</v>
      </c>
    </row>
    <row r="28" s="397" customFormat="true" ht="13.8" hidden="false" customHeight="false" outlineLevel="0" collapsed="false">
      <c r="C28" s="398" t="n">
        <f aca="false">IF(C12="Pago",0,1)</f>
        <v>1</v>
      </c>
      <c r="D28" s="398" t="n">
        <f aca="false">IF(D12="Pago",0,1)</f>
        <v>1</v>
      </c>
      <c r="E28" s="398" t="n">
        <f aca="false">IF(E12="Pago",0,1)</f>
        <v>1</v>
      </c>
      <c r="F28" s="398" t="n">
        <f aca="false">IF(F12="Pago",0,1)</f>
        <v>1</v>
      </c>
      <c r="G28" s="398" t="n">
        <f aca="false">IF(G12="Pago",0,1)</f>
        <v>1</v>
      </c>
      <c r="H28" s="398" t="n">
        <f aca="false">IF(H12="Pago",0,1)</f>
        <v>1</v>
      </c>
      <c r="I28" s="398" t="n">
        <f aca="false">IF(I12="Pago",0,1)</f>
        <v>1</v>
      </c>
      <c r="J28" s="398" t="n">
        <f aca="false">IF(J12="Pago",0,1)</f>
        <v>1</v>
      </c>
      <c r="K28" s="398" t="n">
        <f aca="false">IF(K12="Pago",0,1)</f>
        <v>1</v>
      </c>
      <c r="L28" s="398" t="n">
        <f aca="false">IF(L12="Pago",0,1)</f>
        <v>1</v>
      </c>
      <c r="M28" s="398" t="n">
        <f aca="false">IF(M12="Pago",0,1)</f>
        <v>1</v>
      </c>
      <c r="N28" s="398" t="n">
        <f aca="false">IF(N12="Pago",0,1)</f>
        <v>1</v>
      </c>
    </row>
    <row r="29" s="397" customFormat="true" ht="13.8" hidden="false" customHeight="false" outlineLevel="0" collapsed="false">
      <c r="C29" s="398" t="n">
        <f aca="false">IF(C13="Pago",0,1)</f>
        <v>1</v>
      </c>
      <c r="D29" s="398" t="n">
        <f aca="false">IF(D13="Pago",0,1)</f>
        <v>1</v>
      </c>
      <c r="E29" s="398" t="n">
        <f aca="false">IF(E13="Pago",0,1)</f>
        <v>1</v>
      </c>
      <c r="F29" s="398" t="n">
        <f aca="false">IF(F13="Pago",0,1)</f>
        <v>1</v>
      </c>
      <c r="G29" s="398" t="n">
        <f aca="false">IF(G13="Pago",0,1)</f>
        <v>1</v>
      </c>
      <c r="H29" s="398" t="n">
        <f aca="false">IF(H13="Pago",0,1)</f>
        <v>1</v>
      </c>
      <c r="I29" s="398" t="n">
        <f aca="false">IF(I13="Pago",0,1)</f>
        <v>1</v>
      </c>
      <c r="J29" s="398" t="n">
        <f aca="false">IF(J13="Pago",0,1)</f>
        <v>1</v>
      </c>
      <c r="K29" s="398" t="n">
        <f aca="false">IF(K13="Pago",0,1)</f>
        <v>1</v>
      </c>
      <c r="L29" s="398" t="n">
        <f aca="false">IF(L13="Pago",0,1)</f>
        <v>1</v>
      </c>
      <c r="M29" s="398" t="n">
        <f aca="false">IF(M13="Pago",0,1)</f>
        <v>1</v>
      </c>
      <c r="N29" s="398" t="n">
        <f aca="false">IF(N13="Pago",0,1)</f>
        <v>1</v>
      </c>
    </row>
    <row r="30" s="397" customFormat="true" ht="13.8" hidden="false" customHeight="false" outlineLevel="0" collapsed="false">
      <c r="C30" s="398" t="n">
        <f aca="false">IF(C14="Pago",0,1)</f>
        <v>1</v>
      </c>
      <c r="D30" s="398" t="n">
        <f aca="false">IF(D14="Pago",0,1)</f>
        <v>1</v>
      </c>
      <c r="E30" s="398" t="n">
        <f aca="false">IF(E14="Pago",0,1)</f>
        <v>1</v>
      </c>
      <c r="F30" s="398" t="n">
        <f aca="false">IF(F14="Pago",0,1)</f>
        <v>1</v>
      </c>
      <c r="G30" s="398" t="n">
        <f aca="false">IF(G14="Pago",0,1)</f>
        <v>1</v>
      </c>
      <c r="H30" s="398" t="n">
        <f aca="false">IF(H14="Pago",0,1)</f>
        <v>1</v>
      </c>
      <c r="I30" s="398" t="n">
        <f aca="false">IF(I14="Pago",0,1)</f>
        <v>1</v>
      </c>
      <c r="J30" s="398" t="n">
        <f aca="false">IF(J14="Pago",0,1)</f>
        <v>1</v>
      </c>
      <c r="K30" s="398" t="n">
        <f aca="false">IF(K14="Pago",0,1)</f>
        <v>1</v>
      </c>
      <c r="L30" s="398" t="n">
        <f aca="false">IF(L14="Pago",0,1)</f>
        <v>1</v>
      </c>
      <c r="M30" s="398" t="n">
        <f aca="false">IF(M14="Pago",0,1)</f>
        <v>1</v>
      </c>
      <c r="N30" s="398" t="n">
        <f aca="false">IF(N14="Pago",0,1)</f>
        <v>1</v>
      </c>
    </row>
    <row r="31" s="397" customFormat="true" ht="13.8" hidden="false" customHeight="false" outlineLevel="0" collapsed="false">
      <c r="C31" s="398" t="n">
        <f aca="false">IF(C16="Pago",0,1)</f>
        <v>1</v>
      </c>
      <c r="D31" s="398" t="n">
        <f aca="false">IF(D16="Pago",0,1)</f>
        <v>1</v>
      </c>
      <c r="E31" s="398" t="n">
        <f aca="false">IF(E16="Pago",0,1)</f>
        <v>1</v>
      </c>
      <c r="F31" s="398" t="n">
        <f aca="false">IF(F16="Pago",0,1)</f>
        <v>1</v>
      </c>
      <c r="G31" s="398" t="n">
        <f aca="false">IF(G16="Pago",0,1)</f>
        <v>1</v>
      </c>
      <c r="H31" s="398" t="n">
        <f aca="false">IF(H16="Pago",0,1)</f>
        <v>1</v>
      </c>
      <c r="I31" s="398" t="n">
        <f aca="false">IF(I16="Pago",0,1)</f>
        <v>1</v>
      </c>
      <c r="J31" s="398" t="n">
        <f aca="false">IF(J16="Pago",0,1)</f>
        <v>1</v>
      </c>
      <c r="K31" s="398" t="n">
        <f aca="false">IF(K16="Pago",0,1)</f>
        <v>1</v>
      </c>
      <c r="L31" s="398" t="n">
        <f aca="false">IF(L16="Pago",0,1)</f>
        <v>1</v>
      </c>
      <c r="M31" s="398" t="n">
        <f aca="false">IF(M16="Pago",0,1)</f>
        <v>1</v>
      </c>
      <c r="N31" s="398" t="n">
        <f aca="false">IF(N16="Pago",0,1)</f>
        <v>1</v>
      </c>
    </row>
    <row r="32" s="397" customFormat="true" ht="13.8" hidden="false" customHeight="false" outlineLevel="0" collapsed="false">
      <c r="C32" s="398" t="n">
        <f aca="false">IF(C17="Pago",0,1)</f>
        <v>1</v>
      </c>
      <c r="D32" s="398" t="n">
        <f aca="false">IF(D17="Pago",0,1)</f>
        <v>1</v>
      </c>
      <c r="E32" s="398" t="n">
        <f aca="false">IF(E17="Pago",0,1)</f>
        <v>1</v>
      </c>
      <c r="F32" s="398" t="n">
        <f aca="false">IF(F17="Pago",0,1)</f>
        <v>1</v>
      </c>
      <c r="G32" s="398" t="n">
        <f aca="false">IF(G17="Pago",0,1)</f>
        <v>1</v>
      </c>
      <c r="H32" s="398" t="n">
        <f aca="false">IF(H17="Pago",0,1)</f>
        <v>1</v>
      </c>
      <c r="I32" s="398" t="n">
        <f aca="false">IF(I17="Pago",0,1)</f>
        <v>1</v>
      </c>
      <c r="J32" s="398" t="n">
        <f aca="false">IF(J17="Pago",0,1)</f>
        <v>1</v>
      </c>
      <c r="K32" s="398" t="n">
        <f aca="false">IF(K17="Pago",0,1)</f>
        <v>1</v>
      </c>
      <c r="L32" s="398" t="n">
        <f aca="false">IF(L17="Pago",0,1)</f>
        <v>1</v>
      </c>
      <c r="M32" s="398" t="n">
        <f aca="false">IF(M17="Pago",0,1)</f>
        <v>1</v>
      </c>
      <c r="N32" s="398" t="n">
        <f aca="false">IF(N17="Pago",0,1)</f>
        <v>1</v>
      </c>
    </row>
    <row r="33" s="397" customFormat="true" ht="13.8" hidden="false" customHeight="false" outlineLevel="0" collapsed="false">
      <c r="C33" s="398"/>
      <c r="D33" s="398"/>
      <c r="E33" s="398"/>
      <c r="F33" s="398"/>
      <c r="G33" s="398"/>
      <c r="H33" s="398"/>
      <c r="I33" s="398"/>
      <c r="J33" s="398"/>
      <c r="K33" s="398"/>
      <c r="L33" s="398"/>
      <c r="M33" s="398"/>
      <c r="N33" s="398"/>
    </row>
    <row r="34" s="397" customFormat="true" ht="13.8" hidden="false" customHeight="false" outlineLevel="0" collapsed="false">
      <c r="C34" s="398" t="n">
        <f aca="false">IF(SUM(C20:C32)=0,0,1)</f>
        <v>1</v>
      </c>
      <c r="D34" s="398" t="n">
        <f aca="false">IF(SUM(D20:D32)=0,0,1)</f>
        <v>1</v>
      </c>
      <c r="E34" s="398" t="n">
        <f aca="false">IF(SUM(E20:E32)=0,0,1)</f>
        <v>1</v>
      </c>
      <c r="F34" s="398" t="n">
        <f aca="false">IF(SUM(F20:F32)=0,0,1)</f>
        <v>1</v>
      </c>
      <c r="G34" s="398" t="n">
        <f aca="false">IF(SUM(G20:G32)=0,0,1)</f>
        <v>1</v>
      </c>
      <c r="H34" s="398" t="n">
        <f aca="false">IF(SUM(H20:H32)=0,0,1)</f>
        <v>1</v>
      </c>
      <c r="I34" s="398" t="n">
        <f aca="false">IF(SUM(I20:I32)=0,0,1)</f>
        <v>1</v>
      </c>
      <c r="J34" s="398" t="n">
        <f aca="false">IF(SUM(J20:J32)=0,0,1)</f>
        <v>1</v>
      </c>
      <c r="K34" s="398" t="n">
        <f aca="false">IF(SUM(K20:K32)=0,0,1)</f>
        <v>1</v>
      </c>
      <c r="L34" s="398" t="n">
        <f aca="false">IF(SUM(L20:L32)=0,0,1)</f>
        <v>1</v>
      </c>
      <c r="M34" s="398" t="n">
        <f aca="false">IF(SUM(M20:M32)=0,0,1)</f>
        <v>1</v>
      </c>
      <c r="N34" s="398" t="n">
        <f aca="false">IF(SUM(N20:N32)=0,0,1)</f>
        <v>1</v>
      </c>
    </row>
    <row r="35" s="397" customFormat="true" ht="13.8" hidden="false" customHeight="false" outlineLevel="0" collapsed="false">
      <c r="C35" s="398"/>
      <c r="D35" s="398"/>
      <c r="E35" s="398"/>
      <c r="F35" s="398"/>
      <c r="G35" s="398"/>
      <c r="H35" s="398"/>
      <c r="I35" s="398"/>
      <c r="J35" s="398"/>
      <c r="K35" s="398"/>
      <c r="L35" s="398"/>
      <c r="M35" s="398"/>
      <c r="N35" s="398"/>
    </row>
    <row r="36" s="397" customFormat="true" ht="13.8" hidden="false" customHeight="false" outlineLevel="0" collapsed="false">
      <c r="C36" s="398"/>
      <c r="D36" s="398"/>
      <c r="E36" s="398"/>
      <c r="F36" s="398"/>
      <c r="G36" s="398"/>
      <c r="H36" s="398"/>
      <c r="I36" s="398"/>
      <c r="J36" s="398"/>
      <c r="K36" s="398"/>
      <c r="L36" s="398"/>
      <c r="M36" s="398"/>
      <c r="N36" s="398"/>
    </row>
    <row r="37" s="397" customFormat="true" ht="13.8" hidden="false" customHeight="false" outlineLevel="0" collapsed="false">
      <c r="C37" s="398"/>
      <c r="D37" s="398"/>
      <c r="E37" s="398"/>
      <c r="F37" s="398"/>
      <c r="G37" s="398"/>
      <c r="H37" s="398"/>
      <c r="I37" s="398"/>
      <c r="J37" s="398"/>
      <c r="K37" s="398"/>
      <c r="L37" s="398"/>
      <c r="M37" s="398"/>
      <c r="N37" s="398"/>
    </row>
    <row r="38" s="397" customFormat="true" ht="13.8" hidden="false" customHeight="false" outlineLevel="0" collapsed="false">
      <c r="C38" s="398"/>
      <c r="D38" s="398"/>
      <c r="E38" s="398"/>
      <c r="F38" s="398"/>
      <c r="G38" s="398"/>
      <c r="H38" s="398"/>
      <c r="I38" s="398"/>
      <c r="J38" s="398"/>
      <c r="K38" s="398"/>
      <c r="L38" s="398"/>
      <c r="M38" s="398"/>
      <c r="N38" s="398"/>
    </row>
    <row r="39" s="397" customFormat="true" ht="13.8" hidden="false" customHeight="false" outlineLevel="0" collapsed="false">
      <c r="C39" s="398"/>
      <c r="D39" s="398"/>
      <c r="E39" s="398"/>
      <c r="F39" s="398"/>
      <c r="G39" s="398"/>
      <c r="H39" s="398"/>
      <c r="I39" s="398"/>
      <c r="J39" s="398"/>
      <c r="K39" s="398"/>
      <c r="L39" s="398"/>
      <c r="M39" s="398"/>
      <c r="N39" s="398"/>
    </row>
    <row r="40" s="397" customFormat="true" ht="13.8" hidden="false" customHeight="false" outlineLevel="0" collapsed="false">
      <c r="C40" s="398"/>
      <c r="D40" s="398"/>
      <c r="E40" s="398"/>
      <c r="F40" s="398"/>
      <c r="G40" s="398"/>
      <c r="H40" s="398"/>
      <c r="I40" s="398"/>
      <c r="J40" s="398"/>
      <c r="K40" s="398"/>
      <c r="L40" s="398"/>
      <c r="M40" s="398"/>
      <c r="N40" s="398"/>
    </row>
    <row r="41" s="397" customFormat="true" ht="13.8" hidden="false" customHeight="false" outlineLevel="0" collapsed="false">
      <c r="C41" s="398"/>
      <c r="D41" s="398"/>
      <c r="E41" s="398"/>
      <c r="F41" s="398"/>
      <c r="G41" s="398"/>
      <c r="H41" s="398"/>
      <c r="I41" s="398"/>
      <c r="J41" s="398"/>
      <c r="K41" s="398"/>
      <c r="L41" s="398"/>
      <c r="M41" s="398"/>
      <c r="N41" s="398"/>
    </row>
    <row r="42" s="397" customFormat="true" ht="13.8" hidden="false" customHeight="false" outlineLevel="0" collapsed="false">
      <c r="C42" s="398"/>
      <c r="D42" s="398"/>
      <c r="E42" s="398"/>
      <c r="F42" s="398"/>
      <c r="G42" s="398"/>
      <c r="H42" s="398"/>
      <c r="I42" s="398"/>
      <c r="J42" s="398"/>
      <c r="K42" s="398"/>
      <c r="L42" s="398"/>
      <c r="M42" s="398"/>
      <c r="N42" s="398"/>
    </row>
    <row r="43" s="386" customFormat="true" ht="13.8" hidden="false" customHeight="false" outlineLevel="0" collapsed="false">
      <c r="C43" s="399"/>
      <c r="D43" s="399"/>
      <c r="E43" s="399"/>
      <c r="F43" s="399"/>
      <c r="G43" s="399"/>
      <c r="H43" s="399"/>
      <c r="I43" s="399"/>
      <c r="J43" s="399"/>
      <c r="K43" s="399"/>
      <c r="L43" s="399"/>
      <c r="M43" s="399"/>
      <c r="N43" s="399"/>
    </row>
    <row r="44" s="386" customFormat="true" ht="13.8" hidden="false" customHeight="false" outlineLevel="0" collapsed="false"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</row>
    <row r="45" s="386" customFormat="true" ht="13.8" hidden="false" customHeight="false" outlineLevel="0" collapsed="false"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</row>
    <row r="46" s="386" customFormat="true" ht="13.8" hidden="false" customHeight="false" outlineLevel="0" collapsed="false"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</row>
  </sheetData>
  <mergeCells count="1">
    <mergeCell ref="L1:M1"/>
  </mergeCells>
  <conditionalFormatting sqref="G8">
    <cfRule type="cellIs" priority="2" operator="equal" aboveAverage="0" equalAverage="0" bottom="0" percent="0" rank="0" text="" dxfId="56">
      <formula>"Aberto"</formula>
    </cfRule>
    <cfRule type="cellIs" priority="3" operator="equal" aboveAverage="0" equalAverage="0" bottom="0" percent="0" rank="0" text="" dxfId="57">
      <formula>"Pago"</formula>
    </cfRule>
  </conditionalFormatting>
  <conditionalFormatting sqref="G13">
    <cfRule type="cellIs" priority="4" operator="equal" aboveAverage="0" equalAverage="0" bottom="0" percent="0" rank="0" text="" dxfId="58">
      <formula>"Aberto"</formula>
    </cfRule>
    <cfRule type="cellIs" priority="5" operator="equal" aboveAverage="0" equalAverage="0" bottom="0" percent="0" rank="0" text="" dxfId="59">
      <formula>"Pago"</formula>
    </cfRule>
  </conditionalFormatting>
  <conditionalFormatting sqref="G9">
    <cfRule type="cellIs" priority="6" operator="equal" aboveAverage="0" equalAverage="0" bottom="0" percent="0" rank="0" text="" dxfId="60">
      <formula>"Aberto"</formula>
    </cfRule>
    <cfRule type="cellIs" priority="7" operator="equal" aboveAverage="0" equalAverage="0" bottom="0" percent="0" rank="0" text="" dxfId="61">
      <formula>"Pago"</formula>
    </cfRule>
  </conditionalFormatting>
  <conditionalFormatting sqref="G15">
    <cfRule type="cellIs" priority="8" operator="equal" aboveAverage="0" equalAverage="0" bottom="0" percent="0" rank="0" text="" dxfId="62">
      <formula>"Aberto"</formula>
    </cfRule>
    <cfRule type="cellIs" priority="9" operator="equal" aboveAverage="0" equalAverage="0" bottom="0" percent="0" rank="0" text="" dxfId="63">
      <formula>"Pago"</formula>
    </cfRule>
  </conditionalFormatting>
  <conditionalFormatting sqref="G14">
    <cfRule type="cellIs" priority="10" operator="equal" aboveAverage="0" equalAverage="0" bottom="0" percent="0" rank="0" text="" dxfId="64">
      <formula>"Aberto"</formula>
    </cfRule>
    <cfRule type="cellIs" priority="11" operator="equal" aboveAverage="0" equalAverage="0" bottom="0" percent="0" rank="0" text="" dxfId="65">
      <formula>"Pago"</formula>
    </cfRule>
  </conditionalFormatting>
  <conditionalFormatting sqref="G16">
    <cfRule type="cellIs" priority="12" operator="equal" aboveAverage="0" equalAverage="0" bottom="0" percent="0" rank="0" text="" dxfId="66">
      <formula>"Aberto"</formula>
    </cfRule>
    <cfRule type="cellIs" priority="13" operator="equal" aboveAverage="0" equalAverage="0" bottom="0" percent="0" rank="0" text="" dxfId="67">
      <formula>"Pago"</formula>
    </cfRule>
  </conditionalFormatting>
  <conditionalFormatting sqref="G12">
    <cfRule type="cellIs" priority="14" operator="equal" aboveAverage="0" equalAverage="0" bottom="0" percent="0" rank="0" text="" dxfId="68">
      <formula>"Aberto"</formula>
    </cfRule>
    <cfRule type="cellIs" priority="15" operator="equal" aboveAverage="0" equalAverage="0" bottom="0" percent="0" rank="0" text="" dxfId="69">
      <formula>"Pago"</formula>
    </cfRule>
  </conditionalFormatting>
  <conditionalFormatting sqref="G17">
    <cfRule type="cellIs" priority="16" operator="equal" aboveAverage="0" equalAverage="0" bottom="0" percent="0" rank="0" text="" dxfId="70">
      <formula>"Aberto"</formula>
    </cfRule>
    <cfRule type="cellIs" priority="17" operator="equal" aboveAverage="0" equalAverage="0" bottom="0" percent="0" rank="0" text="" dxfId="71">
      <formula>"Pago"</formula>
    </cfRule>
  </conditionalFormatting>
  <hyperlinks>
    <hyperlink ref="N1" location="'Menu'!A1" display="MENU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2"/>
  <sheetViews>
    <sheetView showFormulas="false" showGridLines="true" showRowColHeaders="true" showZeros="true" rightToLeft="false" tabSelected="false" showOutlineSymbols="true" defaultGridColor="true" view="normal" topLeftCell="A132" colorId="64" zoomScale="100" zoomScaleNormal="100" zoomScalePageLayoutView="100" workbookViewId="0">
      <selection pane="topLeft" activeCell="Y158" activeCellId="0" sqref="Y158"/>
    </sheetView>
  </sheetViews>
  <sheetFormatPr defaultColWidth="8.90234375" defaultRowHeight="13.2" zeroHeight="false" outlineLevelRow="0" outlineLevelCol="0"/>
  <cols>
    <col collapsed="false" customWidth="true" hidden="false" outlineLevel="0" max="1" min="1" style="400" width="14.35"/>
    <col collapsed="false" customWidth="true" hidden="false" outlineLevel="0" max="2" min="2" style="400" width="13.55"/>
    <col collapsed="false" customWidth="true" hidden="false" outlineLevel="0" max="6" min="3" style="401" width="7.67"/>
    <col collapsed="false" customWidth="true" hidden="false" outlineLevel="0" max="8" min="7" style="400" width="3.33"/>
    <col collapsed="false" customWidth="true" hidden="false" outlineLevel="0" max="12" min="9" style="401" width="7.67"/>
    <col collapsed="false" customWidth="true" hidden="false" outlineLevel="0" max="14" min="13" style="400" width="3.33"/>
    <col collapsed="false" customWidth="true" hidden="false" outlineLevel="0" max="18" min="15" style="401" width="7.67"/>
    <col collapsed="false" customWidth="true" hidden="false" outlineLevel="0" max="19" min="19" style="400" width="3.33"/>
    <col collapsed="false" customWidth="false" hidden="false" outlineLevel="0" max="20" min="20" style="401" width="8.89"/>
    <col collapsed="false" customWidth="true" hidden="false" outlineLevel="0" max="21" min="21" style="401" width="10.89"/>
    <col collapsed="false" customWidth="false" hidden="false" outlineLevel="0" max="23" min="22" style="401" width="8.89"/>
    <col collapsed="false" customWidth="true" hidden="false" outlineLevel="0" max="24" min="24" style="401" width="11.65"/>
    <col collapsed="false" customWidth="false" hidden="false" outlineLevel="0" max="257" min="25" style="401" width="8.89"/>
    <col collapsed="false" customWidth="true" hidden="false" outlineLevel="0" max="258" min="258" style="401" width="13.55"/>
    <col collapsed="false" customWidth="true" hidden="false" outlineLevel="0" max="262" min="259" style="401" width="7.67"/>
    <col collapsed="false" customWidth="true" hidden="false" outlineLevel="0" max="264" min="263" style="401" width="3.33"/>
    <col collapsed="false" customWidth="true" hidden="false" outlineLevel="0" max="268" min="265" style="401" width="7.67"/>
    <col collapsed="false" customWidth="true" hidden="false" outlineLevel="0" max="270" min="269" style="401" width="3.33"/>
    <col collapsed="false" customWidth="true" hidden="false" outlineLevel="0" max="274" min="271" style="401" width="7.67"/>
    <col collapsed="false" customWidth="false" hidden="false" outlineLevel="0" max="276" min="275" style="401" width="8.89"/>
    <col collapsed="false" customWidth="true" hidden="false" outlineLevel="0" max="277" min="277" style="401" width="10.89"/>
    <col collapsed="false" customWidth="false" hidden="false" outlineLevel="0" max="513" min="278" style="401" width="8.89"/>
    <col collapsed="false" customWidth="true" hidden="false" outlineLevel="0" max="514" min="514" style="401" width="13.55"/>
    <col collapsed="false" customWidth="true" hidden="false" outlineLevel="0" max="518" min="515" style="401" width="7.67"/>
    <col collapsed="false" customWidth="true" hidden="false" outlineLevel="0" max="520" min="519" style="401" width="3.33"/>
    <col collapsed="false" customWidth="true" hidden="false" outlineLevel="0" max="524" min="521" style="401" width="7.67"/>
    <col collapsed="false" customWidth="true" hidden="false" outlineLevel="0" max="526" min="525" style="401" width="3.33"/>
    <col collapsed="false" customWidth="true" hidden="false" outlineLevel="0" max="530" min="527" style="401" width="7.67"/>
    <col collapsed="false" customWidth="false" hidden="false" outlineLevel="0" max="532" min="531" style="401" width="8.89"/>
    <col collapsed="false" customWidth="true" hidden="false" outlineLevel="0" max="533" min="533" style="401" width="10.89"/>
    <col collapsed="false" customWidth="false" hidden="false" outlineLevel="0" max="769" min="534" style="401" width="8.89"/>
    <col collapsed="false" customWidth="true" hidden="false" outlineLevel="0" max="770" min="770" style="401" width="13.55"/>
    <col collapsed="false" customWidth="true" hidden="false" outlineLevel="0" max="774" min="771" style="401" width="7.67"/>
    <col collapsed="false" customWidth="true" hidden="false" outlineLevel="0" max="776" min="775" style="401" width="3.33"/>
    <col collapsed="false" customWidth="true" hidden="false" outlineLevel="0" max="780" min="777" style="401" width="7.67"/>
    <col collapsed="false" customWidth="true" hidden="false" outlineLevel="0" max="782" min="781" style="401" width="3.33"/>
    <col collapsed="false" customWidth="true" hidden="false" outlineLevel="0" max="786" min="783" style="401" width="7.67"/>
    <col collapsed="false" customWidth="false" hidden="false" outlineLevel="0" max="788" min="787" style="401" width="8.89"/>
    <col collapsed="false" customWidth="true" hidden="false" outlineLevel="0" max="789" min="789" style="401" width="10.89"/>
    <col collapsed="false" customWidth="false" hidden="false" outlineLevel="0" max="1024" min="790" style="401" width="8.89"/>
  </cols>
  <sheetData>
    <row r="1" s="400" customFormat="true" ht="13.2" hidden="false" customHeight="false" outlineLevel="0" collapsed="false"/>
    <row r="2" s="400" customFormat="true" ht="13.2" hidden="false" customHeight="false" outlineLevel="0" collapsed="false">
      <c r="C2" s="402" t="s">
        <v>206</v>
      </c>
      <c r="D2" s="402"/>
      <c r="E2" s="402"/>
      <c r="F2" s="402"/>
      <c r="I2" s="402" t="s">
        <v>206</v>
      </c>
      <c r="J2" s="402"/>
      <c r="K2" s="402"/>
      <c r="L2" s="402"/>
      <c r="O2" s="403" t="s">
        <v>207</v>
      </c>
      <c r="P2" s="403"/>
      <c r="Q2" s="403"/>
      <c r="R2" s="403"/>
    </row>
    <row r="3" customFormat="false" ht="12.45" hidden="false" customHeight="true" outlineLevel="0" collapsed="false">
      <c r="A3" s="404" t="s">
        <v>208</v>
      </c>
      <c r="C3" s="405" t="n">
        <v>2020</v>
      </c>
      <c r="D3" s="405"/>
      <c r="E3" s="405"/>
      <c r="F3" s="405"/>
      <c r="G3" s="406"/>
      <c r="H3" s="406"/>
      <c r="I3" s="405" t="n">
        <v>2021</v>
      </c>
      <c r="J3" s="405"/>
      <c r="K3" s="405"/>
      <c r="L3" s="405"/>
      <c r="M3" s="406"/>
      <c r="N3" s="406"/>
      <c r="O3" s="405" t="n">
        <v>2022</v>
      </c>
      <c r="P3" s="405"/>
      <c r="Q3" s="405"/>
      <c r="R3" s="405"/>
      <c r="S3" s="406"/>
    </row>
    <row r="4" customFormat="false" ht="12.45" hidden="false" customHeight="true" outlineLevel="0" collapsed="false">
      <c r="C4" s="405"/>
      <c r="D4" s="405"/>
      <c r="E4" s="405"/>
      <c r="F4" s="405"/>
      <c r="G4" s="406"/>
      <c r="H4" s="406"/>
      <c r="I4" s="405"/>
      <c r="J4" s="405"/>
      <c r="K4" s="405"/>
      <c r="L4" s="405"/>
      <c r="M4" s="406"/>
      <c r="N4" s="406"/>
      <c r="O4" s="405"/>
      <c r="P4" s="405"/>
      <c r="Q4" s="405"/>
      <c r="R4" s="405"/>
      <c r="S4" s="406"/>
    </row>
    <row r="5" customFormat="false" ht="12.45" hidden="false" customHeight="true" outlineLevel="0" collapsed="false">
      <c r="C5" s="405"/>
      <c r="D5" s="405"/>
      <c r="E5" s="405"/>
      <c r="F5" s="405"/>
      <c r="G5" s="406"/>
      <c r="H5" s="406"/>
      <c r="I5" s="405"/>
      <c r="J5" s="405"/>
      <c r="K5" s="405"/>
      <c r="L5" s="405"/>
      <c r="M5" s="406"/>
      <c r="N5" s="406"/>
      <c r="O5" s="405"/>
      <c r="P5" s="405"/>
      <c r="Q5" s="405"/>
      <c r="R5" s="405"/>
      <c r="S5" s="406"/>
    </row>
    <row r="6" customFormat="false" ht="13.95" hidden="false" customHeight="true" outlineLevel="0" collapsed="false">
      <c r="C6" s="407" t="n">
        <f aca="false">Consolidado!$O$10</f>
        <v>0.550388516047584</v>
      </c>
      <c r="D6" s="407" t="n">
        <f aca="false">Consolidado!$M$10</f>
        <v>0.521935316561372</v>
      </c>
      <c r="E6" s="407" t="n">
        <f aca="false">Consolidado!$M$10</f>
        <v>0.521935316561372</v>
      </c>
      <c r="F6" s="407" t="n">
        <f aca="false">Consolidado!$M$10</f>
        <v>0.521935316561372</v>
      </c>
      <c r="G6" s="408"/>
      <c r="H6" s="408"/>
      <c r="I6" s="407" t="n">
        <f aca="false">Consolidado!$Q$10</f>
        <v>0.571113495709867</v>
      </c>
      <c r="J6" s="407" t="n">
        <f aca="false">Consolidado!$M$10</f>
        <v>0.521935316561372</v>
      </c>
      <c r="K6" s="407" t="n">
        <f aca="false">Consolidado!$M$10</f>
        <v>0.521935316561372</v>
      </c>
      <c r="L6" s="407" t="n">
        <f aca="false">Consolidado!$M$10</f>
        <v>0.521935316561372</v>
      </c>
      <c r="M6" s="408"/>
      <c r="N6" s="408"/>
      <c r="O6" s="407" t="n">
        <f aca="false">Consolidado!AI10</f>
        <v>0.578937895924135</v>
      </c>
      <c r="P6" s="407"/>
      <c r="Q6" s="407"/>
      <c r="R6" s="407"/>
      <c r="S6" s="409"/>
      <c r="Z6" s="410"/>
    </row>
    <row r="7" customFormat="false" ht="13.95" hidden="false" customHeight="true" outlineLevel="0" collapsed="false">
      <c r="C7" s="407" t="n">
        <f aca="false">Consolidado!$M$10</f>
        <v>0.521935316561372</v>
      </c>
      <c r="D7" s="407" t="n">
        <f aca="false">Consolidado!$M$10</f>
        <v>0.521935316561372</v>
      </c>
      <c r="E7" s="407" t="n">
        <f aca="false">Consolidado!$M$10</f>
        <v>0.521935316561372</v>
      </c>
      <c r="F7" s="407" t="n">
        <f aca="false">Consolidado!$M$10</f>
        <v>0.521935316561372</v>
      </c>
      <c r="G7" s="408"/>
      <c r="H7" s="408"/>
      <c r="I7" s="407" t="n">
        <f aca="false">Consolidado!$M$10</f>
        <v>0.521935316561372</v>
      </c>
      <c r="J7" s="407" t="n">
        <f aca="false">Consolidado!$M$10</f>
        <v>0.521935316561372</v>
      </c>
      <c r="K7" s="407" t="n">
        <f aca="false">Consolidado!$M$10</f>
        <v>0.521935316561372</v>
      </c>
      <c r="L7" s="407" t="n">
        <f aca="false">Consolidado!$M$10</f>
        <v>0.521935316561372</v>
      </c>
      <c r="M7" s="408"/>
      <c r="N7" s="408"/>
      <c r="O7" s="407"/>
      <c r="P7" s="407"/>
      <c r="Q7" s="407"/>
      <c r="R7" s="407"/>
      <c r="S7" s="409"/>
    </row>
    <row r="8" customFormat="false" ht="13.95" hidden="false" customHeight="true" outlineLevel="0" collapsed="false">
      <c r="A8" s="411" t="n">
        <f aca="false">Consolidado!$M$10</f>
        <v>0.521935316561372</v>
      </c>
      <c r="C8" s="407" t="n">
        <f aca="false">Consolidado!$M$10</f>
        <v>0.521935316561372</v>
      </c>
      <c r="D8" s="407" t="n">
        <f aca="false">Consolidado!$M$10</f>
        <v>0.521935316561372</v>
      </c>
      <c r="E8" s="407" t="n">
        <f aca="false">Consolidado!$M$10</f>
        <v>0.521935316561372</v>
      </c>
      <c r="F8" s="407" t="n">
        <f aca="false">Consolidado!$M$10</f>
        <v>0.521935316561372</v>
      </c>
      <c r="G8" s="408"/>
      <c r="H8" s="408"/>
      <c r="I8" s="407" t="n">
        <f aca="false">Consolidado!$M$10</f>
        <v>0.521935316561372</v>
      </c>
      <c r="J8" s="407" t="n">
        <f aca="false">Consolidado!$M$10</f>
        <v>0.521935316561372</v>
      </c>
      <c r="K8" s="407" t="n">
        <f aca="false">Consolidado!$M$10</f>
        <v>0.521935316561372</v>
      </c>
      <c r="L8" s="407" t="n">
        <f aca="false">Consolidado!$M$10</f>
        <v>0.521935316561372</v>
      </c>
      <c r="M8" s="408"/>
      <c r="N8" s="408"/>
      <c r="O8" s="407"/>
      <c r="P8" s="407"/>
      <c r="Q8" s="407"/>
      <c r="R8" s="407"/>
      <c r="S8" s="409"/>
      <c r="U8" s="410" t="n">
        <f aca="false">(O6-C6)/C6</f>
        <v>0.0518713218828918</v>
      </c>
      <c r="Z8" s="410"/>
    </row>
    <row r="9" customFormat="false" ht="13.95" hidden="false" customHeight="true" outlineLevel="0" collapsed="false">
      <c r="C9" s="407" t="n">
        <f aca="false">Consolidado!$M$10</f>
        <v>0.521935316561372</v>
      </c>
      <c r="D9" s="407" t="n">
        <f aca="false">Consolidado!$M$10</f>
        <v>0.521935316561372</v>
      </c>
      <c r="E9" s="407" t="n">
        <f aca="false">Consolidado!$M$10</f>
        <v>0.521935316561372</v>
      </c>
      <c r="F9" s="407" t="n">
        <f aca="false">Consolidado!$M$10</f>
        <v>0.521935316561372</v>
      </c>
      <c r="G9" s="408"/>
      <c r="H9" s="408"/>
      <c r="I9" s="407" t="n">
        <f aca="false">Consolidado!$M$10</f>
        <v>0.521935316561372</v>
      </c>
      <c r="J9" s="407" t="n">
        <f aca="false">Consolidado!$M$10</f>
        <v>0.521935316561372</v>
      </c>
      <c r="K9" s="407" t="n">
        <f aca="false">Consolidado!$M$10</f>
        <v>0.521935316561372</v>
      </c>
      <c r="L9" s="407" t="n">
        <f aca="false">Consolidado!$M$10</f>
        <v>0.521935316561372</v>
      </c>
      <c r="M9" s="408"/>
      <c r="N9" s="408"/>
      <c r="O9" s="407"/>
      <c r="P9" s="407"/>
      <c r="Q9" s="407"/>
      <c r="R9" s="407"/>
      <c r="S9" s="409"/>
    </row>
    <row r="10" customFormat="false" ht="13.95" hidden="false" customHeight="true" outlineLevel="0" collapsed="false">
      <c r="C10" s="407" t="n">
        <f aca="false">Consolidado!$M$10</f>
        <v>0.521935316561372</v>
      </c>
      <c r="D10" s="407" t="n">
        <f aca="false">Consolidado!$M$10</f>
        <v>0.521935316561372</v>
      </c>
      <c r="E10" s="407" t="n">
        <f aca="false">Consolidado!$M$10</f>
        <v>0.521935316561372</v>
      </c>
      <c r="F10" s="407" t="n">
        <f aca="false">Consolidado!$M$10</f>
        <v>0.521935316561372</v>
      </c>
      <c r="G10" s="408"/>
      <c r="H10" s="408"/>
      <c r="I10" s="407" t="n">
        <f aca="false">Consolidado!$M$10</f>
        <v>0.521935316561372</v>
      </c>
      <c r="J10" s="407" t="n">
        <f aca="false">Consolidado!$M$10</f>
        <v>0.521935316561372</v>
      </c>
      <c r="K10" s="407" t="n">
        <f aca="false">Consolidado!$M$10</f>
        <v>0.521935316561372</v>
      </c>
      <c r="L10" s="407" t="n">
        <f aca="false">Consolidado!$M$10</f>
        <v>0.521935316561372</v>
      </c>
      <c r="M10" s="408"/>
      <c r="N10" s="408"/>
      <c r="O10" s="407"/>
      <c r="P10" s="407"/>
      <c r="Q10" s="407"/>
      <c r="R10" s="407"/>
      <c r="S10" s="409"/>
    </row>
    <row r="11" customFormat="false" ht="13.95" hidden="false" customHeight="true" outlineLevel="0" collapsed="false">
      <c r="C11" s="407" t="n">
        <f aca="false">Consolidado!$M$10</f>
        <v>0.521935316561372</v>
      </c>
      <c r="D11" s="407" t="n">
        <f aca="false">Consolidado!$M$10</f>
        <v>0.521935316561372</v>
      </c>
      <c r="E11" s="407" t="n">
        <f aca="false">Consolidado!$M$10</f>
        <v>0.521935316561372</v>
      </c>
      <c r="F11" s="407" t="n">
        <f aca="false">Consolidado!$M$10</f>
        <v>0.521935316561372</v>
      </c>
      <c r="G11" s="408"/>
      <c r="H11" s="408"/>
      <c r="I11" s="407" t="n">
        <f aca="false">Consolidado!$M$10</f>
        <v>0.521935316561372</v>
      </c>
      <c r="J11" s="407" t="n">
        <f aca="false">Consolidado!$M$10</f>
        <v>0.521935316561372</v>
      </c>
      <c r="K11" s="407" t="n">
        <f aca="false">Consolidado!$M$10</f>
        <v>0.521935316561372</v>
      </c>
      <c r="L11" s="407" t="n">
        <f aca="false">Consolidado!$M$10</f>
        <v>0.521935316561372</v>
      </c>
      <c r="M11" s="408"/>
      <c r="N11" s="408"/>
      <c r="O11" s="407"/>
      <c r="P11" s="407"/>
      <c r="Q11" s="407"/>
      <c r="R11" s="407"/>
      <c r="S11" s="409"/>
    </row>
    <row r="12" s="400" customFormat="true" ht="4.2" hidden="false" customHeight="true" outlineLevel="0" collapsed="false"/>
    <row r="13" customFormat="false" ht="13.95" hidden="false" customHeight="true" outlineLevel="0" collapsed="false">
      <c r="C13" s="412" t="n">
        <f aca="false">(C6-A8)*100</f>
        <v>2.84531994862115</v>
      </c>
      <c r="D13" s="412"/>
      <c r="E13" s="412"/>
      <c r="F13" s="412"/>
      <c r="G13" s="406"/>
      <c r="H13" s="406"/>
      <c r="I13" s="412" t="n">
        <f aca="false">(I6-C6)*100</f>
        <v>2.07249796622826</v>
      </c>
      <c r="J13" s="412"/>
      <c r="K13" s="412"/>
      <c r="L13" s="412"/>
      <c r="M13" s="406"/>
      <c r="N13" s="406"/>
      <c r="O13" s="412" t="n">
        <f aca="false">(O6-I6)*100</f>
        <v>0.782440021426878</v>
      </c>
      <c r="P13" s="412"/>
      <c r="Q13" s="412"/>
      <c r="R13" s="412"/>
      <c r="S13" s="406"/>
    </row>
    <row r="14" customFormat="false" ht="13.95" hidden="false" customHeight="true" outlineLevel="0" collapsed="false">
      <c r="C14" s="412"/>
      <c r="D14" s="412"/>
      <c r="E14" s="412"/>
      <c r="F14" s="412"/>
      <c r="G14" s="406"/>
      <c r="H14" s="406"/>
      <c r="I14" s="412"/>
      <c r="J14" s="412"/>
      <c r="K14" s="412"/>
      <c r="L14" s="412"/>
      <c r="M14" s="406"/>
      <c r="N14" s="406"/>
      <c r="O14" s="412"/>
      <c r="P14" s="412"/>
      <c r="Q14" s="412"/>
      <c r="R14" s="412"/>
      <c r="S14" s="406"/>
    </row>
    <row r="15" customFormat="false" ht="13.95" hidden="false" customHeight="true" outlineLevel="0" collapsed="false">
      <c r="C15" s="412"/>
      <c r="D15" s="412"/>
      <c r="E15" s="412"/>
      <c r="F15" s="412"/>
      <c r="G15" s="406"/>
      <c r="H15" s="406"/>
      <c r="I15" s="412"/>
      <c r="J15" s="412"/>
      <c r="K15" s="412"/>
      <c r="L15" s="412"/>
      <c r="M15" s="406"/>
      <c r="N15" s="406"/>
      <c r="O15" s="412"/>
      <c r="P15" s="412"/>
      <c r="Q15" s="412"/>
      <c r="R15" s="412"/>
      <c r="S15" s="406"/>
    </row>
    <row r="16" s="400" customFormat="true" ht="13.2" hidden="false" customHeight="false" outlineLevel="0" collapsed="false"/>
    <row r="17" s="400" customFormat="true" ht="13.2" hidden="false" customHeight="false" outlineLevel="0" collapsed="false"/>
    <row r="18" s="400" customFormat="true" ht="13.2" hidden="false" customHeight="false" outlineLevel="0" collapsed="false">
      <c r="C18" s="402" t="s">
        <v>206</v>
      </c>
      <c r="D18" s="402"/>
      <c r="E18" s="402"/>
      <c r="F18" s="402"/>
      <c r="I18" s="402" t="s">
        <v>206</v>
      </c>
      <c r="J18" s="402"/>
      <c r="K18" s="402"/>
      <c r="L18" s="402"/>
      <c r="O18" s="403" t="s">
        <v>207</v>
      </c>
      <c r="P18" s="403"/>
      <c r="Q18" s="403"/>
      <c r="R18" s="403"/>
    </row>
    <row r="19" customFormat="false" ht="12.45" hidden="false" customHeight="true" outlineLevel="0" collapsed="false">
      <c r="A19" s="404" t="s">
        <v>209</v>
      </c>
      <c r="C19" s="405" t="n">
        <v>2020</v>
      </c>
      <c r="D19" s="405"/>
      <c r="E19" s="405"/>
      <c r="F19" s="405"/>
      <c r="G19" s="406"/>
      <c r="H19" s="406"/>
      <c r="I19" s="405" t="n">
        <v>2021</v>
      </c>
      <c r="J19" s="405"/>
      <c r="K19" s="405"/>
      <c r="L19" s="405"/>
      <c r="M19" s="406"/>
      <c r="N19" s="406"/>
      <c r="O19" s="405" t="n">
        <v>2022</v>
      </c>
      <c r="P19" s="405"/>
      <c r="Q19" s="405"/>
      <c r="R19" s="405"/>
      <c r="S19" s="406"/>
    </row>
    <row r="20" customFormat="false" ht="12.45" hidden="false" customHeight="true" outlineLevel="0" collapsed="false">
      <c r="C20" s="405"/>
      <c r="D20" s="405"/>
      <c r="E20" s="405"/>
      <c r="F20" s="405"/>
      <c r="G20" s="406"/>
      <c r="H20" s="406"/>
      <c r="I20" s="405"/>
      <c r="J20" s="405"/>
      <c r="K20" s="405"/>
      <c r="L20" s="405"/>
      <c r="M20" s="406"/>
      <c r="N20" s="406"/>
      <c r="O20" s="405"/>
      <c r="P20" s="405"/>
      <c r="Q20" s="405"/>
      <c r="R20" s="405"/>
      <c r="S20" s="406"/>
    </row>
    <row r="21" customFormat="false" ht="12.45" hidden="false" customHeight="true" outlineLevel="0" collapsed="false">
      <c r="C21" s="405"/>
      <c r="D21" s="405"/>
      <c r="E21" s="405"/>
      <c r="F21" s="405"/>
      <c r="G21" s="406"/>
      <c r="H21" s="406"/>
      <c r="I21" s="405"/>
      <c r="J21" s="405"/>
      <c r="K21" s="405"/>
      <c r="L21" s="405"/>
      <c r="M21" s="406"/>
      <c r="N21" s="406"/>
      <c r="O21" s="405"/>
      <c r="P21" s="405"/>
      <c r="Q21" s="405"/>
      <c r="R21" s="405"/>
      <c r="S21" s="406"/>
    </row>
    <row r="22" customFormat="false" ht="13.95" hidden="false" customHeight="true" outlineLevel="0" collapsed="false">
      <c r="C22" s="407" t="n">
        <f aca="false">Consolidado!$O$14</f>
        <v>0.342473542021965</v>
      </c>
      <c r="D22" s="407" t="n">
        <f aca="false">Consolidado!$M$10</f>
        <v>0.521935316561372</v>
      </c>
      <c r="E22" s="407" t="n">
        <f aca="false">Consolidado!$M$10</f>
        <v>0.521935316561372</v>
      </c>
      <c r="F22" s="407" t="n">
        <f aca="false">Consolidado!$M$10</f>
        <v>0.521935316561372</v>
      </c>
      <c r="G22" s="408"/>
      <c r="H22" s="408"/>
      <c r="I22" s="407" t="n">
        <f aca="false">Consolidado!$Q$14</f>
        <v>0.220781990419701</v>
      </c>
      <c r="J22" s="407" t="n">
        <f aca="false">Consolidado!$M$10</f>
        <v>0.521935316561372</v>
      </c>
      <c r="K22" s="407" t="n">
        <f aca="false">Consolidado!$M$10</f>
        <v>0.521935316561372</v>
      </c>
      <c r="L22" s="407" t="n">
        <f aca="false">Consolidado!$M$10</f>
        <v>0.521935316561372</v>
      </c>
      <c r="M22" s="408"/>
      <c r="N22" s="408"/>
      <c r="O22" s="407" t="n">
        <f aca="false">Consolidado!AI14</f>
        <v>0.269144142725994</v>
      </c>
      <c r="P22" s="407"/>
      <c r="Q22" s="407"/>
      <c r="R22" s="407"/>
      <c r="S22" s="409"/>
      <c r="Z22" s="410"/>
    </row>
    <row r="23" customFormat="false" ht="13.95" hidden="false" customHeight="true" outlineLevel="0" collapsed="false">
      <c r="C23" s="407" t="n">
        <f aca="false">Consolidado!$M$10</f>
        <v>0.521935316561372</v>
      </c>
      <c r="D23" s="407" t="n">
        <f aca="false">Consolidado!$M$10</f>
        <v>0.521935316561372</v>
      </c>
      <c r="E23" s="407" t="n">
        <f aca="false">Consolidado!$M$10</f>
        <v>0.521935316561372</v>
      </c>
      <c r="F23" s="407" t="n">
        <f aca="false">Consolidado!$M$10</f>
        <v>0.521935316561372</v>
      </c>
      <c r="G23" s="408"/>
      <c r="H23" s="408"/>
      <c r="I23" s="407" t="n">
        <f aca="false">Consolidado!$M$10</f>
        <v>0.521935316561372</v>
      </c>
      <c r="J23" s="407" t="n">
        <f aca="false">Consolidado!$M$10</f>
        <v>0.521935316561372</v>
      </c>
      <c r="K23" s="407" t="n">
        <f aca="false">Consolidado!$M$10</f>
        <v>0.521935316561372</v>
      </c>
      <c r="L23" s="407" t="n">
        <f aca="false">Consolidado!$M$10</f>
        <v>0.521935316561372</v>
      </c>
      <c r="M23" s="408"/>
      <c r="N23" s="408"/>
      <c r="O23" s="407"/>
      <c r="P23" s="407"/>
      <c r="Q23" s="407"/>
      <c r="R23" s="407"/>
      <c r="S23" s="409"/>
    </row>
    <row r="24" customFormat="false" ht="13.95" hidden="false" customHeight="true" outlineLevel="0" collapsed="false">
      <c r="A24" s="411" t="n">
        <f aca="false">Consolidado!$M$14</f>
        <v>0.302071280009004</v>
      </c>
      <c r="C24" s="407" t="n">
        <f aca="false">Consolidado!$M$10</f>
        <v>0.521935316561372</v>
      </c>
      <c r="D24" s="407" t="n">
        <f aca="false">Consolidado!$M$10</f>
        <v>0.521935316561372</v>
      </c>
      <c r="E24" s="407" t="n">
        <f aca="false">Consolidado!$M$10</f>
        <v>0.521935316561372</v>
      </c>
      <c r="F24" s="407" t="n">
        <f aca="false">Consolidado!$M$10</f>
        <v>0.521935316561372</v>
      </c>
      <c r="G24" s="408"/>
      <c r="H24" s="408"/>
      <c r="I24" s="407" t="n">
        <f aca="false">Consolidado!$M$10</f>
        <v>0.521935316561372</v>
      </c>
      <c r="J24" s="407" t="n">
        <f aca="false">Consolidado!$M$10</f>
        <v>0.521935316561372</v>
      </c>
      <c r="K24" s="407" t="n">
        <f aca="false">Consolidado!$M$10</f>
        <v>0.521935316561372</v>
      </c>
      <c r="L24" s="407" t="n">
        <f aca="false">Consolidado!$M$10</f>
        <v>0.521935316561372</v>
      </c>
      <c r="M24" s="408"/>
      <c r="N24" s="408"/>
      <c r="O24" s="407"/>
      <c r="P24" s="407"/>
      <c r="Q24" s="407"/>
      <c r="R24" s="407"/>
      <c r="S24" s="409"/>
      <c r="U24" s="410" t="n">
        <f aca="false">(O22-C22)/C22</f>
        <v>-0.21411697634519</v>
      </c>
      <c r="Z24" s="410"/>
    </row>
    <row r="25" customFormat="false" ht="13.95" hidden="false" customHeight="true" outlineLevel="0" collapsed="false">
      <c r="C25" s="407" t="n">
        <f aca="false">Consolidado!$M$10</f>
        <v>0.521935316561372</v>
      </c>
      <c r="D25" s="407" t="n">
        <f aca="false">Consolidado!$M$10</f>
        <v>0.521935316561372</v>
      </c>
      <c r="E25" s="407" t="n">
        <f aca="false">Consolidado!$M$10</f>
        <v>0.521935316561372</v>
      </c>
      <c r="F25" s="407" t="n">
        <f aca="false">Consolidado!$M$10</f>
        <v>0.521935316561372</v>
      </c>
      <c r="G25" s="408"/>
      <c r="H25" s="408"/>
      <c r="I25" s="407" t="n">
        <f aca="false">Consolidado!$M$10</f>
        <v>0.521935316561372</v>
      </c>
      <c r="J25" s="407" t="n">
        <f aca="false">Consolidado!$M$10</f>
        <v>0.521935316561372</v>
      </c>
      <c r="K25" s="407" t="n">
        <f aca="false">Consolidado!$M$10</f>
        <v>0.521935316561372</v>
      </c>
      <c r="L25" s="407" t="n">
        <f aca="false">Consolidado!$M$10</f>
        <v>0.521935316561372</v>
      </c>
      <c r="M25" s="408"/>
      <c r="N25" s="408"/>
      <c r="O25" s="407"/>
      <c r="P25" s="407"/>
      <c r="Q25" s="407"/>
      <c r="R25" s="407"/>
      <c r="S25" s="409"/>
    </row>
    <row r="26" customFormat="false" ht="13.95" hidden="false" customHeight="true" outlineLevel="0" collapsed="false">
      <c r="C26" s="407" t="n">
        <f aca="false">Consolidado!$M$10</f>
        <v>0.521935316561372</v>
      </c>
      <c r="D26" s="407" t="n">
        <f aca="false">Consolidado!$M$10</f>
        <v>0.521935316561372</v>
      </c>
      <c r="E26" s="407" t="n">
        <f aca="false">Consolidado!$M$10</f>
        <v>0.521935316561372</v>
      </c>
      <c r="F26" s="407" t="n">
        <f aca="false">Consolidado!$M$10</f>
        <v>0.521935316561372</v>
      </c>
      <c r="G26" s="408"/>
      <c r="H26" s="408"/>
      <c r="I26" s="407" t="n">
        <f aca="false">Consolidado!$M$10</f>
        <v>0.521935316561372</v>
      </c>
      <c r="J26" s="407" t="n">
        <f aca="false">Consolidado!$M$10</f>
        <v>0.521935316561372</v>
      </c>
      <c r="K26" s="407" t="n">
        <f aca="false">Consolidado!$M$10</f>
        <v>0.521935316561372</v>
      </c>
      <c r="L26" s="407" t="n">
        <f aca="false">Consolidado!$M$10</f>
        <v>0.521935316561372</v>
      </c>
      <c r="M26" s="408"/>
      <c r="N26" s="408"/>
      <c r="O26" s="407"/>
      <c r="P26" s="407"/>
      <c r="Q26" s="407"/>
      <c r="R26" s="407"/>
      <c r="S26" s="409"/>
    </row>
    <row r="27" customFormat="false" ht="13.95" hidden="false" customHeight="true" outlineLevel="0" collapsed="false">
      <c r="C27" s="407" t="n">
        <f aca="false">Consolidado!$M$10</f>
        <v>0.521935316561372</v>
      </c>
      <c r="D27" s="407" t="n">
        <f aca="false">Consolidado!$M$10</f>
        <v>0.521935316561372</v>
      </c>
      <c r="E27" s="407" t="n">
        <f aca="false">Consolidado!$M$10</f>
        <v>0.521935316561372</v>
      </c>
      <c r="F27" s="407" t="n">
        <f aca="false">Consolidado!$M$10</f>
        <v>0.521935316561372</v>
      </c>
      <c r="G27" s="408"/>
      <c r="H27" s="408"/>
      <c r="I27" s="407" t="n">
        <f aca="false">Consolidado!$M$10</f>
        <v>0.521935316561372</v>
      </c>
      <c r="J27" s="407" t="n">
        <f aca="false">Consolidado!$M$10</f>
        <v>0.521935316561372</v>
      </c>
      <c r="K27" s="407" t="n">
        <f aca="false">Consolidado!$M$10</f>
        <v>0.521935316561372</v>
      </c>
      <c r="L27" s="407" t="n">
        <f aca="false">Consolidado!$M$10</f>
        <v>0.521935316561372</v>
      </c>
      <c r="M27" s="408"/>
      <c r="N27" s="408"/>
      <c r="O27" s="407"/>
      <c r="P27" s="407"/>
      <c r="Q27" s="407"/>
      <c r="R27" s="407"/>
      <c r="S27" s="409"/>
    </row>
    <row r="28" s="400" customFormat="true" ht="4.2" hidden="false" customHeight="true" outlineLevel="0" collapsed="false"/>
    <row r="29" customFormat="false" ht="13.95" hidden="false" customHeight="true" outlineLevel="0" collapsed="false">
      <c r="C29" s="412" t="n">
        <f aca="false">(C22-A24)*100</f>
        <v>4.0402262012961</v>
      </c>
      <c r="D29" s="412"/>
      <c r="E29" s="412"/>
      <c r="F29" s="412"/>
      <c r="G29" s="406"/>
      <c r="H29" s="406"/>
      <c r="I29" s="412" t="n">
        <f aca="false">(I22-C22)*100</f>
        <v>-12.1691551602264</v>
      </c>
      <c r="J29" s="412"/>
      <c r="K29" s="412"/>
      <c r="L29" s="412"/>
      <c r="M29" s="406"/>
      <c r="N29" s="406"/>
      <c r="O29" s="412" t="n">
        <f aca="false">(O22-I22)*100</f>
        <v>4.83621523062935</v>
      </c>
      <c r="P29" s="412"/>
      <c r="Q29" s="412"/>
      <c r="R29" s="412"/>
      <c r="S29" s="406"/>
    </row>
    <row r="30" customFormat="false" ht="13.95" hidden="false" customHeight="true" outlineLevel="0" collapsed="false">
      <c r="C30" s="412"/>
      <c r="D30" s="412"/>
      <c r="E30" s="412"/>
      <c r="F30" s="412"/>
      <c r="G30" s="406"/>
      <c r="H30" s="406"/>
      <c r="I30" s="412"/>
      <c r="J30" s="412"/>
      <c r="K30" s="412"/>
      <c r="L30" s="412"/>
      <c r="M30" s="406"/>
      <c r="N30" s="406"/>
      <c r="O30" s="412"/>
      <c r="P30" s="412"/>
      <c r="Q30" s="412"/>
      <c r="R30" s="412"/>
      <c r="S30" s="406"/>
    </row>
    <row r="31" customFormat="false" ht="13.95" hidden="false" customHeight="true" outlineLevel="0" collapsed="false">
      <c r="C31" s="412"/>
      <c r="D31" s="412"/>
      <c r="E31" s="412"/>
      <c r="F31" s="412"/>
      <c r="G31" s="406"/>
      <c r="H31" s="406"/>
      <c r="I31" s="412"/>
      <c r="J31" s="412"/>
      <c r="K31" s="412"/>
      <c r="L31" s="412"/>
      <c r="M31" s="406"/>
      <c r="N31" s="406"/>
      <c r="O31" s="412"/>
      <c r="P31" s="412"/>
      <c r="Q31" s="412"/>
      <c r="R31" s="412"/>
      <c r="S31" s="406"/>
    </row>
    <row r="32" s="400" customFormat="true" ht="13.2" hidden="false" customHeight="false" outlineLevel="0" collapsed="false"/>
    <row r="33" s="400" customFormat="true" ht="13.2" hidden="false" customHeight="false" outlineLevel="0" collapsed="false"/>
    <row r="34" s="400" customFormat="true" ht="13.2" hidden="false" customHeight="false" outlineLevel="0" collapsed="false"/>
    <row r="35" s="400" customFormat="true" ht="13.2" hidden="false" customHeight="false" outlineLevel="0" collapsed="false">
      <c r="C35" s="402" t="s">
        <v>206</v>
      </c>
      <c r="D35" s="402"/>
      <c r="E35" s="402"/>
      <c r="F35" s="402"/>
      <c r="I35" s="402" t="s">
        <v>206</v>
      </c>
      <c r="J35" s="402"/>
      <c r="K35" s="402"/>
      <c r="L35" s="402"/>
      <c r="O35" s="403" t="s">
        <v>207</v>
      </c>
      <c r="P35" s="403"/>
      <c r="Q35" s="403"/>
      <c r="R35" s="403"/>
    </row>
    <row r="36" customFormat="false" ht="12.45" hidden="false" customHeight="true" outlineLevel="0" collapsed="false">
      <c r="A36" s="404" t="s">
        <v>210</v>
      </c>
      <c r="C36" s="405" t="n">
        <v>2020</v>
      </c>
      <c r="D36" s="405"/>
      <c r="E36" s="405"/>
      <c r="F36" s="405"/>
      <c r="G36" s="406"/>
      <c r="H36" s="406"/>
      <c r="I36" s="405" t="n">
        <v>2021</v>
      </c>
      <c r="J36" s="405"/>
      <c r="K36" s="405"/>
      <c r="L36" s="405"/>
      <c r="M36" s="406"/>
      <c r="N36" s="406"/>
      <c r="O36" s="405" t="n">
        <v>2022</v>
      </c>
      <c r="P36" s="405"/>
      <c r="Q36" s="405"/>
      <c r="R36" s="405"/>
      <c r="S36" s="406"/>
    </row>
    <row r="37" customFormat="false" ht="12.45" hidden="false" customHeight="true" outlineLevel="0" collapsed="false">
      <c r="C37" s="405"/>
      <c r="D37" s="405"/>
      <c r="E37" s="405"/>
      <c r="F37" s="405"/>
      <c r="G37" s="406"/>
      <c r="H37" s="406"/>
      <c r="I37" s="405"/>
      <c r="J37" s="405"/>
      <c r="K37" s="405"/>
      <c r="L37" s="405"/>
      <c r="M37" s="406"/>
      <c r="N37" s="406"/>
      <c r="O37" s="405"/>
      <c r="P37" s="405"/>
      <c r="Q37" s="405"/>
      <c r="R37" s="405"/>
      <c r="S37" s="406"/>
    </row>
    <row r="38" customFormat="false" ht="12.45" hidden="false" customHeight="true" outlineLevel="0" collapsed="false">
      <c r="C38" s="405"/>
      <c r="D38" s="405"/>
      <c r="E38" s="405"/>
      <c r="F38" s="405"/>
      <c r="G38" s="406"/>
      <c r="H38" s="406"/>
      <c r="I38" s="405"/>
      <c r="J38" s="405"/>
      <c r="K38" s="405"/>
      <c r="L38" s="405"/>
      <c r="M38" s="406"/>
      <c r="N38" s="406"/>
      <c r="O38" s="405"/>
      <c r="P38" s="405"/>
      <c r="Q38" s="405"/>
      <c r="R38" s="405"/>
      <c r="S38" s="406"/>
    </row>
    <row r="39" customFormat="false" ht="13.95" hidden="false" customHeight="true" outlineLevel="0" collapsed="false">
      <c r="C39" s="407" t="n">
        <f aca="false">Consolidado!O12</f>
        <v>0.156955646010587</v>
      </c>
      <c r="D39" s="407"/>
      <c r="E39" s="407"/>
      <c r="F39" s="407"/>
      <c r="G39" s="408"/>
      <c r="H39" s="408"/>
      <c r="I39" s="407" t="n">
        <f aca="false">Consolidado!Q12</f>
        <v>0.268820247851273</v>
      </c>
      <c r="J39" s="407"/>
      <c r="K39" s="407"/>
      <c r="L39" s="407"/>
      <c r="M39" s="408"/>
      <c r="N39" s="408"/>
      <c r="O39" s="407" t="n">
        <f aca="false">Consolidado!AI12</f>
        <v>0.236033645602065</v>
      </c>
      <c r="P39" s="407"/>
      <c r="Q39" s="407"/>
      <c r="R39" s="407"/>
      <c r="S39" s="409"/>
      <c r="Z39" s="410"/>
    </row>
    <row r="40" customFormat="false" ht="13.95" hidden="false" customHeight="true" outlineLevel="0" collapsed="false">
      <c r="C40" s="407"/>
      <c r="D40" s="407"/>
      <c r="E40" s="407"/>
      <c r="F40" s="407"/>
      <c r="G40" s="408"/>
      <c r="H40" s="408"/>
      <c r="I40" s="407"/>
      <c r="J40" s="407"/>
      <c r="K40" s="407"/>
      <c r="L40" s="407"/>
      <c r="M40" s="408"/>
      <c r="N40" s="408"/>
      <c r="O40" s="407"/>
      <c r="P40" s="407"/>
      <c r="Q40" s="407"/>
      <c r="R40" s="407"/>
      <c r="S40" s="409"/>
    </row>
    <row r="41" customFormat="false" ht="13.95" hidden="false" customHeight="true" outlineLevel="0" collapsed="false">
      <c r="A41" s="411" t="n">
        <f aca="false">Consolidado!M12</f>
        <v>0.160121146522327</v>
      </c>
      <c r="C41" s="407"/>
      <c r="D41" s="407"/>
      <c r="E41" s="407"/>
      <c r="F41" s="407"/>
      <c r="G41" s="408"/>
      <c r="H41" s="408"/>
      <c r="I41" s="407"/>
      <c r="J41" s="407"/>
      <c r="K41" s="407"/>
      <c r="L41" s="407"/>
      <c r="M41" s="408"/>
      <c r="N41" s="408"/>
      <c r="O41" s="407"/>
      <c r="P41" s="407"/>
      <c r="Q41" s="407"/>
      <c r="R41" s="407"/>
      <c r="S41" s="409"/>
      <c r="U41" s="410" t="n">
        <f aca="false">(O39-C39)/C39</f>
        <v>0.503823861080749</v>
      </c>
      <c r="Z41" s="410"/>
    </row>
    <row r="42" customFormat="false" ht="13.95" hidden="false" customHeight="true" outlineLevel="0" collapsed="false">
      <c r="C42" s="407"/>
      <c r="D42" s="407"/>
      <c r="E42" s="407"/>
      <c r="F42" s="407"/>
      <c r="G42" s="408"/>
      <c r="H42" s="408"/>
      <c r="I42" s="407"/>
      <c r="J42" s="407"/>
      <c r="K42" s="407"/>
      <c r="L42" s="407"/>
      <c r="M42" s="408"/>
      <c r="N42" s="408"/>
      <c r="O42" s="407"/>
      <c r="P42" s="407"/>
      <c r="Q42" s="407"/>
      <c r="R42" s="407"/>
      <c r="S42" s="409"/>
    </row>
    <row r="43" customFormat="false" ht="13.95" hidden="false" customHeight="true" outlineLevel="0" collapsed="false">
      <c r="C43" s="407"/>
      <c r="D43" s="407"/>
      <c r="E43" s="407"/>
      <c r="F43" s="407"/>
      <c r="G43" s="408"/>
      <c r="H43" s="408"/>
      <c r="I43" s="407"/>
      <c r="J43" s="407"/>
      <c r="K43" s="407"/>
      <c r="L43" s="407"/>
      <c r="M43" s="408"/>
      <c r="N43" s="408"/>
      <c r="O43" s="407"/>
      <c r="P43" s="407"/>
      <c r="Q43" s="407"/>
      <c r="R43" s="407"/>
      <c r="S43" s="409"/>
    </row>
    <row r="44" customFormat="false" ht="13.95" hidden="false" customHeight="true" outlineLevel="0" collapsed="false">
      <c r="C44" s="407"/>
      <c r="D44" s="407"/>
      <c r="E44" s="407"/>
      <c r="F44" s="407"/>
      <c r="G44" s="408"/>
      <c r="H44" s="408"/>
      <c r="I44" s="407"/>
      <c r="J44" s="407"/>
      <c r="K44" s="407"/>
      <c r="L44" s="407"/>
      <c r="M44" s="408"/>
      <c r="N44" s="408"/>
      <c r="O44" s="407"/>
      <c r="P44" s="407"/>
      <c r="Q44" s="407"/>
      <c r="R44" s="407"/>
      <c r="S44" s="409"/>
    </row>
    <row r="45" s="400" customFormat="true" ht="4.2" hidden="false" customHeight="true" outlineLevel="0" collapsed="false"/>
    <row r="46" customFormat="false" ht="13.95" hidden="false" customHeight="true" outlineLevel="0" collapsed="false">
      <c r="C46" s="412" t="n">
        <f aca="false">(C39-A41)*100</f>
        <v>-0.316550051174</v>
      </c>
      <c r="D46" s="412"/>
      <c r="E46" s="412"/>
      <c r="F46" s="412"/>
      <c r="G46" s="406"/>
      <c r="H46" s="406"/>
      <c r="I46" s="412" t="n">
        <f aca="false">(I39-C39)*100</f>
        <v>11.1864601840685</v>
      </c>
      <c r="J46" s="412"/>
      <c r="K46" s="412"/>
      <c r="L46" s="412"/>
      <c r="M46" s="406"/>
      <c r="N46" s="406"/>
      <c r="O46" s="412" t="n">
        <f aca="false">(O39-I39)*100</f>
        <v>-3.27866022492078</v>
      </c>
      <c r="P46" s="412"/>
      <c r="Q46" s="412"/>
      <c r="R46" s="412"/>
      <c r="S46" s="406"/>
    </row>
    <row r="47" customFormat="false" ht="13.95" hidden="false" customHeight="true" outlineLevel="0" collapsed="false">
      <c r="C47" s="412"/>
      <c r="D47" s="412"/>
      <c r="E47" s="412"/>
      <c r="F47" s="412"/>
      <c r="G47" s="406"/>
      <c r="H47" s="406"/>
      <c r="I47" s="412"/>
      <c r="J47" s="412"/>
      <c r="K47" s="412"/>
      <c r="L47" s="412"/>
      <c r="M47" s="406"/>
      <c r="N47" s="406"/>
      <c r="O47" s="412"/>
      <c r="P47" s="412"/>
      <c r="Q47" s="412"/>
      <c r="R47" s="412"/>
      <c r="S47" s="406"/>
    </row>
    <row r="48" customFormat="false" ht="13.95" hidden="false" customHeight="true" outlineLevel="0" collapsed="false">
      <c r="C48" s="412"/>
      <c r="D48" s="412"/>
      <c r="E48" s="412"/>
      <c r="F48" s="412"/>
      <c r="G48" s="406"/>
      <c r="H48" s="406"/>
      <c r="I48" s="412"/>
      <c r="J48" s="412"/>
      <c r="K48" s="412"/>
      <c r="L48" s="412"/>
      <c r="M48" s="406"/>
      <c r="N48" s="406"/>
      <c r="O48" s="412"/>
      <c r="P48" s="412"/>
      <c r="Q48" s="412"/>
      <c r="R48" s="412"/>
      <c r="S48" s="406"/>
    </row>
    <row r="49" s="400" customFormat="true" ht="13.2" hidden="false" customHeight="false" outlineLevel="0" collapsed="false"/>
    <row r="50" s="400" customFormat="true" ht="13.2" hidden="false" customHeight="false" outlineLevel="0" collapsed="false"/>
    <row r="51" s="400" customFormat="true" ht="13.2" hidden="false" customHeight="false" outlineLevel="0" collapsed="false"/>
    <row r="52" s="400" customFormat="true" ht="13.2" hidden="false" customHeight="false" outlineLevel="0" collapsed="false"/>
    <row r="53" s="400" customFormat="true" ht="13.2" hidden="false" customHeight="false" outlineLevel="0" collapsed="false">
      <c r="C53" s="402" t="s">
        <v>206</v>
      </c>
      <c r="D53" s="402"/>
      <c r="E53" s="402"/>
      <c r="F53" s="402"/>
      <c r="I53" s="402" t="s">
        <v>206</v>
      </c>
      <c r="J53" s="402"/>
      <c r="K53" s="402"/>
      <c r="L53" s="402"/>
      <c r="O53" s="403" t="s">
        <v>207</v>
      </c>
      <c r="P53" s="403"/>
      <c r="Q53" s="403"/>
      <c r="R53" s="403"/>
    </row>
    <row r="54" customFormat="false" ht="12.45" hidden="false" customHeight="true" outlineLevel="0" collapsed="false">
      <c r="A54" s="404" t="s">
        <v>211</v>
      </c>
      <c r="C54" s="405" t="n">
        <v>2020</v>
      </c>
      <c r="D54" s="405"/>
      <c r="E54" s="405"/>
      <c r="F54" s="405"/>
      <c r="G54" s="406"/>
      <c r="H54" s="406"/>
      <c r="I54" s="405" t="n">
        <v>2021</v>
      </c>
      <c r="J54" s="405"/>
      <c r="K54" s="405"/>
      <c r="L54" s="405"/>
      <c r="M54" s="406"/>
      <c r="N54" s="406"/>
      <c r="O54" s="405" t="n">
        <v>2022</v>
      </c>
      <c r="P54" s="405"/>
      <c r="Q54" s="405"/>
      <c r="R54" s="405"/>
      <c r="S54" s="406"/>
    </row>
    <row r="55" customFormat="false" ht="12.45" hidden="false" customHeight="true" outlineLevel="0" collapsed="false">
      <c r="C55" s="405"/>
      <c r="D55" s="405"/>
      <c r="E55" s="405"/>
      <c r="F55" s="405"/>
      <c r="G55" s="406"/>
      <c r="H55" s="406"/>
      <c r="I55" s="405"/>
      <c r="J55" s="405"/>
      <c r="K55" s="405"/>
      <c r="L55" s="405"/>
      <c r="M55" s="406"/>
      <c r="N55" s="406"/>
      <c r="O55" s="405"/>
      <c r="P55" s="405"/>
      <c r="Q55" s="405"/>
      <c r="R55" s="405"/>
      <c r="S55" s="406"/>
    </row>
    <row r="56" customFormat="false" ht="12.45" hidden="false" customHeight="true" outlineLevel="0" collapsed="false">
      <c r="C56" s="405"/>
      <c r="D56" s="405"/>
      <c r="E56" s="405"/>
      <c r="F56" s="405"/>
      <c r="G56" s="406"/>
      <c r="H56" s="406"/>
      <c r="I56" s="405"/>
      <c r="J56" s="405"/>
      <c r="K56" s="405"/>
      <c r="L56" s="405"/>
      <c r="M56" s="406"/>
      <c r="N56" s="406"/>
      <c r="O56" s="405"/>
      <c r="P56" s="405"/>
      <c r="Q56" s="405"/>
      <c r="R56" s="405"/>
      <c r="S56" s="406"/>
    </row>
    <row r="57" customFormat="false" ht="13.95" hidden="false" customHeight="true" outlineLevel="0" collapsed="false">
      <c r="C57" s="407" t="n">
        <f aca="false">Consolidado!O13</f>
        <v>0.0509593280150321</v>
      </c>
      <c r="D57" s="407"/>
      <c r="E57" s="407"/>
      <c r="F57" s="407"/>
      <c r="G57" s="408"/>
      <c r="H57" s="408"/>
      <c r="I57" s="407" t="n">
        <f aca="false">Consolidado!Q13</f>
        <v>0.0815112574388933</v>
      </c>
      <c r="J57" s="407"/>
      <c r="K57" s="407"/>
      <c r="L57" s="407"/>
      <c r="M57" s="408"/>
      <c r="N57" s="408"/>
      <c r="O57" s="407" t="n">
        <f aca="false">Consolidado!AI13</f>
        <v>0.0737601075960765</v>
      </c>
      <c r="P57" s="407"/>
      <c r="Q57" s="407"/>
      <c r="R57" s="407"/>
      <c r="S57" s="409"/>
      <c r="Z57" s="410"/>
    </row>
    <row r="58" customFormat="false" ht="13.95" hidden="false" customHeight="true" outlineLevel="0" collapsed="false">
      <c r="C58" s="407"/>
      <c r="D58" s="407"/>
      <c r="E58" s="407"/>
      <c r="F58" s="407"/>
      <c r="G58" s="408"/>
      <c r="H58" s="408"/>
      <c r="I58" s="407"/>
      <c r="J58" s="407"/>
      <c r="K58" s="407"/>
      <c r="L58" s="407"/>
      <c r="M58" s="408"/>
      <c r="N58" s="408"/>
      <c r="O58" s="407"/>
      <c r="P58" s="407"/>
      <c r="Q58" s="407"/>
      <c r="R58" s="407"/>
      <c r="S58" s="409"/>
    </row>
    <row r="59" customFormat="false" ht="13.95" hidden="false" customHeight="true" outlineLevel="0" collapsed="false">
      <c r="A59" s="411" t="n">
        <f aca="false">Consolidado!M13</f>
        <v>0.0597428900300415</v>
      </c>
      <c r="C59" s="407"/>
      <c r="D59" s="407"/>
      <c r="E59" s="407"/>
      <c r="F59" s="407"/>
      <c r="G59" s="408"/>
      <c r="H59" s="408"/>
      <c r="I59" s="407"/>
      <c r="J59" s="407"/>
      <c r="K59" s="407"/>
      <c r="L59" s="407"/>
      <c r="M59" s="408"/>
      <c r="N59" s="408"/>
      <c r="O59" s="407"/>
      <c r="P59" s="407"/>
      <c r="Q59" s="407"/>
      <c r="R59" s="407"/>
      <c r="S59" s="409"/>
      <c r="U59" s="410" t="n">
        <f aca="false">(O57-C57)/C57</f>
        <v>0.447430931081324</v>
      </c>
      <c r="Z59" s="410"/>
    </row>
    <row r="60" customFormat="false" ht="13.95" hidden="false" customHeight="true" outlineLevel="0" collapsed="false">
      <c r="C60" s="407"/>
      <c r="D60" s="407"/>
      <c r="E60" s="407"/>
      <c r="F60" s="407"/>
      <c r="G60" s="408"/>
      <c r="H60" s="408"/>
      <c r="I60" s="407"/>
      <c r="J60" s="407"/>
      <c r="K60" s="407"/>
      <c r="L60" s="407"/>
      <c r="M60" s="408"/>
      <c r="N60" s="408"/>
      <c r="O60" s="407"/>
      <c r="P60" s="407"/>
      <c r="Q60" s="407"/>
      <c r="R60" s="407"/>
      <c r="S60" s="409"/>
    </row>
    <row r="61" customFormat="false" ht="13.95" hidden="false" customHeight="true" outlineLevel="0" collapsed="false">
      <c r="C61" s="407"/>
      <c r="D61" s="407"/>
      <c r="E61" s="407"/>
      <c r="F61" s="407"/>
      <c r="G61" s="408"/>
      <c r="H61" s="408"/>
      <c r="I61" s="407"/>
      <c r="J61" s="407"/>
      <c r="K61" s="407"/>
      <c r="L61" s="407"/>
      <c r="M61" s="408"/>
      <c r="N61" s="408"/>
      <c r="O61" s="407"/>
      <c r="P61" s="407"/>
      <c r="Q61" s="407"/>
      <c r="R61" s="407"/>
      <c r="S61" s="409"/>
    </row>
    <row r="62" customFormat="false" ht="13.95" hidden="false" customHeight="true" outlineLevel="0" collapsed="false">
      <c r="C62" s="407"/>
      <c r="D62" s="407"/>
      <c r="E62" s="407"/>
      <c r="F62" s="407"/>
      <c r="G62" s="408"/>
      <c r="H62" s="408"/>
      <c r="I62" s="407"/>
      <c r="J62" s="407"/>
      <c r="K62" s="407"/>
      <c r="L62" s="407"/>
      <c r="M62" s="408"/>
      <c r="N62" s="408"/>
      <c r="O62" s="407"/>
      <c r="P62" s="407"/>
      <c r="Q62" s="407"/>
      <c r="R62" s="407"/>
      <c r="S62" s="409"/>
    </row>
    <row r="63" s="400" customFormat="true" ht="4.2" hidden="false" customHeight="true" outlineLevel="0" collapsed="false"/>
    <row r="64" customFormat="false" ht="13.95" hidden="false" customHeight="true" outlineLevel="0" collapsed="false">
      <c r="C64" s="412" t="n">
        <f aca="false">(C57-A59)*100</f>
        <v>-0.878356201500938</v>
      </c>
      <c r="D64" s="412"/>
      <c r="E64" s="412"/>
      <c r="F64" s="412"/>
      <c r="G64" s="406"/>
      <c r="H64" s="406"/>
      <c r="I64" s="412" t="n">
        <f aca="false">(I57-C57)*100</f>
        <v>3.05519294238612</v>
      </c>
      <c r="J64" s="412"/>
      <c r="K64" s="412"/>
      <c r="L64" s="412"/>
      <c r="M64" s="406"/>
      <c r="N64" s="406"/>
      <c r="O64" s="412" t="n">
        <f aca="false">(O57-I57)*100</f>
        <v>-0.77511498428168</v>
      </c>
      <c r="P64" s="412"/>
      <c r="Q64" s="412"/>
      <c r="R64" s="412"/>
      <c r="S64" s="406"/>
    </row>
    <row r="65" customFormat="false" ht="13.95" hidden="false" customHeight="true" outlineLevel="0" collapsed="false">
      <c r="C65" s="412"/>
      <c r="D65" s="412"/>
      <c r="E65" s="412"/>
      <c r="F65" s="412"/>
      <c r="G65" s="406"/>
      <c r="H65" s="406"/>
      <c r="I65" s="412"/>
      <c r="J65" s="412"/>
      <c r="K65" s="412"/>
      <c r="L65" s="412"/>
      <c r="M65" s="406"/>
      <c r="N65" s="406"/>
      <c r="O65" s="412"/>
      <c r="P65" s="412"/>
      <c r="Q65" s="412"/>
      <c r="R65" s="412"/>
      <c r="S65" s="406"/>
    </row>
    <row r="66" customFormat="false" ht="13.95" hidden="false" customHeight="true" outlineLevel="0" collapsed="false">
      <c r="C66" s="412"/>
      <c r="D66" s="412"/>
      <c r="E66" s="412"/>
      <c r="F66" s="412"/>
      <c r="G66" s="406"/>
      <c r="H66" s="406"/>
      <c r="I66" s="412"/>
      <c r="J66" s="412"/>
      <c r="K66" s="412"/>
      <c r="L66" s="412"/>
      <c r="M66" s="406"/>
      <c r="N66" s="406"/>
      <c r="O66" s="412"/>
      <c r="P66" s="412"/>
      <c r="Q66" s="412"/>
      <c r="R66" s="412"/>
      <c r="S66" s="406"/>
    </row>
    <row r="67" s="400" customFormat="true" ht="13.2" hidden="false" customHeight="false" outlineLevel="0" collapsed="false"/>
    <row r="68" s="400" customFormat="true" ht="13.2" hidden="false" customHeight="false" outlineLevel="0" collapsed="false"/>
    <row r="69" s="400" customFormat="true" ht="13.2" hidden="false" customHeight="false" outlineLevel="0" collapsed="false"/>
    <row r="70" s="400" customFormat="true" ht="13.2" hidden="false" customHeight="false" outlineLevel="0" collapsed="false"/>
    <row r="71" s="400" customFormat="true" ht="13.2" hidden="false" customHeight="false" outlineLevel="0" collapsed="false">
      <c r="C71" s="402" t="s">
        <v>206</v>
      </c>
      <c r="D71" s="402"/>
      <c r="E71" s="402"/>
      <c r="F71" s="402"/>
      <c r="I71" s="402" t="s">
        <v>206</v>
      </c>
      <c r="J71" s="402"/>
      <c r="K71" s="402"/>
      <c r="L71" s="402"/>
      <c r="O71" s="403" t="s">
        <v>207</v>
      </c>
      <c r="P71" s="403"/>
      <c r="Q71" s="403"/>
      <c r="R71" s="403"/>
    </row>
    <row r="72" customFormat="false" ht="12.45" hidden="false" customHeight="true" outlineLevel="0" collapsed="false">
      <c r="A72" s="404" t="s">
        <v>212</v>
      </c>
      <c r="C72" s="405" t="n">
        <v>2020</v>
      </c>
      <c r="D72" s="405"/>
      <c r="E72" s="405"/>
      <c r="F72" s="405"/>
      <c r="G72" s="406"/>
      <c r="H72" s="406"/>
      <c r="I72" s="405" t="n">
        <v>2021</v>
      </c>
      <c r="J72" s="405"/>
      <c r="K72" s="405"/>
      <c r="L72" s="405"/>
      <c r="M72" s="406"/>
      <c r="N72" s="406"/>
      <c r="O72" s="405" t="n">
        <v>2022</v>
      </c>
      <c r="P72" s="405"/>
      <c r="Q72" s="405"/>
      <c r="R72" s="405"/>
      <c r="S72" s="406"/>
    </row>
    <row r="73" customFormat="false" ht="12.45" hidden="false" customHeight="true" outlineLevel="0" collapsed="false">
      <c r="C73" s="405"/>
      <c r="D73" s="405"/>
      <c r="E73" s="405"/>
      <c r="F73" s="405"/>
      <c r="G73" s="406"/>
      <c r="H73" s="406"/>
      <c r="I73" s="405"/>
      <c r="J73" s="405"/>
      <c r="K73" s="405"/>
      <c r="L73" s="405"/>
      <c r="M73" s="406"/>
      <c r="N73" s="406"/>
      <c r="O73" s="405"/>
      <c r="P73" s="405"/>
      <c r="Q73" s="405"/>
      <c r="R73" s="405"/>
      <c r="S73" s="406"/>
    </row>
    <row r="74" customFormat="false" ht="12.45" hidden="false" customHeight="true" outlineLevel="0" collapsed="false">
      <c r="C74" s="405"/>
      <c r="D74" s="405"/>
      <c r="E74" s="405"/>
      <c r="F74" s="405"/>
      <c r="G74" s="406"/>
      <c r="H74" s="406"/>
      <c r="I74" s="405"/>
      <c r="J74" s="405"/>
      <c r="K74" s="405"/>
      <c r="L74" s="405"/>
      <c r="M74" s="406"/>
      <c r="N74" s="406"/>
      <c r="O74" s="405"/>
      <c r="P74" s="405"/>
      <c r="Q74" s="405"/>
      <c r="R74" s="405"/>
      <c r="S74" s="406"/>
    </row>
    <row r="75" customFormat="false" ht="13.95" hidden="false" customHeight="true" outlineLevel="0" collapsed="false">
      <c r="C75" s="413" t="n">
        <f aca="false">Consolidado!N18</f>
        <v>87167.9725</v>
      </c>
      <c r="D75" s="413"/>
      <c r="E75" s="413"/>
      <c r="F75" s="413"/>
      <c r="G75" s="414"/>
      <c r="H75" s="414"/>
      <c r="I75" s="413" t="n">
        <f aca="false">Consolidado!P18</f>
        <v>29441.6216666667</v>
      </c>
      <c r="J75" s="413"/>
      <c r="K75" s="413"/>
      <c r="L75" s="413"/>
      <c r="M75" s="414"/>
      <c r="N75" s="414"/>
      <c r="O75" s="413" t="n">
        <f aca="false">Consolidado!AH18</f>
        <v>29969.37</v>
      </c>
      <c r="P75" s="413"/>
      <c r="Q75" s="413"/>
      <c r="R75" s="413"/>
      <c r="S75" s="409"/>
      <c r="Z75" s="410"/>
    </row>
    <row r="76" customFormat="false" ht="13.95" hidden="false" customHeight="true" outlineLevel="0" collapsed="false">
      <c r="C76" s="413"/>
      <c r="D76" s="413"/>
      <c r="E76" s="413"/>
      <c r="F76" s="413"/>
      <c r="G76" s="414"/>
      <c r="H76" s="414"/>
      <c r="I76" s="413"/>
      <c r="J76" s="413"/>
      <c r="K76" s="413"/>
      <c r="L76" s="413"/>
      <c r="M76" s="414"/>
      <c r="N76" s="414"/>
      <c r="O76" s="413"/>
      <c r="P76" s="413"/>
      <c r="Q76" s="413"/>
      <c r="R76" s="413"/>
      <c r="S76" s="409"/>
    </row>
    <row r="77" customFormat="false" ht="13.95" hidden="false" customHeight="true" outlineLevel="0" collapsed="false">
      <c r="A77" s="415" t="n">
        <f aca="false">Consolidado!L18</f>
        <v>88431.2508333333</v>
      </c>
      <c r="C77" s="413"/>
      <c r="D77" s="413"/>
      <c r="E77" s="413"/>
      <c r="F77" s="413"/>
      <c r="G77" s="414"/>
      <c r="H77" s="414"/>
      <c r="I77" s="413"/>
      <c r="J77" s="413"/>
      <c r="K77" s="413"/>
      <c r="L77" s="413"/>
      <c r="M77" s="414"/>
      <c r="N77" s="414"/>
      <c r="O77" s="413"/>
      <c r="P77" s="413"/>
      <c r="Q77" s="413"/>
      <c r="R77" s="413"/>
      <c r="S77" s="409"/>
      <c r="U77" s="410" t="n">
        <f aca="false">(O75-C75)/C75</f>
        <v>-0.656188286357125</v>
      </c>
      <c r="Z77" s="410"/>
    </row>
    <row r="78" customFormat="false" ht="13.95" hidden="false" customHeight="true" outlineLevel="0" collapsed="false">
      <c r="C78" s="413"/>
      <c r="D78" s="413"/>
      <c r="E78" s="413"/>
      <c r="F78" s="413"/>
      <c r="G78" s="414"/>
      <c r="H78" s="414"/>
      <c r="I78" s="413"/>
      <c r="J78" s="413"/>
      <c r="K78" s="413"/>
      <c r="L78" s="413"/>
      <c r="M78" s="414"/>
      <c r="N78" s="414"/>
      <c r="O78" s="413"/>
      <c r="P78" s="413"/>
      <c r="Q78" s="413"/>
      <c r="R78" s="413"/>
      <c r="S78" s="409"/>
    </row>
    <row r="79" customFormat="false" ht="13.95" hidden="false" customHeight="true" outlineLevel="0" collapsed="false">
      <c r="C79" s="413"/>
      <c r="D79" s="413"/>
      <c r="E79" s="413"/>
      <c r="F79" s="413"/>
      <c r="G79" s="414"/>
      <c r="H79" s="414"/>
      <c r="I79" s="413"/>
      <c r="J79" s="413"/>
      <c r="K79" s="413"/>
      <c r="L79" s="413"/>
      <c r="M79" s="414"/>
      <c r="N79" s="414"/>
      <c r="O79" s="413"/>
      <c r="P79" s="413"/>
      <c r="Q79" s="413"/>
      <c r="R79" s="413"/>
      <c r="S79" s="409"/>
    </row>
    <row r="80" customFormat="false" ht="13.95" hidden="false" customHeight="true" outlineLevel="0" collapsed="false">
      <c r="C80" s="416" t="n">
        <f aca="false">Consolidado!O18</f>
        <v>0.207114243941026</v>
      </c>
      <c r="D80" s="416"/>
      <c r="E80" s="416"/>
      <c r="F80" s="416"/>
      <c r="G80" s="414"/>
      <c r="H80" s="414"/>
      <c r="I80" s="416" t="n">
        <f aca="false">Consolidado!Q18</f>
        <v>0.382619649668451</v>
      </c>
      <c r="J80" s="416"/>
      <c r="K80" s="416"/>
      <c r="L80" s="416"/>
      <c r="M80" s="414"/>
      <c r="N80" s="414"/>
      <c r="O80" s="416" t="n">
        <f aca="false">Consolidado!AI18</f>
        <v>0.314507902846183</v>
      </c>
      <c r="P80" s="416"/>
      <c r="Q80" s="416"/>
      <c r="R80" s="416"/>
      <c r="S80" s="409"/>
    </row>
    <row r="81" s="400" customFormat="true" ht="4.2" hidden="false" customHeight="true" outlineLevel="0" collapsed="false"/>
    <row r="82" customFormat="false" ht="13.95" hidden="false" customHeight="true" outlineLevel="0" collapsed="false">
      <c r="C82" s="417" t="n">
        <f aca="false">(C75-A77)/A77</f>
        <v>-0.0142854287531704</v>
      </c>
      <c r="D82" s="417"/>
      <c r="E82" s="417"/>
      <c r="F82" s="417"/>
      <c r="G82" s="406"/>
      <c r="H82" s="406"/>
      <c r="I82" s="417" t="n">
        <f aca="false">(I75-C75)/C75</f>
        <v>-0.662242669844516</v>
      </c>
      <c r="J82" s="417"/>
      <c r="K82" s="417"/>
      <c r="L82" s="417"/>
      <c r="M82" s="406"/>
      <c r="N82" s="406"/>
      <c r="O82" s="417" t="n">
        <f aca="false">(O75-I75)/I75</f>
        <v>0.0179252467580904</v>
      </c>
      <c r="P82" s="417"/>
      <c r="Q82" s="417"/>
      <c r="R82" s="417"/>
      <c r="S82" s="406"/>
    </row>
    <row r="83" customFormat="false" ht="13.95" hidden="false" customHeight="true" outlineLevel="0" collapsed="false">
      <c r="C83" s="417"/>
      <c r="D83" s="417"/>
      <c r="E83" s="417"/>
      <c r="F83" s="417"/>
      <c r="G83" s="406"/>
      <c r="H83" s="406"/>
      <c r="I83" s="417"/>
      <c r="J83" s="417"/>
      <c r="K83" s="417"/>
      <c r="L83" s="417"/>
      <c r="M83" s="406"/>
      <c r="N83" s="406"/>
      <c r="O83" s="417"/>
      <c r="P83" s="417"/>
      <c r="Q83" s="417"/>
      <c r="R83" s="417"/>
      <c r="S83" s="406"/>
    </row>
    <row r="84" customFormat="false" ht="13.95" hidden="false" customHeight="true" outlineLevel="0" collapsed="false">
      <c r="C84" s="417"/>
      <c r="D84" s="417"/>
      <c r="E84" s="417"/>
      <c r="F84" s="417"/>
      <c r="G84" s="406"/>
      <c r="H84" s="406"/>
      <c r="I84" s="417"/>
      <c r="J84" s="417"/>
      <c r="K84" s="417"/>
      <c r="L84" s="417"/>
      <c r="M84" s="406"/>
      <c r="N84" s="406"/>
      <c r="O84" s="417"/>
      <c r="P84" s="417"/>
      <c r="Q84" s="417"/>
      <c r="R84" s="417"/>
      <c r="S84" s="406"/>
    </row>
    <row r="85" s="400" customFormat="true" ht="13.2" hidden="false" customHeight="false" outlineLevel="0" collapsed="false"/>
    <row r="86" s="400" customFormat="true" ht="13.2" hidden="false" customHeight="false" outlineLevel="0" collapsed="false"/>
    <row r="87" s="400" customFormat="true" ht="13.2" hidden="false" customHeight="false" outlineLevel="0" collapsed="false"/>
    <row r="88" s="400" customFormat="true" ht="13.2" hidden="false" customHeight="false" outlineLevel="0" collapsed="false"/>
    <row r="89" s="400" customFormat="true" ht="13.2" hidden="false" customHeight="false" outlineLevel="0" collapsed="false"/>
    <row r="90" s="400" customFormat="true" ht="13.2" hidden="false" customHeight="false" outlineLevel="0" collapsed="false">
      <c r="C90" s="402" t="s">
        <v>206</v>
      </c>
      <c r="D90" s="402"/>
      <c r="E90" s="402"/>
      <c r="F90" s="402"/>
      <c r="I90" s="402" t="s">
        <v>206</v>
      </c>
      <c r="J90" s="402"/>
      <c r="K90" s="402"/>
      <c r="L90" s="402"/>
      <c r="O90" s="403" t="s">
        <v>207</v>
      </c>
      <c r="P90" s="403"/>
      <c r="Q90" s="403"/>
      <c r="R90" s="403"/>
    </row>
    <row r="91" customFormat="false" ht="12.45" hidden="false" customHeight="true" outlineLevel="0" collapsed="false">
      <c r="A91" s="404" t="s">
        <v>213</v>
      </c>
      <c r="C91" s="405" t="n">
        <v>2020</v>
      </c>
      <c r="D91" s="405"/>
      <c r="E91" s="405"/>
      <c r="F91" s="405"/>
      <c r="G91" s="406"/>
      <c r="H91" s="406"/>
      <c r="I91" s="405" t="n">
        <v>2021</v>
      </c>
      <c r="J91" s="405"/>
      <c r="K91" s="405"/>
      <c r="L91" s="405"/>
      <c r="M91" s="406"/>
      <c r="N91" s="406"/>
      <c r="O91" s="405" t="n">
        <v>2022</v>
      </c>
      <c r="P91" s="405"/>
      <c r="Q91" s="405"/>
      <c r="R91" s="405"/>
      <c r="S91" s="406"/>
    </row>
    <row r="92" customFormat="false" ht="12.45" hidden="false" customHeight="true" outlineLevel="0" collapsed="false">
      <c r="C92" s="405"/>
      <c r="D92" s="405"/>
      <c r="E92" s="405"/>
      <c r="F92" s="405"/>
      <c r="G92" s="406"/>
      <c r="H92" s="406"/>
      <c r="I92" s="405"/>
      <c r="J92" s="405"/>
      <c r="K92" s="405"/>
      <c r="L92" s="405"/>
      <c r="M92" s="406"/>
      <c r="N92" s="406"/>
      <c r="O92" s="405"/>
      <c r="P92" s="405"/>
      <c r="Q92" s="405"/>
      <c r="R92" s="405"/>
      <c r="S92" s="406"/>
    </row>
    <row r="93" customFormat="false" ht="12.45" hidden="false" customHeight="true" outlineLevel="0" collapsed="false">
      <c r="C93" s="405"/>
      <c r="D93" s="405"/>
      <c r="E93" s="405"/>
      <c r="F93" s="405"/>
      <c r="G93" s="406"/>
      <c r="H93" s="406"/>
      <c r="I93" s="405"/>
      <c r="J93" s="405"/>
      <c r="K93" s="405"/>
      <c r="L93" s="405"/>
      <c r="M93" s="406"/>
      <c r="N93" s="406"/>
      <c r="O93" s="405"/>
      <c r="P93" s="405"/>
      <c r="Q93" s="405"/>
      <c r="R93" s="405"/>
      <c r="S93" s="406"/>
    </row>
    <row r="94" customFormat="false" ht="13.95" hidden="false" customHeight="true" outlineLevel="0" collapsed="false">
      <c r="C94" s="413" t="n">
        <f aca="false">Consolidado!N19</f>
        <v>45846.33</v>
      </c>
      <c r="D94" s="413"/>
      <c r="E94" s="413"/>
      <c r="F94" s="413"/>
      <c r="G94" s="414"/>
      <c r="H94" s="414"/>
      <c r="I94" s="413" t="n">
        <f aca="false">Consolidado!P19</f>
        <v>16560.9783333333</v>
      </c>
      <c r="J94" s="413"/>
      <c r="K94" s="413"/>
      <c r="L94" s="413"/>
      <c r="M94" s="414"/>
      <c r="N94" s="414"/>
      <c r="O94" s="413" t="n">
        <f aca="false">Consolidado!AH19</f>
        <v>13481.32</v>
      </c>
      <c r="P94" s="413"/>
      <c r="Q94" s="413"/>
      <c r="R94" s="413"/>
      <c r="S94" s="409"/>
      <c r="Z94" s="410"/>
    </row>
    <row r="95" customFormat="false" ht="13.95" hidden="false" customHeight="true" outlineLevel="0" collapsed="false">
      <c r="C95" s="413"/>
      <c r="D95" s="413"/>
      <c r="E95" s="413"/>
      <c r="F95" s="413"/>
      <c r="G95" s="414"/>
      <c r="H95" s="414"/>
      <c r="I95" s="413"/>
      <c r="J95" s="413"/>
      <c r="K95" s="413"/>
      <c r="L95" s="413"/>
      <c r="M95" s="414"/>
      <c r="N95" s="414"/>
      <c r="O95" s="413"/>
      <c r="P95" s="413"/>
      <c r="Q95" s="413"/>
      <c r="R95" s="413"/>
      <c r="S95" s="409"/>
    </row>
    <row r="96" customFormat="false" ht="13.95" hidden="false" customHeight="true" outlineLevel="0" collapsed="false">
      <c r="A96" s="415" t="n">
        <f aca="false">Consolidado!L19</f>
        <v>39063.6383333333</v>
      </c>
      <c r="C96" s="413"/>
      <c r="D96" s="413"/>
      <c r="E96" s="413"/>
      <c r="F96" s="413"/>
      <c r="G96" s="414"/>
      <c r="H96" s="414"/>
      <c r="I96" s="413"/>
      <c r="J96" s="413"/>
      <c r="K96" s="413"/>
      <c r="L96" s="413"/>
      <c r="M96" s="414"/>
      <c r="N96" s="414"/>
      <c r="O96" s="413"/>
      <c r="P96" s="413"/>
      <c r="Q96" s="413"/>
      <c r="R96" s="413"/>
      <c r="S96" s="409"/>
      <c r="U96" s="410" t="n">
        <f aca="false">(O94-C94)/C94</f>
        <v>-0.705945492256414</v>
      </c>
      <c r="Z96" s="410"/>
    </row>
    <row r="97" customFormat="false" ht="13.95" hidden="false" customHeight="true" outlineLevel="0" collapsed="false">
      <c r="C97" s="413"/>
      <c r="D97" s="413"/>
      <c r="E97" s="413"/>
      <c r="F97" s="413"/>
      <c r="G97" s="414"/>
      <c r="H97" s="414"/>
      <c r="I97" s="413"/>
      <c r="J97" s="413"/>
      <c r="K97" s="413"/>
      <c r="L97" s="413"/>
      <c r="M97" s="414"/>
      <c r="N97" s="414"/>
      <c r="O97" s="413"/>
      <c r="P97" s="413"/>
      <c r="Q97" s="413"/>
      <c r="R97" s="413"/>
      <c r="S97" s="409"/>
    </row>
    <row r="98" customFormat="false" ht="13.95" hidden="false" customHeight="true" outlineLevel="0" collapsed="false">
      <c r="C98" s="413"/>
      <c r="D98" s="413"/>
      <c r="E98" s="413"/>
      <c r="F98" s="413"/>
      <c r="G98" s="414"/>
      <c r="H98" s="414"/>
      <c r="I98" s="413"/>
      <c r="J98" s="413"/>
      <c r="K98" s="413"/>
      <c r="L98" s="413"/>
      <c r="M98" s="414"/>
      <c r="N98" s="414"/>
      <c r="O98" s="413"/>
      <c r="P98" s="413"/>
      <c r="Q98" s="413"/>
      <c r="R98" s="413"/>
      <c r="S98" s="409"/>
    </row>
    <row r="99" customFormat="false" ht="13.95" hidden="false" customHeight="true" outlineLevel="0" collapsed="false">
      <c r="C99" s="416" t="n">
        <f aca="false">Consolidado!O19</f>
        <v>0.108932532248823</v>
      </c>
      <c r="D99" s="416"/>
      <c r="E99" s="416"/>
      <c r="F99" s="416"/>
      <c r="G99" s="414"/>
      <c r="H99" s="414"/>
      <c r="I99" s="416" t="n">
        <f aca="false">Consolidado!Q19</f>
        <v>0.215224412561519</v>
      </c>
      <c r="J99" s="416"/>
      <c r="K99" s="416"/>
      <c r="L99" s="416"/>
      <c r="M99" s="414"/>
      <c r="N99" s="414"/>
      <c r="O99" s="416" t="n">
        <f aca="false">Consolidado!AI19</f>
        <v>0.14147717088475</v>
      </c>
      <c r="P99" s="416"/>
      <c r="Q99" s="416"/>
      <c r="R99" s="416"/>
      <c r="S99" s="409"/>
    </row>
    <row r="100" s="400" customFormat="true" ht="4.2" hidden="false" customHeight="true" outlineLevel="0" collapsed="false"/>
    <row r="101" customFormat="false" ht="13.95" hidden="false" customHeight="true" outlineLevel="0" collapsed="false">
      <c r="C101" s="417" t="n">
        <f aca="false">(C94-A96)/A96</f>
        <v>0.173631846803142</v>
      </c>
      <c r="D101" s="417"/>
      <c r="E101" s="417"/>
      <c r="F101" s="417"/>
      <c r="G101" s="406"/>
      <c r="H101" s="406"/>
      <c r="I101" s="417" t="n">
        <f aca="false">(I94-C94)/C94</f>
        <v>-0.638771994763085</v>
      </c>
      <c r="J101" s="417"/>
      <c r="K101" s="417"/>
      <c r="L101" s="417"/>
      <c r="M101" s="406"/>
      <c r="N101" s="406"/>
      <c r="O101" s="417" t="n">
        <f aca="false">(O94-I94)/I94</f>
        <v>-0.185958720031335</v>
      </c>
      <c r="P101" s="417"/>
      <c r="Q101" s="417"/>
      <c r="R101" s="417"/>
      <c r="S101" s="406"/>
    </row>
    <row r="102" customFormat="false" ht="13.95" hidden="false" customHeight="true" outlineLevel="0" collapsed="false">
      <c r="C102" s="417"/>
      <c r="D102" s="417"/>
      <c r="E102" s="417"/>
      <c r="F102" s="417"/>
      <c r="G102" s="406"/>
      <c r="H102" s="406"/>
      <c r="I102" s="417"/>
      <c r="J102" s="417"/>
      <c r="K102" s="417"/>
      <c r="L102" s="417"/>
      <c r="M102" s="406"/>
      <c r="N102" s="406"/>
      <c r="O102" s="417"/>
      <c r="P102" s="417"/>
      <c r="Q102" s="417"/>
      <c r="R102" s="417"/>
      <c r="S102" s="406"/>
    </row>
    <row r="103" customFormat="false" ht="13.95" hidden="false" customHeight="true" outlineLevel="0" collapsed="false">
      <c r="C103" s="417"/>
      <c r="D103" s="417"/>
      <c r="E103" s="417"/>
      <c r="F103" s="417"/>
      <c r="G103" s="406"/>
      <c r="H103" s="406"/>
      <c r="I103" s="417"/>
      <c r="J103" s="417"/>
      <c r="K103" s="417"/>
      <c r="L103" s="417"/>
      <c r="M103" s="406"/>
      <c r="N103" s="406"/>
      <c r="O103" s="417"/>
      <c r="P103" s="417"/>
      <c r="Q103" s="417"/>
      <c r="R103" s="417"/>
      <c r="S103" s="406"/>
    </row>
    <row r="104" s="400" customFormat="true" ht="13.2" hidden="false" customHeight="false" outlineLevel="0" collapsed="false"/>
    <row r="105" s="400" customFormat="true" ht="13.2" hidden="false" customHeight="false" outlineLevel="0" collapsed="false"/>
    <row r="106" s="400" customFormat="true" ht="13.2" hidden="false" customHeight="false" outlineLevel="0" collapsed="false"/>
    <row r="107" s="400" customFormat="true" ht="13.2" hidden="false" customHeight="false" outlineLevel="0" collapsed="false"/>
    <row r="108" s="400" customFormat="true" ht="13.2" hidden="false" customHeight="false" outlineLevel="0" collapsed="false"/>
    <row r="109" s="400" customFormat="true" ht="13.2" hidden="false" customHeight="false" outlineLevel="0" collapsed="false">
      <c r="C109" s="402" t="s">
        <v>206</v>
      </c>
      <c r="D109" s="402"/>
      <c r="E109" s="402"/>
      <c r="F109" s="402"/>
      <c r="I109" s="402" t="s">
        <v>206</v>
      </c>
      <c r="J109" s="402"/>
      <c r="K109" s="402"/>
      <c r="L109" s="402"/>
      <c r="O109" s="403" t="s">
        <v>207</v>
      </c>
      <c r="P109" s="403"/>
      <c r="Q109" s="403"/>
      <c r="R109" s="403"/>
    </row>
    <row r="110" customFormat="false" ht="12.45" hidden="false" customHeight="true" outlineLevel="0" collapsed="false">
      <c r="A110" s="404" t="s">
        <v>214</v>
      </c>
      <c r="C110" s="405" t="n">
        <v>2020</v>
      </c>
      <c r="D110" s="405"/>
      <c r="E110" s="405"/>
      <c r="F110" s="405"/>
      <c r="G110" s="406"/>
      <c r="H110" s="406"/>
      <c r="I110" s="405" t="n">
        <v>2021</v>
      </c>
      <c r="J110" s="405"/>
      <c r="K110" s="405"/>
      <c r="L110" s="405"/>
      <c r="M110" s="406"/>
      <c r="N110" s="406"/>
      <c r="O110" s="405" t="n">
        <v>2022</v>
      </c>
      <c r="P110" s="405"/>
      <c r="Q110" s="405"/>
      <c r="R110" s="405"/>
      <c r="S110" s="406"/>
    </row>
    <row r="111" customFormat="false" ht="12.45" hidden="false" customHeight="true" outlineLevel="0" collapsed="false">
      <c r="C111" s="405"/>
      <c r="D111" s="405"/>
      <c r="E111" s="405"/>
      <c r="F111" s="405"/>
      <c r="G111" s="406"/>
      <c r="H111" s="406"/>
      <c r="I111" s="405"/>
      <c r="J111" s="405"/>
      <c r="K111" s="405"/>
      <c r="L111" s="405"/>
      <c r="M111" s="406"/>
      <c r="N111" s="406"/>
      <c r="O111" s="405"/>
      <c r="P111" s="405"/>
      <c r="Q111" s="405"/>
      <c r="R111" s="405"/>
      <c r="S111" s="406"/>
    </row>
    <row r="112" customFormat="false" ht="12.45" hidden="false" customHeight="true" outlineLevel="0" collapsed="false">
      <c r="C112" s="405"/>
      <c r="D112" s="405"/>
      <c r="E112" s="405"/>
      <c r="F112" s="405"/>
      <c r="G112" s="406"/>
      <c r="H112" s="406"/>
      <c r="I112" s="405"/>
      <c r="J112" s="405"/>
      <c r="K112" s="405"/>
      <c r="L112" s="405"/>
      <c r="M112" s="406"/>
      <c r="N112" s="406"/>
      <c r="O112" s="405"/>
      <c r="P112" s="405"/>
      <c r="Q112" s="405"/>
      <c r="R112" s="405"/>
      <c r="S112" s="406"/>
    </row>
    <row r="113" customFormat="false" ht="13.95" hidden="false" customHeight="true" outlineLevel="0" collapsed="false">
      <c r="C113" s="413" t="n">
        <f aca="false">Consolidado!N20</f>
        <v>41321.6425</v>
      </c>
      <c r="D113" s="413"/>
      <c r="E113" s="413"/>
      <c r="F113" s="413"/>
      <c r="G113" s="414"/>
      <c r="H113" s="414"/>
      <c r="I113" s="413" t="n">
        <f aca="false">Consolidado!P20</f>
        <v>12880.6433333333</v>
      </c>
      <c r="J113" s="413"/>
      <c r="K113" s="413"/>
      <c r="L113" s="413"/>
      <c r="M113" s="414"/>
      <c r="N113" s="414"/>
      <c r="O113" s="413" t="n">
        <f aca="false">Consolidado!AH20</f>
        <v>16488.05</v>
      </c>
      <c r="P113" s="413"/>
      <c r="Q113" s="413"/>
      <c r="R113" s="413"/>
      <c r="S113" s="409"/>
      <c r="Z113" s="410"/>
    </row>
    <row r="114" customFormat="false" ht="13.95" hidden="false" customHeight="true" outlineLevel="0" collapsed="false">
      <c r="C114" s="413"/>
      <c r="D114" s="413"/>
      <c r="E114" s="413"/>
      <c r="F114" s="413"/>
      <c r="G114" s="414"/>
      <c r="H114" s="414"/>
      <c r="I114" s="413"/>
      <c r="J114" s="413"/>
      <c r="K114" s="413"/>
      <c r="L114" s="413"/>
      <c r="M114" s="414"/>
      <c r="N114" s="414"/>
      <c r="O114" s="413"/>
      <c r="P114" s="413"/>
      <c r="Q114" s="413"/>
      <c r="R114" s="413"/>
      <c r="S114" s="409"/>
    </row>
    <row r="115" customFormat="false" ht="13.95" hidden="false" customHeight="true" outlineLevel="0" collapsed="false">
      <c r="A115" s="415" t="n">
        <f aca="false">Consolidado!L20</f>
        <v>49367.6125</v>
      </c>
      <c r="C115" s="413"/>
      <c r="D115" s="413"/>
      <c r="E115" s="413"/>
      <c r="F115" s="413"/>
      <c r="G115" s="414"/>
      <c r="H115" s="414"/>
      <c r="I115" s="413"/>
      <c r="J115" s="413"/>
      <c r="K115" s="413"/>
      <c r="L115" s="413"/>
      <c r="M115" s="414"/>
      <c r="N115" s="414"/>
      <c r="O115" s="413"/>
      <c r="P115" s="413"/>
      <c r="Q115" s="413"/>
      <c r="R115" s="413"/>
      <c r="S115" s="409"/>
      <c r="U115" s="410" t="n">
        <f aca="false">(O113-C113)/C113</f>
        <v>-0.600982705370436</v>
      </c>
      <c r="Z115" s="410"/>
    </row>
    <row r="116" customFormat="false" ht="13.95" hidden="false" customHeight="true" outlineLevel="0" collapsed="false">
      <c r="C116" s="413"/>
      <c r="D116" s="413"/>
      <c r="E116" s="413"/>
      <c r="F116" s="413"/>
      <c r="G116" s="414"/>
      <c r="H116" s="414"/>
      <c r="I116" s="413"/>
      <c r="J116" s="413"/>
      <c r="K116" s="413"/>
      <c r="L116" s="413"/>
      <c r="M116" s="414"/>
      <c r="N116" s="414"/>
      <c r="O116" s="413"/>
      <c r="P116" s="413"/>
      <c r="Q116" s="413"/>
      <c r="R116" s="413"/>
      <c r="S116" s="409"/>
    </row>
    <row r="117" customFormat="false" ht="13.95" hidden="false" customHeight="true" outlineLevel="0" collapsed="false">
      <c r="C117" s="413"/>
      <c r="D117" s="413"/>
      <c r="E117" s="413"/>
      <c r="F117" s="413"/>
      <c r="G117" s="414"/>
      <c r="H117" s="414"/>
      <c r="I117" s="413"/>
      <c r="J117" s="413"/>
      <c r="K117" s="413"/>
      <c r="L117" s="413"/>
      <c r="M117" s="414"/>
      <c r="N117" s="414"/>
      <c r="O117" s="413"/>
      <c r="P117" s="413"/>
      <c r="Q117" s="413"/>
      <c r="R117" s="413"/>
      <c r="S117" s="409"/>
    </row>
    <row r="118" customFormat="false" ht="13.95" hidden="false" customHeight="true" outlineLevel="0" collapsed="false">
      <c r="C118" s="416" t="n">
        <f aca="false">Consolidado!O20</f>
        <v>0.0981817116922031</v>
      </c>
      <c r="D118" s="416"/>
      <c r="E118" s="416"/>
      <c r="F118" s="416"/>
      <c r="G118" s="414"/>
      <c r="H118" s="414"/>
      <c r="I118" s="416" t="n">
        <f aca="false">Consolidado!Q20</f>
        <v>0.167395237106933</v>
      </c>
      <c r="J118" s="416"/>
      <c r="K118" s="416"/>
      <c r="L118" s="416"/>
      <c r="M118" s="414"/>
      <c r="N118" s="414"/>
      <c r="O118" s="416" t="n">
        <f aca="false">Consolidado!AI20</f>
        <v>0.173030731961433</v>
      </c>
      <c r="P118" s="416"/>
      <c r="Q118" s="416"/>
      <c r="R118" s="416"/>
      <c r="S118" s="409"/>
    </row>
    <row r="119" s="400" customFormat="true" ht="4.2" hidden="false" customHeight="true" outlineLevel="0" collapsed="false"/>
    <row r="120" customFormat="false" ht="13.95" hidden="false" customHeight="true" outlineLevel="0" collapsed="false">
      <c r="C120" s="417" t="n">
        <f aca="false">(C113-A115)/A115</f>
        <v>-0.162980739649907</v>
      </c>
      <c r="D120" s="417"/>
      <c r="E120" s="417"/>
      <c r="F120" s="417"/>
      <c r="G120" s="406"/>
      <c r="H120" s="406"/>
      <c r="I120" s="417" t="n">
        <f aca="false">(I113-C113)/C113</f>
        <v>-0.688283365470447</v>
      </c>
      <c r="J120" s="417"/>
      <c r="K120" s="417"/>
      <c r="L120" s="417"/>
      <c r="M120" s="406"/>
      <c r="N120" s="406"/>
      <c r="O120" s="417" t="n">
        <f aca="false">(O113-I113)/I113</f>
        <v>0.28006416863754</v>
      </c>
      <c r="P120" s="417"/>
      <c r="Q120" s="417"/>
      <c r="R120" s="417"/>
      <c r="S120" s="406"/>
    </row>
    <row r="121" customFormat="false" ht="13.95" hidden="false" customHeight="true" outlineLevel="0" collapsed="false">
      <c r="C121" s="417"/>
      <c r="D121" s="417"/>
      <c r="E121" s="417"/>
      <c r="F121" s="417"/>
      <c r="G121" s="406"/>
      <c r="H121" s="406"/>
      <c r="I121" s="417"/>
      <c r="J121" s="417"/>
      <c r="K121" s="417"/>
      <c r="L121" s="417"/>
      <c r="M121" s="406"/>
      <c r="N121" s="406"/>
      <c r="O121" s="417"/>
      <c r="P121" s="417"/>
      <c r="Q121" s="417"/>
      <c r="R121" s="417"/>
      <c r="S121" s="406"/>
    </row>
    <row r="122" customFormat="false" ht="13.95" hidden="false" customHeight="true" outlineLevel="0" collapsed="false">
      <c r="C122" s="417"/>
      <c r="D122" s="417"/>
      <c r="E122" s="417"/>
      <c r="F122" s="417"/>
      <c r="G122" s="406"/>
      <c r="H122" s="406"/>
      <c r="I122" s="417"/>
      <c r="J122" s="417"/>
      <c r="K122" s="417"/>
      <c r="L122" s="417"/>
      <c r="M122" s="406"/>
      <c r="N122" s="406"/>
      <c r="O122" s="417"/>
      <c r="P122" s="417"/>
      <c r="Q122" s="417"/>
      <c r="R122" s="417"/>
      <c r="S122" s="406"/>
    </row>
    <row r="123" s="400" customFormat="true" ht="13.2" hidden="false" customHeight="false" outlineLevel="0" collapsed="false"/>
    <row r="124" s="400" customFormat="true" ht="13.2" hidden="false" customHeight="false" outlineLevel="0" collapsed="false"/>
    <row r="125" s="400" customFormat="true" ht="13.2" hidden="false" customHeight="false" outlineLevel="0" collapsed="false"/>
    <row r="126" s="400" customFormat="true" ht="13.2" hidden="false" customHeight="false" outlineLevel="0" collapsed="false"/>
    <row r="127" s="400" customFormat="true" ht="13.2" hidden="false" customHeight="false" outlineLevel="0" collapsed="false"/>
    <row r="128" s="400" customFormat="true" ht="13.2" hidden="false" customHeight="false" outlineLevel="0" collapsed="false"/>
    <row r="129" s="400" customFormat="true" ht="13.2" hidden="false" customHeight="false" outlineLevel="0" collapsed="false"/>
    <row r="130" s="400" customFormat="true" ht="13.2" hidden="false" customHeight="false" outlineLevel="0" collapsed="false">
      <c r="C130" s="402" t="s">
        <v>206</v>
      </c>
      <c r="D130" s="402"/>
      <c r="E130" s="402"/>
      <c r="F130" s="402"/>
      <c r="I130" s="402" t="s">
        <v>206</v>
      </c>
      <c r="J130" s="402"/>
      <c r="K130" s="402"/>
      <c r="L130" s="402"/>
      <c r="O130" s="403" t="s">
        <v>207</v>
      </c>
      <c r="P130" s="403"/>
      <c r="Q130" s="403"/>
      <c r="R130" s="403"/>
    </row>
    <row r="131" customFormat="false" ht="12.45" hidden="false" customHeight="true" outlineLevel="0" collapsed="false">
      <c r="A131" s="404" t="s">
        <v>88</v>
      </c>
      <c r="C131" s="405" t="n">
        <v>2020</v>
      </c>
      <c r="D131" s="405"/>
      <c r="E131" s="405"/>
      <c r="F131" s="405"/>
      <c r="G131" s="406"/>
      <c r="H131" s="406"/>
      <c r="I131" s="405" t="n">
        <v>2021</v>
      </c>
      <c r="J131" s="405"/>
      <c r="K131" s="405"/>
      <c r="L131" s="405"/>
      <c r="M131" s="406"/>
      <c r="N131" s="406"/>
      <c r="O131" s="405" t="n">
        <v>2022</v>
      </c>
      <c r="P131" s="405"/>
      <c r="Q131" s="405"/>
      <c r="R131" s="405"/>
      <c r="S131" s="406"/>
    </row>
    <row r="132" customFormat="false" ht="12.45" hidden="false" customHeight="true" outlineLevel="0" collapsed="false">
      <c r="C132" s="405"/>
      <c r="D132" s="405"/>
      <c r="E132" s="405"/>
      <c r="F132" s="405"/>
      <c r="G132" s="406"/>
      <c r="H132" s="406"/>
      <c r="I132" s="405"/>
      <c r="J132" s="405"/>
      <c r="K132" s="405"/>
      <c r="L132" s="405"/>
      <c r="M132" s="406"/>
      <c r="N132" s="406"/>
      <c r="O132" s="405"/>
      <c r="P132" s="405"/>
      <c r="Q132" s="405"/>
      <c r="R132" s="405"/>
      <c r="S132" s="406"/>
    </row>
    <row r="133" customFormat="false" ht="12.45" hidden="false" customHeight="true" outlineLevel="0" collapsed="false">
      <c r="C133" s="405"/>
      <c r="D133" s="405"/>
      <c r="E133" s="405"/>
      <c r="F133" s="405"/>
      <c r="G133" s="406"/>
      <c r="H133" s="406"/>
      <c r="I133" s="405"/>
      <c r="J133" s="405"/>
      <c r="K133" s="405"/>
      <c r="L133" s="405"/>
      <c r="M133" s="406"/>
      <c r="N133" s="406"/>
      <c r="O133" s="405"/>
      <c r="P133" s="405"/>
      <c r="Q133" s="405"/>
      <c r="R133" s="405"/>
      <c r="S133" s="406"/>
    </row>
    <row r="134" customFormat="false" ht="13.95" hidden="false" customHeight="true" outlineLevel="0" collapsed="false">
      <c r="C134" s="418" t="n">
        <v>25</v>
      </c>
      <c r="D134" s="418"/>
      <c r="E134" s="418"/>
      <c r="F134" s="418"/>
      <c r="G134" s="419"/>
      <c r="H134" s="419"/>
      <c r="I134" s="418" t="n">
        <v>37</v>
      </c>
      <c r="J134" s="418"/>
      <c r="K134" s="418"/>
      <c r="L134" s="418"/>
      <c r="M134" s="419"/>
      <c r="N134" s="419"/>
      <c r="O134" s="418" t="n">
        <f aca="false">'Res. x Pessoa'!U13</f>
        <v>35</v>
      </c>
      <c r="P134" s="418"/>
      <c r="Q134" s="418"/>
      <c r="R134" s="418"/>
      <c r="S134" s="409"/>
      <c r="Z134" s="410"/>
    </row>
    <row r="135" customFormat="false" ht="13.95" hidden="false" customHeight="true" outlineLevel="0" collapsed="false">
      <c r="C135" s="418"/>
      <c r="D135" s="418"/>
      <c r="E135" s="418"/>
      <c r="F135" s="418"/>
      <c r="G135" s="419"/>
      <c r="H135" s="419"/>
      <c r="I135" s="418"/>
      <c r="J135" s="418"/>
      <c r="K135" s="418"/>
      <c r="L135" s="418"/>
      <c r="M135" s="419"/>
      <c r="N135" s="419"/>
      <c r="O135" s="418"/>
      <c r="P135" s="418"/>
      <c r="Q135" s="418"/>
      <c r="R135" s="418"/>
      <c r="S135" s="409"/>
    </row>
    <row r="136" customFormat="false" ht="13.95" hidden="false" customHeight="true" outlineLevel="0" collapsed="false">
      <c r="A136" s="420" t="n">
        <v>20</v>
      </c>
      <c r="C136" s="418"/>
      <c r="D136" s="418"/>
      <c r="E136" s="418"/>
      <c r="F136" s="418"/>
      <c r="G136" s="419"/>
      <c r="H136" s="419"/>
      <c r="I136" s="418"/>
      <c r="J136" s="418"/>
      <c r="K136" s="418"/>
      <c r="L136" s="418"/>
      <c r="M136" s="419"/>
      <c r="N136" s="419"/>
      <c r="O136" s="418"/>
      <c r="P136" s="418"/>
      <c r="Q136" s="418"/>
      <c r="R136" s="418"/>
      <c r="S136" s="409"/>
      <c r="U136" s="410" t="n">
        <f aca="false">(O134-C134)/C134</f>
        <v>0.4</v>
      </c>
      <c r="Z136" s="410"/>
    </row>
    <row r="137" customFormat="false" ht="13.95" hidden="false" customHeight="true" outlineLevel="0" collapsed="false">
      <c r="C137" s="418"/>
      <c r="D137" s="418"/>
      <c r="E137" s="418"/>
      <c r="F137" s="418"/>
      <c r="G137" s="419"/>
      <c r="H137" s="419"/>
      <c r="I137" s="418"/>
      <c r="J137" s="418"/>
      <c r="K137" s="418"/>
      <c r="L137" s="418"/>
      <c r="M137" s="419"/>
      <c r="N137" s="419"/>
      <c r="O137" s="418"/>
      <c r="P137" s="418"/>
      <c r="Q137" s="418"/>
      <c r="R137" s="418"/>
      <c r="S137" s="409"/>
    </row>
    <row r="138" customFormat="false" ht="13.95" hidden="false" customHeight="true" outlineLevel="0" collapsed="false">
      <c r="C138" s="418"/>
      <c r="D138" s="418"/>
      <c r="E138" s="418"/>
      <c r="F138" s="418"/>
      <c r="G138" s="419"/>
      <c r="H138" s="419"/>
      <c r="I138" s="418"/>
      <c r="J138" s="418"/>
      <c r="K138" s="418"/>
      <c r="L138" s="418"/>
      <c r="M138" s="419"/>
      <c r="N138" s="419"/>
      <c r="O138" s="418"/>
      <c r="P138" s="418"/>
      <c r="Q138" s="418"/>
      <c r="R138" s="418"/>
      <c r="S138" s="409"/>
    </row>
    <row r="139" customFormat="false" ht="13.95" hidden="false" customHeight="true" outlineLevel="0" collapsed="false">
      <c r="C139" s="418"/>
      <c r="D139" s="418"/>
      <c r="E139" s="418"/>
      <c r="F139" s="418"/>
      <c r="G139" s="419"/>
      <c r="H139" s="419"/>
      <c r="I139" s="418"/>
      <c r="J139" s="418"/>
      <c r="K139" s="418"/>
      <c r="L139" s="418"/>
      <c r="M139" s="419"/>
      <c r="N139" s="419"/>
      <c r="O139" s="418"/>
      <c r="P139" s="418"/>
      <c r="Q139" s="418"/>
      <c r="R139" s="418"/>
      <c r="S139" s="409"/>
    </row>
    <row r="140" s="400" customFormat="true" ht="4.2" hidden="false" customHeight="true" outlineLevel="0" collapsed="false"/>
    <row r="141" customFormat="false" ht="13.95" hidden="false" customHeight="true" outlineLevel="0" collapsed="false">
      <c r="C141" s="417" t="n">
        <f aca="false">(C134-A136)/A136</f>
        <v>0.25</v>
      </c>
      <c r="D141" s="417"/>
      <c r="E141" s="417"/>
      <c r="F141" s="417"/>
      <c r="G141" s="406"/>
      <c r="H141" s="406"/>
      <c r="I141" s="417" t="n">
        <f aca="false">(I134-C134)/C134</f>
        <v>0.48</v>
      </c>
      <c r="J141" s="417"/>
      <c r="K141" s="417"/>
      <c r="L141" s="417"/>
      <c r="M141" s="406"/>
      <c r="N141" s="406"/>
      <c r="O141" s="417" t="n">
        <f aca="false">(O134-I134)/I134</f>
        <v>-0.0540540540540541</v>
      </c>
      <c r="P141" s="417"/>
      <c r="Q141" s="417"/>
      <c r="R141" s="417"/>
      <c r="S141" s="406"/>
    </row>
    <row r="142" customFormat="false" ht="13.95" hidden="false" customHeight="true" outlineLevel="0" collapsed="false">
      <c r="C142" s="417"/>
      <c r="D142" s="417"/>
      <c r="E142" s="417"/>
      <c r="F142" s="417"/>
      <c r="G142" s="406"/>
      <c r="H142" s="406"/>
      <c r="I142" s="417"/>
      <c r="J142" s="417"/>
      <c r="K142" s="417"/>
      <c r="L142" s="417"/>
      <c r="M142" s="406"/>
      <c r="N142" s="406"/>
      <c r="O142" s="417"/>
      <c r="P142" s="417"/>
      <c r="Q142" s="417"/>
      <c r="R142" s="417"/>
      <c r="S142" s="406"/>
    </row>
    <row r="143" customFormat="false" ht="13.95" hidden="false" customHeight="true" outlineLevel="0" collapsed="false">
      <c r="C143" s="417"/>
      <c r="D143" s="417"/>
      <c r="E143" s="417"/>
      <c r="F143" s="417"/>
      <c r="G143" s="406"/>
      <c r="H143" s="406"/>
      <c r="I143" s="417"/>
      <c r="J143" s="417"/>
      <c r="K143" s="417"/>
      <c r="L143" s="417"/>
      <c r="M143" s="406"/>
      <c r="N143" s="406"/>
      <c r="O143" s="417"/>
      <c r="P143" s="417"/>
      <c r="Q143" s="417"/>
      <c r="R143" s="417"/>
      <c r="S143" s="406"/>
    </row>
    <row r="144" s="400" customFormat="true" ht="13.2" hidden="false" customHeight="false" outlineLevel="0" collapsed="false"/>
    <row r="145" s="400" customFormat="true" ht="13.2" hidden="false" customHeight="false" outlineLevel="0" collapsed="false"/>
    <row r="146" s="400" customFormat="true" ht="13.2" hidden="false" customHeight="false" outlineLevel="0" collapsed="false"/>
    <row r="147" s="400" customFormat="true" ht="13.2" hidden="false" customHeight="false" outlineLevel="0" collapsed="false"/>
    <row r="148" s="400" customFormat="true" ht="13.2" hidden="false" customHeight="false" outlineLevel="0" collapsed="false"/>
    <row r="149" s="400" customFormat="true" ht="13.2" hidden="false" customHeight="false" outlineLevel="0" collapsed="false"/>
    <row r="150" s="400" customFormat="true" ht="13.2" hidden="false" customHeight="false" outlineLevel="0" collapsed="false"/>
    <row r="151" s="400" customFormat="true" ht="13.2" hidden="false" customHeight="false" outlineLevel="0" collapsed="false"/>
    <row r="152" s="400" customFormat="true" ht="13.2" hidden="false" customHeight="false" outlineLevel="0" collapsed="false">
      <c r="C152" s="402" t="s">
        <v>206</v>
      </c>
      <c r="D152" s="402"/>
      <c r="E152" s="402"/>
      <c r="F152" s="402"/>
      <c r="I152" s="402" t="s">
        <v>206</v>
      </c>
      <c r="J152" s="402"/>
      <c r="K152" s="402"/>
      <c r="L152" s="402"/>
      <c r="O152" s="403" t="s">
        <v>207</v>
      </c>
      <c r="P152" s="403"/>
      <c r="Q152" s="403"/>
      <c r="R152" s="403"/>
    </row>
    <row r="153" customFormat="false" ht="12.45" hidden="false" customHeight="true" outlineLevel="0" collapsed="false">
      <c r="A153" s="404" t="s">
        <v>215</v>
      </c>
      <c r="C153" s="405" t="n">
        <v>2020</v>
      </c>
      <c r="D153" s="405"/>
      <c r="E153" s="405"/>
      <c r="F153" s="405"/>
      <c r="G153" s="406"/>
      <c r="H153" s="406"/>
      <c r="I153" s="405" t="n">
        <v>2021</v>
      </c>
      <c r="J153" s="405"/>
      <c r="K153" s="405"/>
      <c r="L153" s="405"/>
      <c r="M153" s="406"/>
      <c r="N153" s="406"/>
      <c r="O153" s="405" t="n">
        <v>2022</v>
      </c>
      <c r="P153" s="405"/>
      <c r="Q153" s="405"/>
      <c r="R153" s="405"/>
      <c r="S153" s="406"/>
    </row>
    <row r="154" customFormat="false" ht="12.45" hidden="false" customHeight="true" outlineLevel="0" collapsed="false">
      <c r="C154" s="405"/>
      <c r="D154" s="405"/>
      <c r="E154" s="405"/>
      <c r="F154" s="405"/>
      <c r="G154" s="406"/>
      <c r="H154" s="406"/>
      <c r="I154" s="405"/>
      <c r="J154" s="405"/>
      <c r="K154" s="405"/>
      <c r="L154" s="405"/>
      <c r="M154" s="406"/>
      <c r="N154" s="406"/>
      <c r="O154" s="405"/>
      <c r="P154" s="405"/>
      <c r="Q154" s="405"/>
      <c r="R154" s="405"/>
      <c r="S154" s="406"/>
    </row>
    <row r="155" customFormat="false" ht="12.45" hidden="false" customHeight="true" outlineLevel="0" collapsed="false">
      <c r="C155" s="405"/>
      <c r="D155" s="405"/>
      <c r="E155" s="405"/>
      <c r="F155" s="405"/>
      <c r="G155" s="406"/>
      <c r="H155" s="406"/>
      <c r="I155" s="405"/>
      <c r="J155" s="405"/>
      <c r="K155" s="405"/>
      <c r="L155" s="405"/>
      <c r="M155" s="406"/>
      <c r="N155" s="406"/>
      <c r="O155" s="405"/>
      <c r="P155" s="405"/>
      <c r="Q155" s="405"/>
      <c r="R155" s="405"/>
      <c r="S155" s="406"/>
    </row>
    <row r="156" customFormat="false" ht="13.95" hidden="false" customHeight="true" outlineLevel="0" collapsed="false">
      <c r="C156" s="413" t="n">
        <f aca="false">Consolidado!N22</f>
        <v>102059.58</v>
      </c>
      <c r="D156" s="413"/>
      <c r="E156" s="413"/>
      <c r="F156" s="413"/>
      <c r="G156" s="414"/>
      <c r="H156" s="414"/>
      <c r="I156" s="413" t="n">
        <f aca="false">Consolidado!P22</f>
        <v>3560.11833333333</v>
      </c>
      <c r="J156" s="413"/>
      <c r="K156" s="413"/>
      <c r="L156" s="413"/>
      <c r="M156" s="414"/>
      <c r="N156" s="414"/>
      <c r="O156" s="413" t="n">
        <f aca="false">Consolidado!AH22</f>
        <v>10153.52</v>
      </c>
      <c r="P156" s="413"/>
      <c r="Q156" s="413"/>
      <c r="R156" s="413"/>
      <c r="S156" s="409"/>
      <c r="Z156" s="410"/>
    </row>
    <row r="157" customFormat="false" ht="13.95" hidden="false" customHeight="true" outlineLevel="0" collapsed="false">
      <c r="C157" s="413"/>
      <c r="D157" s="413"/>
      <c r="E157" s="413"/>
      <c r="F157" s="413"/>
      <c r="G157" s="414"/>
      <c r="H157" s="414"/>
      <c r="I157" s="413"/>
      <c r="J157" s="413"/>
      <c r="K157" s="413"/>
      <c r="L157" s="413"/>
      <c r="M157" s="414"/>
      <c r="N157" s="414"/>
      <c r="O157" s="413"/>
      <c r="P157" s="413"/>
      <c r="Q157" s="413"/>
      <c r="R157" s="413"/>
      <c r="S157" s="409"/>
    </row>
    <row r="158" customFormat="false" ht="13.95" hidden="false" customHeight="true" outlineLevel="0" collapsed="false">
      <c r="A158" s="415"/>
      <c r="C158" s="413"/>
      <c r="D158" s="413"/>
      <c r="E158" s="413"/>
      <c r="F158" s="413"/>
      <c r="G158" s="414"/>
      <c r="H158" s="414"/>
      <c r="I158" s="413"/>
      <c r="J158" s="413"/>
      <c r="K158" s="413"/>
      <c r="L158" s="413"/>
      <c r="M158" s="414"/>
      <c r="N158" s="414"/>
      <c r="O158" s="413"/>
      <c r="P158" s="413"/>
      <c r="Q158" s="413"/>
      <c r="R158" s="413"/>
      <c r="S158" s="409"/>
      <c r="U158" s="410" t="n">
        <f aca="false">(O156-C156)/C156</f>
        <v>-0.900513797920783</v>
      </c>
      <c r="X158" s="421" t="n">
        <f aca="false">O156*12</f>
        <v>121842.24</v>
      </c>
      <c r="Y158" s="422" t="n">
        <f aca="false">X158/X159</f>
        <v>0.0143794769077565</v>
      </c>
      <c r="Z158" s="410"/>
    </row>
    <row r="159" customFormat="false" ht="13.95" hidden="false" customHeight="true" outlineLevel="0" collapsed="false">
      <c r="C159" s="413"/>
      <c r="D159" s="413"/>
      <c r="E159" s="413"/>
      <c r="F159" s="413"/>
      <c r="G159" s="414"/>
      <c r="H159" s="414"/>
      <c r="I159" s="413"/>
      <c r="J159" s="413"/>
      <c r="K159" s="413"/>
      <c r="L159" s="413"/>
      <c r="M159" s="414"/>
      <c r="N159" s="414"/>
      <c r="O159" s="413"/>
      <c r="P159" s="413"/>
      <c r="Q159" s="413"/>
      <c r="R159" s="413"/>
      <c r="S159" s="409"/>
      <c r="X159" s="423" t="n">
        <v>8473343</v>
      </c>
    </row>
    <row r="160" customFormat="false" ht="13.95" hidden="false" customHeight="true" outlineLevel="0" collapsed="false">
      <c r="C160" s="413"/>
      <c r="D160" s="413"/>
      <c r="E160" s="413"/>
      <c r="F160" s="413"/>
      <c r="G160" s="414"/>
      <c r="H160" s="414"/>
      <c r="I160" s="413"/>
      <c r="J160" s="413"/>
      <c r="K160" s="413"/>
      <c r="L160" s="413"/>
      <c r="M160" s="414"/>
      <c r="N160" s="414"/>
      <c r="O160" s="413"/>
      <c r="P160" s="413"/>
      <c r="Q160" s="413"/>
      <c r="R160" s="413"/>
      <c r="S160" s="409"/>
    </row>
    <row r="161" customFormat="false" ht="13.95" hidden="false" customHeight="true" outlineLevel="0" collapsed="false">
      <c r="C161" s="413"/>
      <c r="D161" s="413"/>
      <c r="E161" s="413"/>
      <c r="F161" s="413"/>
      <c r="G161" s="414"/>
      <c r="H161" s="414"/>
      <c r="I161" s="413"/>
      <c r="J161" s="413"/>
      <c r="K161" s="413"/>
      <c r="L161" s="413"/>
      <c r="M161" s="414"/>
      <c r="N161" s="414"/>
      <c r="O161" s="413"/>
      <c r="P161" s="413"/>
      <c r="Q161" s="413"/>
      <c r="R161" s="413"/>
      <c r="S161" s="409"/>
    </row>
    <row r="162" s="400" customFormat="true" ht="4.2" hidden="false" customHeight="true" outlineLevel="0" collapsed="false"/>
    <row r="163" customFormat="false" ht="13.95" hidden="false" customHeight="true" outlineLevel="0" collapsed="false">
      <c r="C163" s="424" t="n">
        <f aca="false">Consolidado!O22</f>
        <v>0.24249724001139</v>
      </c>
      <c r="D163" s="424"/>
      <c r="E163" s="424"/>
      <c r="F163" s="424"/>
      <c r="G163" s="406"/>
      <c r="H163" s="406"/>
      <c r="I163" s="424" t="n">
        <f aca="false">Consolidado!Q22</f>
        <v>0.046266854621682</v>
      </c>
      <c r="J163" s="424"/>
      <c r="K163" s="424"/>
      <c r="L163" s="424"/>
      <c r="M163" s="406"/>
      <c r="N163" s="406"/>
      <c r="O163" s="424" t="n">
        <f aca="false">Consolidado!AI22</f>
        <v>0.106554201229681</v>
      </c>
      <c r="P163" s="424"/>
      <c r="Q163" s="424"/>
      <c r="R163" s="424"/>
      <c r="S163" s="406"/>
    </row>
    <row r="164" customFormat="false" ht="13.95" hidden="false" customHeight="true" outlineLevel="0" collapsed="false">
      <c r="C164" s="424"/>
      <c r="D164" s="424"/>
      <c r="E164" s="424"/>
      <c r="F164" s="424"/>
      <c r="G164" s="406"/>
      <c r="H164" s="406"/>
      <c r="I164" s="424"/>
      <c r="J164" s="424"/>
      <c r="K164" s="424"/>
      <c r="L164" s="424"/>
      <c r="M164" s="406"/>
      <c r="N164" s="406"/>
      <c r="O164" s="424"/>
      <c r="P164" s="424"/>
      <c r="Q164" s="424"/>
      <c r="R164" s="424"/>
      <c r="S164" s="406"/>
    </row>
    <row r="165" customFormat="false" ht="13.95" hidden="false" customHeight="true" outlineLevel="0" collapsed="false">
      <c r="C165" s="424"/>
      <c r="D165" s="424"/>
      <c r="E165" s="424"/>
      <c r="F165" s="424"/>
      <c r="G165" s="406"/>
      <c r="H165" s="406"/>
      <c r="I165" s="424"/>
      <c r="J165" s="424"/>
      <c r="K165" s="424"/>
      <c r="L165" s="424"/>
      <c r="M165" s="406"/>
      <c r="N165" s="406"/>
      <c r="O165" s="424"/>
      <c r="P165" s="424"/>
      <c r="Q165" s="424"/>
      <c r="R165" s="424"/>
      <c r="S165" s="406"/>
    </row>
    <row r="166" s="400" customFormat="true" ht="13.2" hidden="false" customHeight="false" outlineLevel="0" collapsed="false"/>
    <row r="167" s="400" customFormat="true" ht="13.2" hidden="false" customHeight="false" outlineLevel="0" collapsed="false"/>
    <row r="168" s="400" customFormat="true" ht="13.2" hidden="false" customHeight="false" outlineLevel="0" collapsed="false"/>
    <row r="169" s="400" customFormat="true" ht="13.2" hidden="false" customHeight="false" outlineLevel="0" collapsed="false"/>
    <row r="170" s="400" customFormat="true" ht="13.2" hidden="false" customHeight="false" outlineLevel="0" collapsed="false">
      <c r="C170" s="402" t="s">
        <v>206</v>
      </c>
      <c r="D170" s="402"/>
      <c r="E170" s="402"/>
      <c r="F170" s="402"/>
      <c r="I170" s="402" t="s">
        <v>206</v>
      </c>
      <c r="J170" s="402"/>
      <c r="K170" s="402"/>
      <c r="L170" s="402"/>
      <c r="O170" s="403" t="s">
        <v>207</v>
      </c>
      <c r="P170" s="403"/>
      <c r="Q170" s="403"/>
      <c r="R170" s="403"/>
    </row>
    <row r="171" customFormat="false" ht="12.45" hidden="false" customHeight="true" outlineLevel="0" collapsed="false">
      <c r="A171" s="404" t="s">
        <v>29</v>
      </c>
      <c r="C171" s="405" t="n">
        <v>2020</v>
      </c>
      <c r="D171" s="405"/>
      <c r="E171" s="405"/>
      <c r="F171" s="405"/>
      <c r="G171" s="406"/>
      <c r="H171" s="406"/>
      <c r="I171" s="405" t="n">
        <v>2021</v>
      </c>
      <c r="J171" s="405"/>
      <c r="K171" s="405"/>
      <c r="L171" s="405"/>
      <c r="M171" s="406"/>
      <c r="N171" s="406"/>
      <c r="O171" s="405" t="n">
        <v>2022</v>
      </c>
      <c r="P171" s="405"/>
      <c r="Q171" s="405"/>
      <c r="R171" s="405"/>
      <c r="S171" s="406"/>
    </row>
    <row r="172" customFormat="false" ht="12.45" hidden="false" customHeight="true" outlineLevel="0" collapsed="false">
      <c r="C172" s="405"/>
      <c r="D172" s="405"/>
      <c r="E172" s="405"/>
      <c r="F172" s="405"/>
      <c r="G172" s="406"/>
      <c r="H172" s="406"/>
      <c r="I172" s="405"/>
      <c r="J172" s="405"/>
      <c r="K172" s="405"/>
      <c r="L172" s="405"/>
      <c r="M172" s="406"/>
      <c r="N172" s="406"/>
      <c r="O172" s="405"/>
      <c r="P172" s="405"/>
      <c r="Q172" s="405"/>
      <c r="R172" s="405"/>
      <c r="S172" s="406"/>
    </row>
    <row r="173" customFormat="false" ht="12.45" hidden="false" customHeight="true" outlineLevel="0" collapsed="false">
      <c r="C173" s="405"/>
      <c r="D173" s="405"/>
      <c r="E173" s="405"/>
      <c r="F173" s="405"/>
      <c r="G173" s="406"/>
      <c r="H173" s="406"/>
      <c r="I173" s="405"/>
      <c r="J173" s="405"/>
      <c r="K173" s="405"/>
      <c r="L173" s="405"/>
      <c r="M173" s="406"/>
      <c r="N173" s="406"/>
      <c r="O173" s="405"/>
      <c r="P173" s="405"/>
      <c r="Q173" s="405"/>
      <c r="R173" s="405"/>
      <c r="S173" s="406"/>
    </row>
    <row r="174" customFormat="false" ht="13.95" hidden="false" customHeight="true" outlineLevel="0" collapsed="false">
      <c r="C174" s="413" t="n">
        <f aca="false">Consolidado!N24</f>
        <v>48639.3958333333</v>
      </c>
      <c r="D174" s="413"/>
      <c r="E174" s="413"/>
      <c r="F174" s="413"/>
      <c r="G174" s="414"/>
      <c r="H174" s="414"/>
      <c r="I174" s="413" t="n">
        <f aca="false">Consolidado!P24</f>
        <v>5091.1</v>
      </c>
      <c r="J174" s="413"/>
      <c r="K174" s="413"/>
      <c r="L174" s="413"/>
      <c r="M174" s="414"/>
      <c r="N174" s="414"/>
      <c r="O174" s="413" t="n">
        <f aca="false">Consolidado!AH24</f>
        <v>6025.42</v>
      </c>
      <c r="P174" s="413"/>
      <c r="Q174" s="413"/>
      <c r="R174" s="413"/>
      <c r="S174" s="409"/>
      <c r="Z174" s="410"/>
    </row>
    <row r="175" customFormat="false" ht="13.95" hidden="false" customHeight="true" outlineLevel="0" collapsed="false">
      <c r="C175" s="413"/>
      <c r="D175" s="413"/>
      <c r="E175" s="413"/>
      <c r="F175" s="413"/>
      <c r="G175" s="414"/>
      <c r="H175" s="414"/>
      <c r="I175" s="413"/>
      <c r="J175" s="413"/>
      <c r="K175" s="413"/>
      <c r="L175" s="413"/>
      <c r="M175" s="414"/>
      <c r="N175" s="414"/>
      <c r="O175" s="413"/>
      <c r="P175" s="413"/>
      <c r="Q175" s="413"/>
      <c r="R175" s="413"/>
      <c r="S175" s="409"/>
    </row>
    <row r="176" customFormat="false" ht="13.95" hidden="false" customHeight="true" outlineLevel="0" collapsed="false">
      <c r="A176" s="415" t="n">
        <f aca="false">Consolidado!L24</f>
        <v>27921.2391666667</v>
      </c>
      <c r="C176" s="413"/>
      <c r="D176" s="413"/>
      <c r="E176" s="413"/>
      <c r="F176" s="413"/>
      <c r="G176" s="414"/>
      <c r="H176" s="414"/>
      <c r="I176" s="413"/>
      <c r="J176" s="413"/>
      <c r="K176" s="413"/>
      <c r="L176" s="413"/>
      <c r="M176" s="414"/>
      <c r="N176" s="414"/>
      <c r="O176" s="413"/>
      <c r="P176" s="413"/>
      <c r="Q176" s="413"/>
      <c r="R176" s="413"/>
      <c r="S176" s="409"/>
      <c r="U176" s="410" t="n">
        <f aca="false">(O174-C174)/C174</f>
        <v>-0.876120582980789</v>
      </c>
      <c r="Z176" s="410"/>
    </row>
    <row r="177" customFormat="false" ht="13.95" hidden="false" customHeight="true" outlineLevel="0" collapsed="false">
      <c r="C177" s="413"/>
      <c r="D177" s="413"/>
      <c r="E177" s="413"/>
      <c r="F177" s="413"/>
      <c r="G177" s="414"/>
      <c r="H177" s="414"/>
      <c r="I177" s="413"/>
      <c r="J177" s="413"/>
      <c r="K177" s="413"/>
      <c r="L177" s="413"/>
      <c r="M177" s="414"/>
      <c r="N177" s="414"/>
      <c r="O177" s="413"/>
      <c r="P177" s="413"/>
      <c r="Q177" s="413"/>
      <c r="R177" s="413"/>
      <c r="S177" s="409"/>
    </row>
    <row r="178" customFormat="false" ht="13.95" hidden="false" customHeight="true" outlineLevel="0" collapsed="false">
      <c r="C178" s="413"/>
      <c r="D178" s="413"/>
      <c r="E178" s="413"/>
      <c r="F178" s="413"/>
      <c r="G178" s="414"/>
      <c r="H178" s="414"/>
      <c r="I178" s="413"/>
      <c r="J178" s="413"/>
      <c r="K178" s="413"/>
      <c r="L178" s="413"/>
      <c r="M178" s="414"/>
      <c r="N178" s="414"/>
      <c r="O178" s="413"/>
      <c r="P178" s="413"/>
      <c r="Q178" s="413"/>
      <c r="R178" s="413"/>
      <c r="S178" s="409"/>
    </row>
    <row r="179" customFormat="false" ht="13.95" hidden="false" customHeight="true" outlineLevel="0" collapsed="false">
      <c r="C179" s="413"/>
      <c r="D179" s="413"/>
      <c r="E179" s="413"/>
      <c r="F179" s="413"/>
      <c r="G179" s="414"/>
      <c r="H179" s="414"/>
      <c r="I179" s="413"/>
      <c r="J179" s="413"/>
      <c r="K179" s="413"/>
      <c r="L179" s="413"/>
      <c r="M179" s="414"/>
      <c r="N179" s="414"/>
      <c r="O179" s="413"/>
      <c r="P179" s="413"/>
      <c r="Q179" s="413"/>
      <c r="R179" s="413"/>
      <c r="S179" s="409"/>
    </row>
    <row r="180" s="400" customFormat="true" ht="4.2" hidden="false" customHeight="true" outlineLevel="0" collapsed="false"/>
    <row r="181" customFormat="false" ht="13.95" hidden="false" customHeight="true" outlineLevel="0" collapsed="false">
      <c r="C181" s="424" t="n">
        <f aca="false">Consolidado!O24</f>
        <v>0.115568957322819</v>
      </c>
      <c r="D181" s="424"/>
      <c r="E181" s="424"/>
      <c r="F181" s="424"/>
      <c r="G181" s="406"/>
      <c r="H181" s="406"/>
      <c r="I181" s="424" t="n">
        <f aca="false">Consolidado!Q24</f>
        <v>0.0661633017529227</v>
      </c>
      <c r="J181" s="424"/>
      <c r="K181" s="424"/>
      <c r="L181" s="424"/>
      <c r="M181" s="406"/>
      <c r="N181" s="406"/>
      <c r="O181" s="424" t="n">
        <f aca="false">Consolidado!AI24</f>
        <v>0.0632326341183498</v>
      </c>
      <c r="P181" s="424"/>
      <c r="Q181" s="424"/>
      <c r="R181" s="424"/>
      <c r="S181" s="406"/>
    </row>
    <row r="182" customFormat="false" ht="13.95" hidden="false" customHeight="true" outlineLevel="0" collapsed="false">
      <c r="C182" s="424"/>
      <c r="D182" s="424"/>
      <c r="E182" s="424"/>
      <c r="F182" s="424"/>
      <c r="G182" s="406"/>
      <c r="H182" s="406"/>
      <c r="I182" s="424"/>
      <c r="J182" s="424"/>
      <c r="K182" s="424"/>
      <c r="L182" s="424"/>
      <c r="M182" s="406"/>
      <c r="N182" s="406"/>
      <c r="O182" s="424"/>
      <c r="P182" s="424"/>
      <c r="Q182" s="424"/>
      <c r="R182" s="424"/>
      <c r="S182" s="406"/>
    </row>
    <row r="183" customFormat="false" ht="13.95" hidden="false" customHeight="true" outlineLevel="0" collapsed="false">
      <c r="C183" s="424"/>
      <c r="D183" s="424"/>
      <c r="E183" s="424"/>
      <c r="F183" s="424"/>
      <c r="G183" s="406"/>
      <c r="H183" s="406"/>
      <c r="I183" s="424"/>
      <c r="J183" s="424"/>
      <c r="K183" s="424"/>
      <c r="L183" s="424"/>
      <c r="M183" s="406"/>
      <c r="N183" s="406"/>
      <c r="O183" s="424"/>
      <c r="P183" s="424"/>
      <c r="Q183" s="424"/>
      <c r="R183" s="424"/>
      <c r="S183" s="406"/>
    </row>
    <row r="184" s="400" customFormat="true" ht="13.2" hidden="false" customHeight="false" outlineLevel="0" collapsed="false"/>
    <row r="185" s="400" customFormat="true" ht="13.2" hidden="false" customHeight="false" outlineLevel="0" collapsed="false"/>
    <row r="186" s="400" customFormat="true" ht="13.2" hidden="false" customHeight="false" outlineLevel="0" collapsed="false"/>
    <row r="187" s="400" customFormat="true" ht="13.2" hidden="false" customHeight="false" outlineLevel="0" collapsed="false"/>
    <row r="188" s="400" customFormat="true" ht="13.2" hidden="false" customHeight="false" outlineLevel="0" collapsed="false">
      <c r="C188" s="402" t="s">
        <v>206</v>
      </c>
      <c r="D188" s="402"/>
      <c r="E188" s="402"/>
      <c r="F188" s="402"/>
      <c r="I188" s="402" t="s">
        <v>206</v>
      </c>
      <c r="J188" s="402"/>
      <c r="K188" s="402"/>
      <c r="L188" s="402"/>
      <c r="O188" s="403" t="s">
        <v>207</v>
      </c>
      <c r="P188" s="403"/>
      <c r="Q188" s="403"/>
      <c r="R188" s="403"/>
    </row>
    <row r="189" customFormat="false" ht="12.45" hidden="false" customHeight="true" outlineLevel="0" collapsed="false">
      <c r="A189" s="404" t="s">
        <v>216</v>
      </c>
      <c r="C189" s="405" t="n">
        <v>2020</v>
      </c>
      <c r="D189" s="405"/>
      <c r="E189" s="405"/>
      <c r="F189" s="405"/>
      <c r="G189" s="406"/>
      <c r="H189" s="406"/>
      <c r="I189" s="405" t="n">
        <v>2021</v>
      </c>
      <c r="J189" s="405"/>
      <c r="K189" s="405"/>
      <c r="L189" s="405"/>
      <c r="M189" s="406"/>
      <c r="N189" s="406"/>
      <c r="O189" s="405" t="n">
        <v>2022</v>
      </c>
      <c r="P189" s="405"/>
      <c r="Q189" s="405"/>
      <c r="R189" s="405"/>
      <c r="S189" s="406"/>
    </row>
    <row r="190" customFormat="false" ht="12.45" hidden="false" customHeight="true" outlineLevel="0" collapsed="false">
      <c r="C190" s="405"/>
      <c r="D190" s="405"/>
      <c r="E190" s="405"/>
      <c r="F190" s="405"/>
      <c r="G190" s="406"/>
      <c r="H190" s="406"/>
      <c r="I190" s="405"/>
      <c r="J190" s="405"/>
      <c r="K190" s="405"/>
      <c r="L190" s="405"/>
      <c r="M190" s="406"/>
      <c r="N190" s="406"/>
      <c r="O190" s="405"/>
      <c r="P190" s="405"/>
      <c r="Q190" s="405"/>
      <c r="R190" s="405"/>
      <c r="S190" s="406"/>
    </row>
    <row r="191" customFormat="false" ht="12.45" hidden="false" customHeight="true" outlineLevel="0" collapsed="false">
      <c r="C191" s="405"/>
      <c r="D191" s="405"/>
      <c r="E191" s="405"/>
      <c r="F191" s="405"/>
      <c r="G191" s="406"/>
      <c r="H191" s="406"/>
      <c r="I191" s="405"/>
      <c r="J191" s="405"/>
      <c r="K191" s="405"/>
      <c r="L191" s="405"/>
      <c r="M191" s="406"/>
      <c r="N191" s="406"/>
      <c r="O191" s="405"/>
      <c r="P191" s="405"/>
      <c r="Q191" s="405"/>
      <c r="R191" s="405"/>
      <c r="S191" s="406"/>
    </row>
    <row r="192" customFormat="false" ht="13.95" hidden="false" customHeight="true" outlineLevel="0" collapsed="false">
      <c r="C192" s="413" t="n">
        <f aca="false">Consolidado!N26</f>
        <v>53420.1841666667</v>
      </c>
      <c r="D192" s="413"/>
      <c r="E192" s="413"/>
      <c r="F192" s="413"/>
      <c r="G192" s="414"/>
      <c r="H192" s="414"/>
      <c r="I192" s="413" t="n">
        <f aca="false">Consolidado!P26</f>
        <v>-1530.98166666667</v>
      </c>
      <c r="J192" s="413"/>
      <c r="K192" s="413"/>
      <c r="L192" s="413"/>
      <c r="M192" s="414"/>
      <c r="N192" s="414"/>
      <c r="O192" s="413" t="n">
        <f aca="false">Consolidado!AH26</f>
        <v>4128.09999999999</v>
      </c>
      <c r="P192" s="413"/>
      <c r="Q192" s="413"/>
      <c r="R192" s="413"/>
      <c r="S192" s="409"/>
      <c r="Z192" s="410"/>
    </row>
    <row r="193" customFormat="false" ht="13.95" hidden="false" customHeight="true" outlineLevel="0" collapsed="false">
      <c r="C193" s="413"/>
      <c r="D193" s="413"/>
      <c r="E193" s="413"/>
      <c r="F193" s="413"/>
      <c r="G193" s="414"/>
      <c r="H193" s="414"/>
      <c r="I193" s="413"/>
      <c r="J193" s="413"/>
      <c r="K193" s="413"/>
      <c r="L193" s="413"/>
      <c r="M193" s="414"/>
      <c r="N193" s="414"/>
      <c r="O193" s="413"/>
      <c r="P193" s="413"/>
      <c r="Q193" s="413"/>
      <c r="R193" s="413"/>
      <c r="S193" s="409"/>
    </row>
    <row r="194" customFormat="false" ht="13.95" hidden="false" customHeight="true" outlineLevel="0" collapsed="false">
      <c r="A194" s="415"/>
      <c r="C194" s="413"/>
      <c r="D194" s="413"/>
      <c r="E194" s="413"/>
      <c r="F194" s="413"/>
      <c r="G194" s="414"/>
      <c r="H194" s="414"/>
      <c r="I194" s="413"/>
      <c r="J194" s="413"/>
      <c r="K194" s="413"/>
      <c r="L194" s="413"/>
      <c r="M194" s="414"/>
      <c r="N194" s="414"/>
      <c r="O194" s="413"/>
      <c r="P194" s="413"/>
      <c r="Q194" s="413"/>
      <c r="R194" s="413"/>
      <c r="S194" s="409"/>
      <c r="U194" s="410" t="n">
        <f aca="false">(O192-C192)/C192</f>
        <v>-0.922723965400032</v>
      </c>
      <c r="Z194" s="410"/>
    </row>
    <row r="195" customFormat="false" ht="13.95" hidden="false" customHeight="true" outlineLevel="0" collapsed="false">
      <c r="C195" s="413"/>
      <c r="D195" s="413"/>
      <c r="E195" s="413"/>
      <c r="F195" s="413"/>
      <c r="G195" s="414"/>
      <c r="H195" s="414"/>
      <c r="I195" s="413"/>
      <c r="J195" s="413"/>
      <c r="K195" s="413"/>
      <c r="L195" s="413"/>
      <c r="M195" s="414"/>
      <c r="N195" s="414"/>
      <c r="O195" s="413"/>
      <c r="P195" s="413"/>
      <c r="Q195" s="413"/>
      <c r="R195" s="413"/>
      <c r="S195" s="409"/>
    </row>
    <row r="196" customFormat="false" ht="13.95" hidden="false" customHeight="true" outlineLevel="0" collapsed="false">
      <c r="C196" s="413"/>
      <c r="D196" s="413"/>
      <c r="E196" s="413"/>
      <c r="F196" s="413"/>
      <c r="G196" s="414"/>
      <c r="H196" s="414"/>
      <c r="I196" s="413"/>
      <c r="J196" s="413"/>
      <c r="K196" s="413"/>
      <c r="L196" s="413"/>
      <c r="M196" s="414"/>
      <c r="N196" s="414"/>
      <c r="O196" s="413"/>
      <c r="P196" s="413"/>
      <c r="Q196" s="413"/>
      <c r="R196" s="413"/>
      <c r="S196" s="409"/>
    </row>
    <row r="197" customFormat="false" ht="13.95" hidden="false" customHeight="true" outlineLevel="0" collapsed="false">
      <c r="C197" s="413"/>
      <c r="D197" s="413"/>
      <c r="E197" s="413"/>
      <c r="F197" s="413"/>
      <c r="G197" s="414"/>
      <c r="H197" s="414"/>
      <c r="I197" s="413"/>
      <c r="J197" s="413"/>
      <c r="K197" s="413"/>
      <c r="L197" s="413"/>
      <c r="M197" s="414"/>
      <c r="N197" s="414"/>
      <c r="O197" s="413"/>
      <c r="P197" s="413"/>
      <c r="Q197" s="413"/>
      <c r="R197" s="413"/>
      <c r="S197" s="409"/>
    </row>
    <row r="198" s="400" customFormat="true" ht="4.2" hidden="false" customHeight="true" outlineLevel="0" collapsed="false"/>
    <row r="199" customFormat="false" ht="13.95" hidden="false" customHeight="true" outlineLevel="0" collapsed="false">
      <c r="C199" s="424" t="n">
        <f aca="false">Consolidado!O26</f>
        <v>0.126928282688571</v>
      </c>
      <c r="D199" s="424"/>
      <c r="E199" s="424"/>
      <c r="F199" s="424"/>
      <c r="G199" s="406"/>
      <c r="H199" s="406"/>
      <c r="I199" s="424" t="n">
        <f aca="false">Consolidado!Q26</f>
        <v>-0.0198964471312407</v>
      </c>
      <c r="J199" s="424"/>
      <c r="K199" s="424"/>
      <c r="L199" s="424"/>
      <c r="M199" s="406"/>
      <c r="N199" s="406"/>
      <c r="O199" s="424" t="n">
        <f aca="false">Consolidado!AI26</f>
        <v>0.0433215671113315</v>
      </c>
      <c r="P199" s="424"/>
      <c r="Q199" s="424"/>
      <c r="R199" s="424"/>
      <c r="S199" s="406"/>
    </row>
    <row r="200" customFormat="false" ht="13.95" hidden="false" customHeight="true" outlineLevel="0" collapsed="false">
      <c r="C200" s="424"/>
      <c r="D200" s="424"/>
      <c r="E200" s="424"/>
      <c r="F200" s="424"/>
      <c r="G200" s="406"/>
      <c r="H200" s="406"/>
      <c r="I200" s="424"/>
      <c r="J200" s="424"/>
      <c r="K200" s="424"/>
      <c r="L200" s="424"/>
      <c r="M200" s="406"/>
      <c r="N200" s="406"/>
      <c r="O200" s="424"/>
      <c r="P200" s="424"/>
      <c r="Q200" s="424"/>
      <c r="R200" s="424"/>
      <c r="S200" s="406"/>
    </row>
    <row r="201" customFormat="false" ht="13.95" hidden="false" customHeight="true" outlineLevel="0" collapsed="false">
      <c r="C201" s="424"/>
      <c r="D201" s="424"/>
      <c r="E201" s="424"/>
      <c r="F201" s="424"/>
      <c r="G201" s="406"/>
      <c r="H201" s="406"/>
      <c r="I201" s="424"/>
      <c r="J201" s="424"/>
      <c r="K201" s="424"/>
      <c r="L201" s="424"/>
      <c r="M201" s="406"/>
      <c r="N201" s="406"/>
      <c r="O201" s="424"/>
      <c r="P201" s="424"/>
      <c r="Q201" s="424"/>
      <c r="R201" s="424"/>
      <c r="S201" s="406"/>
    </row>
    <row r="202" s="400" customFormat="true" ht="13.2" hidden="false" customHeight="false" outlineLevel="0" collapsed="false"/>
  </sheetData>
  <mergeCells count="141">
    <mergeCell ref="C2:F2"/>
    <mergeCell ref="I2:L2"/>
    <mergeCell ref="O2:R2"/>
    <mergeCell ref="C3:F5"/>
    <mergeCell ref="I3:L5"/>
    <mergeCell ref="O3:R5"/>
    <mergeCell ref="C6:F11"/>
    <mergeCell ref="I6:L11"/>
    <mergeCell ref="O6:R11"/>
    <mergeCell ref="C13:F15"/>
    <mergeCell ref="I13:L15"/>
    <mergeCell ref="O13:R15"/>
    <mergeCell ref="C18:F18"/>
    <mergeCell ref="I18:L18"/>
    <mergeCell ref="O18:R18"/>
    <mergeCell ref="C19:F21"/>
    <mergeCell ref="I19:L21"/>
    <mergeCell ref="O19:R21"/>
    <mergeCell ref="C22:F27"/>
    <mergeCell ref="I22:L27"/>
    <mergeCell ref="O22:R27"/>
    <mergeCell ref="C29:F31"/>
    <mergeCell ref="I29:L31"/>
    <mergeCell ref="O29:R31"/>
    <mergeCell ref="C35:F35"/>
    <mergeCell ref="I35:L35"/>
    <mergeCell ref="O35:R35"/>
    <mergeCell ref="C36:F38"/>
    <mergeCell ref="I36:L38"/>
    <mergeCell ref="O36:R38"/>
    <mergeCell ref="C39:F44"/>
    <mergeCell ref="I39:L44"/>
    <mergeCell ref="O39:R44"/>
    <mergeCell ref="C46:F48"/>
    <mergeCell ref="I46:L48"/>
    <mergeCell ref="O46:R48"/>
    <mergeCell ref="C53:F53"/>
    <mergeCell ref="I53:L53"/>
    <mergeCell ref="O53:R53"/>
    <mergeCell ref="C54:F56"/>
    <mergeCell ref="I54:L56"/>
    <mergeCell ref="O54:R56"/>
    <mergeCell ref="C57:F62"/>
    <mergeCell ref="I57:L62"/>
    <mergeCell ref="O57:R62"/>
    <mergeCell ref="C64:F66"/>
    <mergeCell ref="I64:L66"/>
    <mergeCell ref="O64:R66"/>
    <mergeCell ref="C71:F71"/>
    <mergeCell ref="I71:L71"/>
    <mergeCell ref="O71:R71"/>
    <mergeCell ref="C72:F74"/>
    <mergeCell ref="I72:L74"/>
    <mergeCell ref="O72:R74"/>
    <mergeCell ref="C75:F79"/>
    <mergeCell ref="I75:L79"/>
    <mergeCell ref="O75:R79"/>
    <mergeCell ref="C80:F80"/>
    <mergeCell ref="I80:L80"/>
    <mergeCell ref="O80:R80"/>
    <mergeCell ref="C82:F84"/>
    <mergeCell ref="I82:L84"/>
    <mergeCell ref="O82:R84"/>
    <mergeCell ref="C90:F90"/>
    <mergeCell ref="I90:L90"/>
    <mergeCell ref="O90:R90"/>
    <mergeCell ref="C91:F93"/>
    <mergeCell ref="I91:L93"/>
    <mergeCell ref="O91:R93"/>
    <mergeCell ref="C94:F98"/>
    <mergeCell ref="I94:L98"/>
    <mergeCell ref="O94:R98"/>
    <mergeCell ref="C99:F99"/>
    <mergeCell ref="I99:L99"/>
    <mergeCell ref="O99:R99"/>
    <mergeCell ref="C101:F103"/>
    <mergeCell ref="I101:L103"/>
    <mergeCell ref="O101:R103"/>
    <mergeCell ref="C109:F109"/>
    <mergeCell ref="I109:L109"/>
    <mergeCell ref="O109:R109"/>
    <mergeCell ref="C110:F112"/>
    <mergeCell ref="I110:L112"/>
    <mergeCell ref="O110:R112"/>
    <mergeCell ref="C113:F117"/>
    <mergeCell ref="I113:L117"/>
    <mergeCell ref="O113:R117"/>
    <mergeCell ref="C118:F118"/>
    <mergeCell ref="I118:L118"/>
    <mergeCell ref="O118:R118"/>
    <mergeCell ref="C120:F122"/>
    <mergeCell ref="I120:L122"/>
    <mergeCell ref="O120:R122"/>
    <mergeCell ref="C130:F130"/>
    <mergeCell ref="I130:L130"/>
    <mergeCell ref="O130:R130"/>
    <mergeCell ref="C131:F133"/>
    <mergeCell ref="I131:L133"/>
    <mergeCell ref="O131:R133"/>
    <mergeCell ref="C134:F139"/>
    <mergeCell ref="I134:L139"/>
    <mergeCell ref="O134:R139"/>
    <mergeCell ref="C141:F143"/>
    <mergeCell ref="I141:L143"/>
    <mergeCell ref="O141:R143"/>
    <mergeCell ref="C152:F152"/>
    <mergeCell ref="I152:L152"/>
    <mergeCell ref="O152:R152"/>
    <mergeCell ref="C153:F155"/>
    <mergeCell ref="I153:L155"/>
    <mergeCell ref="O153:R155"/>
    <mergeCell ref="C156:F161"/>
    <mergeCell ref="I156:L161"/>
    <mergeCell ref="O156:R161"/>
    <mergeCell ref="C163:F165"/>
    <mergeCell ref="I163:L165"/>
    <mergeCell ref="O163:R165"/>
    <mergeCell ref="C170:F170"/>
    <mergeCell ref="I170:L170"/>
    <mergeCell ref="O170:R170"/>
    <mergeCell ref="C171:F173"/>
    <mergeCell ref="I171:L173"/>
    <mergeCell ref="O171:R173"/>
    <mergeCell ref="C174:F179"/>
    <mergeCell ref="I174:L179"/>
    <mergeCell ref="O174:R179"/>
    <mergeCell ref="C181:F183"/>
    <mergeCell ref="I181:L183"/>
    <mergeCell ref="O181:R183"/>
    <mergeCell ref="C188:F188"/>
    <mergeCell ref="I188:L188"/>
    <mergeCell ref="O188:R188"/>
    <mergeCell ref="C189:F191"/>
    <mergeCell ref="I189:L191"/>
    <mergeCell ref="O189:R191"/>
    <mergeCell ref="C192:F197"/>
    <mergeCell ref="I192:L197"/>
    <mergeCell ref="O192:R197"/>
    <mergeCell ref="C199:F201"/>
    <mergeCell ref="I199:L201"/>
    <mergeCell ref="O199:R20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S29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8.6796875" defaultRowHeight="14.4" zeroHeight="false" outlineLevelRow="0" outlineLevelCol="0"/>
  <cols>
    <col collapsed="false" customWidth="false" hidden="false" outlineLevel="0" max="2" min="1" style="80" width="8.67"/>
    <col collapsed="false" customWidth="true" hidden="false" outlineLevel="0" max="6" min="3" style="80" width="8.33"/>
    <col collapsed="false" customWidth="true" hidden="false" outlineLevel="0" max="8" min="7" style="80" width="9.56"/>
    <col collapsed="false" customWidth="true" hidden="false" outlineLevel="0" max="12" min="9" style="80" width="8.33"/>
    <col collapsed="false" customWidth="true" hidden="false" outlineLevel="0" max="16" min="13" style="80" width="9.56"/>
    <col collapsed="false" customWidth="false" hidden="false" outlineLevel="0" max="1024" min="17" style="80" width="8.67"/>
  </cols>
  <sheetData>
    <row r="2" customFormat="false" ht="12.6" hidden="false" customHeight="true" outlineLevel="0" collapsed="false">
      <c r="A2" s="404" t="s">
        <v>208</v>
      </c>
      <c r="C2" s="425" t="n">
        <v>2020</v>
      </c>
      <c r="D2" s="425"/>
      <c r="E2" s="425"/>
      <c r="F2" s="425"/>
      <c r="G2" s="426"/>
      <c r="H2" s="426"/>
      <c r="I2" s="425" t="n">
        <v>2021</v>
      </c>
      <c r="J2" s="425"/>
      <c r="K2" s="425"/>
      <c r="L2" s="425"/>
    </row>
    <row r="3" customFormat="false" ht="12.6" hidden="false" customHeight="true" outlineLevel="0" collapsed="false">
      <c r="C3" s="425"/>
      <c r="D3" s="425"/>
      <c r="E3" s="425"/>
      <c r="F3" s="425"/>
      <c r="G3" s="426"/>
      <c r="H3" s="426"/>
      <c r="I3" s="425"/>
      <c r="J3" s="425"/>
      <c r="K3" s="425"/>
      <c r="L3" s="425"/>
    </row>
    <row r="4" customFormat="false" ht="12.6" hidden="false" customHeight="true" outlineLevel="0" collapsed="false">
      <c r="C4" s="425"/>
      <c r="D4" s="425"/>
      <c r="E4" s="425"/>
      <c r="F4" s="425"/>
      <c r="G4" s="426"/>
      <c r="H4" s="426"/>
      <c r="I4" s="425"/>
      <c r="J4" s="425"/>
      <c r="K4" s="425"/>
      <c r="L4" s="425"/>
    </row>
    <row r="5" customFormat="false" ht="14.1" hidden="false" customHeight="true" outlineLevel="0" collapsed="false">
      <c r="C5" s="407" t="n">
        <f aca="false">Consolidado!$Q$10</f>
        <v>0.571113495709867</v>
      </c>
      <c r="D5" s="407"/>
      <c r="E5" s="407"/>
      <c r="F5" s="407"/>
      <c r="G5" s="426"/>
      <c r="H5" s="426"/>
      <c r="I5" s="407" t="n">
        <f aca="false">Consolidado!$AI$10</f>
        <v>0.578937895924135</v>
      </c>
      <c r="J5" s="407"/>
      <c r="K5" s="407"/>
      <c r="L5" s="407"/>
    </row>
    <row r="6" customFormat="false" ht="14.1" hidden="false" customHeight="true" outlineLevel="0" collapsed="false">
      <c r="C6" s="407"/>
      <c r="D6" s="407"/>
      <c r="E6" s="407"/>
      <c r="F6" s="407"/>
      <c r="G6" s="426"/>
      <c r="H6" s="426"/>
      <c r="I6" s="407"/>
      <c r="J6" s="407"/>
      <c r="K6" s="407"/>
      <c r="L6" s="407"/>
    </row>
    <row r="7" customFormat="false" ht="14.1" hidden="false" customHeight="true" outlineLevel="0" collapsed="false">
      <c r="C7" s="407"/>
      <c r="D7" s="407"/>
      <c r="E7" s="407"/>
      <c r="F7" s="407"/>
      <c r="G7" s="426"/>
      <c r="H7" s="426"/>
      <c r="I7" s="407"/>
      <c r="J7" s="407"/>
      <c r="K7" s="407"/>
      <c r="L7" s="407"/>
    </row>
    <row r="8" customFormat="false" ht="14.1" hidden="false" customHeight="true" outlineLevel="0" collapsed="false">
      <c r="C8" s="407"/>
      <c r="D8" s="407"/>
      <c r="E8" s="407"/>
      <c r="F8" s="407"/>
      <c r="G8" s="426"/>
      <c r="H8" s="426"/>
      <c r="I8" s="407"/>
      <c r="J8" s="407"/>
      <c r="K8" s="407"/>
      <c r="L8" s="407"/>
    </row>
    <row r="9" customFormat="false" ht="14.1" hidden="false" customHeight="true" outlineLevel="0" collapsed="false">
      <c r="C9" s="407"/>
      <c r="D9" s="407"/>
      <c r="E9" s="407"/>
      <c r="F9" s="407"/>
      <c r="G9" s="426"/>
      <c r="H9" s="426"/>
      <c r="I9" s="407"/>
      <c r="J9" s="407"/>
      <c r="K9" s="407"/>
      <c r="L9" s="407"/>
    </row>
    <row r="10" customFormat="false" ht="14.1" hidden="false" customHeight="true" outlineLevel="0" collapsed="false">
      <c r="C10" s="407"/>
      <c r="D10" s="407"/>
      <c r="E10" s="407"/>
      <c r="F10" s="407"/>
      <c r="G10" s="426"/>
      <c r="H10" s="426"/>
      <c r="I10" s="407"/>
      <c r="J10" s="407"/>
      <c r="K10" s="407"/>
      <c r="L10" s="407"/>
    </row>
    <row r="11" customFormat="false" ht="14.1" hidden="false" customHeight="true" outlineLevel="0" collapsed="false">
      <c r="C11" s="407"/>
      <c r="D11" s="407"/>
      <c r="E11" s="407"/>
      <c r="F11" s="407"/>
      <c r="G11" s="426"/>
      <c r="H11" s="426"/>
      <c r="I11" s="407"/>
      <c r="J11" s="407"/>
      <c r="K11" s="407"/>
      <c r="L11" s="407"/>
    </row>
    <row r="12" customFormat="false" ht="4.2" hidden="false" customHeight="true" outlineLevel="0" collapsed="false"/>
    <row r="13" customFormat="false" ht="14.1" hidden="false" customHeight="true" outlineLevel="0" collapsed="false">
      <c r="C13" s="412" t="n">
        <f aca="false">(C5-Consolidado!AQ10)*100</f>
        <v>2.63917654824888</v>
      </c>
      <c r="D13" s="412"/>
      <c r="E13" s="412"/>
      <c r="F13" s="412"/>
      <c r="G13" s="426"/>
      <c r="H13" s="426"/>
      <c r="I13" s="412" t="n">
        <f aca="false">(I5-C5)*100</f>
        <v>0.782440021426878</v>
      </c>
      <c r="J13" s="412"/>
      <c r="K13" s="412"/>
      <c r="L13" s="412"/>
    </row>
    <row r="14" customFormat="false" ht="14.1" hidden="false" customHeight="true" outlineLevel="0" collapsed="false">
      <c r="C14" s="412"/>
      <c r="D14" s="412"/>
      <c r="E14" s="412"/>
      <c r="F14" s="412"/>
      <c r="G14" s="426"/>
      <c r="H14" s="426"/>
      <c r="I14" s="412"/>
      <c r="J14" s="412"/>
      <c r="K14" s="412"/>
      <c r="L14" s="412"/>
    </row>
    <row r="15" customFormat="false" ht="14.1" hidden="false" customHeight="true" outlineLevel="0" collapsed="false">
      <c r="C15" s="412"/>
      <c r="D15" s="412"/>
      <c r="E15" s="412"/>
      <c r="F15" s="412"/>
      <c r="G15" s="426"/>
      <c r="H15" s="426"/>
      <c r="I15" s="412"/>
      <c r="J15" s="412"/>
      <c r="K15" s="412"/>
      <c r="L15" s="412"/>
    </row>
    <row r="19" customFormat="false" ht="12.6" hidden="false" customHeight="true" outlineLevel="0" collapsed="false">
      <c r="A19" s="404" t="s">
        <v>209</v>
      </c>
      <c r="C19" s="425" t="n">
        <v>2020</v>
      </c>
      <c r="D19" s="425"/>
      <c r="E19" s="425"/>
      <c r="F19" s="425"/>
      <c r="G19" s="426"/>
      <c r="H19" s="426"/>
      <c r="I19" s="425" t="n">
        <v>2021</v>
      </c>
      <c r="J19" s="425"/>
      <c r="K19" s="425"/>
      <c r="L19" s="425"/>
    </row>
    <row r="20" customFormat="false" ht="12.6" hidden="false" customHeight="true" outlineLevel="0" collapsed="false">
      <c r="C20" s="425"/>
      <c r="D20" s="425"/>
      <c r="E20" s="425"/>
      <c r="F20" s="425"/>
      <c r="G20" s="426"/>
      <c r="H20" s="426"/>
      <c r="I20" s="425"/>
      <c r="J20" s="425"/>
      <c r="K20" s="425"/>
      <c r="L20" s="425"/>
    </row>
    <row r="21" customFormat="false" ht="12.6" hidden="false" customHeight="true" outlineLevel="0" collapsed="false">
      <c r="C21" s="425"/>
      <c r="D21" s="425"/>
      <c r="E21" s="425"/>
      <c r="F21" s="425"/>
      <c r="G21" s="426"/>
      <c r="H21" s="426"/>
      <c r="I21" s="425"/>
      <c r="J21" s="425"/>
      <c r="K21" s="425"/>
      <c r="L21" s="425"/>
    </row>
    <row r="22" customFormat="false" ht="14.1" hidden="false" customHeight="true" outlineLevel="0" collapsed="false">
      <c r="C22" s="407" t="n">
        <f aca="false">Consolidado!$Q$14</f>
        <v>0.220781990419701</v>
      </c>
      <c r="D22" s="407"/>
      <c r="E22" s="407"/>
      <c r="F22" s="407"/>
      <c r="G22" s="426"/>
      <c r="H22" s="426"/>
      <c r="I22" s="407" t="n">
        <f aca="false">Consolidado!$AI$14</f>
        <v>0.269144142725994</v>
      </c>
      <c r="J22" s="407"/>
      <c r="K22" s="407"/>
      <c r="L22" s="407"/>
    </row>
    <row r="23" customFormat="false" ht="14.1" hidden="false" customHeight="true" outlineLevel="0" collapsed="false">
      <c r="C23" s="407"/>
      <c r="D23" s="407"/>
      <c r="E23" s="407"/>
      <c r="F23" s="407"/>
      <c r="G23" s="426"/>
      <c r="H23" s="426"/>
      <c r="I23" s="407"/>
      <c r="J23" s="407"/>
      <c r="K23" s="407"/>
      <c r="L23" s="407"/>
    </row>
    <row r="24" customFormat="false" ht="14.1" hidden="false" customHeight="true" outlineLevel="0" collapsed="false">
      <c r="C24" s="407"/>
      <c r="D24" s="407"/>
      <c r="E24" s="407"/>
      <c r="F24" s="407"/>
      <c r="G24" s="426"/>
      <c r="H24" s="426"/>
      <c r="I24" s="407"/>
      <c r="J24" s="407"/>
      <c r="K24" s="407"/>
      <c r="L24" s="407"/>
    </row>
    <row r="25" customFormat="false" ht="14.1" hidden="false" customHeight="true" outlineLevel="0" collapsed="false">
      <c r="C25" s="407"/>
      <c r="D25" s="407"/>
      <c r="E25" s="407"/>
      <c r="F25" s="407"/>
      <c r="G25" s="426"/>
      <c r="H25" s="426"/>
      <c r="I25" s="407"/>
      <c r="J25" s="407"/>
      <c r="K25" s="407"/>
      <c r="L25" s="407"/>
    </row>
    <row r="26" customFormat="false" ht="14.1" hidden="false" customHeight="true" outlineLevel="0" collapsed="false">
      <c r="C26" s="407"/>
      <c r="D26" s="407"/>
      <c r="E26" s="407"/>
      <c r="F26" s="407"/>
      <c r="G26" s="426"/>
      <c r="H26" s="426"/>
      <c r="I26" s="407"/>
      <c r="J26" s="407"/>
      <c r="K26" s="407"/>
      <c r="L26" s="407"/>
    </row>
    <row r="27" customFormat="false" ht="14.1" hidden="false" customHeight="true" outlineLevel="0" collapsed="false">
      <c r="C27" s="407"/>
      <c r="D27" s="407"/>
      <c r="E27" s="407"/>
      <c r="F27" s="407"/>
      <c r="G27" s="426"/>
      <c r="H27" s="426"/>
      <c r="I27" s="407"/>
      <c r="J27" s="407"/>
      <c r="K27" s="407"/>
      <c r="L27" s="407"/>
    </row>
    <row r="28" customFormat="false" ht="14.1" hidden="false" customHeight="true" outlineLevel="0" collapsed="false">
      <c r="C28" s="407"/>
      <c r="D28" s="407"/>
      <c r="E28" s="407"/>
      <c r="F28" s="407"/>
      <c r="G28" s="426"/>
      <c r="H28" s="426"/>
      <c r="I28" s="407"/>
      <c r="J28" s="407"/>
      <c r="K28" s="407"/>
      <c r="L28" s="407"/>
    </row>
    <row r="29" customFormat="false" ht="4.2" hidden="false" customHeight="true" outlineLevel="0" collapsed="false"/>
    <row r="30" customFormat="false" ht="14.1" hidden="false" customHeight="true" outlineLevel="0" collapsed="false">
      <c r="C30" s="412" t="n">
        <f aca="false">(C22-Consolidado!AQ14)*100</f>
        <v>-11.4511804519002</v>
      </c>
      <c r="D30" s="412"/>
      <c r="E30" s="412"/>
      <c r="F30" s="412"/>
      <c r="G30" s="426"/>
      <c r="H30" s="426"/>
      <c r="I30" s="412" t="n">
        <f aca="false">(I22-C22)*100</f>
        <v>4.83621523062935</v>
      </c>
      <c r="J30" s="412"/>
      <c r="K30" s="412"/>
      <c r="L30" s="412"/>
    </row>
    <row r="31" customFormat="false" ht="14.1" hidden="false" customHeight="true" outlineLevel="0" collapsed="false">
      <c r="C31" s="412"/>
      <c r="D31" s="412"/>
      <c r="E31" s="412"/>
      <c r="F31" s="412"/>
      <c r="G31" s="426"/>
      <c r="H31" s="426"/>
      <c r="I31" s="412"/>
      <c r="J31" s="412"/>
      <c r="K31" s="412"/>
      <c r="L31" s="412"/>
    </row>
    <row r="32" customFormat="false" ht="14.1" hidden="false" customHeight="true" outlineLevel="0" collapsed="false">
      <c r="C32" s="412"/>
      <c r="D32" s="412"/>
      <c r="E32" s="412"/>
      <c r="F32" s="412"/>
      <c r="G32" s="426"/>
      <c r="H32" s="426"/>
      <c r="I32" s="412"/>
      <c r="J32" s="412"/>
      <c r="K32" s="412"/>
      <c r="L32" s="412"/>
    </row>
    <row r="36" customFormat="false" ht="12.6" hidden="false" customHeight="true" outlineLevel="0" collapsed="false">
      <c r="A36" s="404" t="s">
        <v>210</v>
      </c>
      <c r="C36" s="425" t="n">
        <v>2020</v>
      </c>
      <c r="D36" s="425"/>
      <c r="E36" s="425"/>
      <c r="F36" s="425"/>
      <c r="G36" s="426"/>
      <c r="H36" s="426"/>
      <c r="I36" s="425" t="n">
        <v>2021</v>
      </c>
      <c r="J36" s="425"/>
      <c r="K36" s="425"/>
      <c r="L36" s="425"/>
    </row>
    <row r="37" customFormat="false" ht="12.6" hidden="false" customHeight="true" outlineLevel="0" collapsed="false">
      <c r="C37" s="425"/>
      <c r="D37" s="425"/>
      <c r="E37" s="425"/>
      <c r="F37" s="425"/>
      <c r="G37" s="426"/>
      <c r="H37" s="426"/>
      <c r="I37" s="425"/>
      <c r="J37" s="425"/>
      <c r="K37" s="425"/>
      <c r="L37" s="425"/>
    </row>
    <row r="38" customFormat="false" ht="12.6" hidden="false" customHeight="true" outlineLevel="0" collapsed="false">
      <c r="C38" s="425"/>
      <c r="D38" s="425"/>
      <c r="E38" s="425"/>
      <c r="F38" s="425"/>
      <c r="G38" s="426"/>
      <c r="H38" s="426"/>
      <c r="I38" s="425"/>
      <c r="J38" s="425"/>
      <c r="K38" s="425"/>
      <c r="L38" s="425"/>
    </row>
    <row r="39" customFormat="false" ht="14.1" hidden="false" customHeight="true" outlineLevel="0" collapsed="false">
      <c r="C39" s="407" t="n">
        <f aca="false">Consolidado!$Q$12</f>
        <v>0.268820247851273</v>
      </c>
      <c r="D39" s="407"/>
      <c r="E39" s="407"/>
      <c r="F39" s="407"/>
      <c r="G39" s="426"/>
      <c r="H39" s="426"/>
      <c r="I39" s="407" t="n">
        <f aca="false">Consolidado!$AI$12</f>
        <v>0.236033645602065</v>
      </c>
      <c r="J39" s="407"/>
      <c r="K39" s="407"/>
      <c r="L39" s="407"/>
    </row>
    <row r="40" customFormat="false" ht="14.1" hidden="false" customHeight="true" outlineLevel="0" collapsed="false">
      <c r="C40" s="407"/>
      <c r="D40" s="407"/>
      <c r="E40" s="407"/>
      <c r="F40" s="407"/>
      <c r="G40" s="426"/>
      <c r="H40" s="426"/>
      <c r="I40" s="407"/>
      <c r="J40" s="407"/>
      <c r="K40" s="407"/>
      <c r="L40" s="407"/>
    </row>
    <row r="41" customFormat="false" ht="14.1" hidden="false" customHeight="true" outlineLevel="0" collapsed="false">
      <c r="C41" s="407"/>
      <c r="D41" s="407"/>
      <c r="E41" s="407"/>
      <c r="F41" s="407"/>
      <c r="G41" s="426"/>
      <c r="H41" s="426"/>
      <c r="I41" s="407"/>
      <c r="J41" s="407"/>
      <c r="K41" s="407"/>
      <c r="L41" s="407"/>
    </row>
    <row r="42" customFormat="false" ht="14.1" hidden="false" customHeight="true" outlineLevel="0" collapsed="false">
      <c r="C42" s="407"/>
      <c r="D42" s="407"/>
      <c r="E42" s="407"/>
      <c r="F42" s="407"/>
      <c r="G42" s="426"/>
      <c r="H42" s="426"/>
      <c r="I42" s="407"/>
      <c r="J42" s="407"/>
      <c r="K42" s="407"/>
      <c r="L42" s="407"/>
    </row>
    <row r="43" customFormat="false" ht="14.1" hidden="false" customHeight="true" outlineLevel="0" collapsed="false">
      <c r="C43" s="407"/>
      <c r="D43" s="407"/>
      <c r="E43" s="407"/>
      <c r="F43" s="407"/>
      <c r="G43" s="426"/>
      <c r="H43" s="426"/>
      <c r="I43" s="407"/>
      <c r="J43" s="407"/>
      <c r="K43" s="407"/>
      <c r="L43" s="407"/>
    </row>
    <row r="44" customFormat="false" ht="14.1" hidden="false" customHeight="true" outlineLevel="0" collapsed="false">
      <c r="C44" s="407"/>
      <c r="D44" s="407"/>
      <c r="E44" s="407"/>
      <c r="F44" s="407"/>
      <c r="G44" s="426"/>
      <c r="H44" s="426"/>
      <c r="I44" s="407"/>
      <c r="J44" s="407"/>
      <c r="K44" s="407"/>
      <c r="L44" s="407"/>
    </row>
    <row r="45" customFormat="false" ht="14.1" hidden="false" customHeight="true" outlineLevel="0" collapsed="false">
      <c r="C45" s="407"/>
      <c r="D45" s="407"/>
      <c r="E45" s="407"/>
      <c r="F45" s="407"/>
      <c r="G45" s="426"/>
      <c r="H45" s="426"/>
      <c r="I45" s="407"/>
      <c r="J45" s="407"/>
      <c r="K45" s="407"/>
      <c r="L45" s="407"/>
    </row>
    <row r="46" customFormat="false" ht="4.2" hidden="false" customHeight="true" outlineLevel="0" collapsed="false"/>
    <row r="47" customFormat="false" ht="14.1" hidden="false" customHeight="true" outlineLevel="0" collapsed="false">
      <c r="C47" s="412" t="n">
        <f aca="false">(C39-Consolidado!AQ12)*100</f>
        <v>12.6680918092708</v>
      </c>
      <c r="D47" s="412"/>
      <c r="E47" s="412"/>
      <c r="F47" s="412"/>
      <c r="G47" s="426"/>
      <c r="H47" s="426"/>
      <c r="I47" s="412" t="n">
        <f aca="false">(I39-C39)*100</f>
        <v>-3.27866022492078</v>
      </c>
      <c r="J47" s="412"/>
      <c r="K47" s="412"/>
      <c r="L47" s="412"/>
    </row>
    <row r="48" customFormat="false" ht="14.1" hidden="false" customHeight="true" outlineLevel="0" collapsed="false">
      <c r="C48" s="412"/>
      <c r="D48" s="412"/>
      <c r="E48" s="412"/>
      <c r="F48" s="412"/>
      <c r="G48" s="426"/>
      <c r="H48" s="426"/>
      <c r="I48" s="412"/>
      <c r="J48" s="412"/>
      <c r="K48" s="412"/>
      <c r="L48" s="412"/>
    </row>
    <row r="49" customFormat="false" ht="14.1" hidden="false" customHeight="true" outlineLevel="0" collapsed="false">
      <c r="C49" s="412"/>
      <c r="D49" s="412"/>
      <c r="E49" s="412"/>
      <c r="F49" s="412"/>
      <c r="G49" s="426"/>
      <c r="H49" s="426"/>
      <c r="I49" s="412"/>
      <c r="J49" s="412"/>
      <c r="K49" s="412"/>
      <c r="L49" s="412"/>
    </row>
    <row r="53" customFormat="false" ht="12.6" hidden="false" customHeight="true" outlineLevel="0" collapsed="false">
      <c r="A53" s="404" t="s">
        <v>211</v>
      </c>
      <c r="C53" s="425" t="n">
        <v>2020</v>
      </c>
      <c r="D53" s="425"/>
      <c r="E53" s="425"/>
      <c r="F53" s="425"/>
      <c r="G53" s="426"/>
      <c r="H53" s="426"/>
      <c r="I53" s="425" t="n">
        <v>2021</v>
      </c>
      <c r="J53" s="425"/>
      <c r="K53" s="425"/>
      <c r="L53" s="425"/>
    </row>
    <row r="54" customFormat="false" ht="12.6" hidden="false" customHeight="true" outlineLevel="0" collapsed="false">
      <c r="C54" s="425"/>
      <c r="D54" s="425"/>
      <c r="E54" s="425"/>
      <c r="F54" s="425"/>
      <c r="G54" s="426"/>
      <c r="H54" s="426"/>
      <c r="I54" s="425"/>
      <c r="J54" s="425"/>
      <c r="K54" s="425"/>
      <c r="L54" s="425"/>
    </row>
    <row r="55" customFormat="false" ht="12.6" hidden="false" customHeight="true" outlineLevel="0" collapsed="false">
      <c r="C55" s="425"/>
      <c r="D55" s="425"/>
      <c r="E55" s="425"/>
      <c r="F55" s="425"/>
      <c r="G55" s="426"/>
      <c r="H55" s="426"/>
      <c r="I55" s="425"/>
      <c r="J55" s="425"/>
      <c r="K55" s="425"/>
      <c r="L55" s="425"/>
    </row>
    <row r="56" customFormat="false" ht="14.1" hidden="false" customHeight="true" outlineLevel="0" collapsed="false">
      <c r="C56" s="407" t="n">
        <f aca="false">Consolidado!$Q$13</f>
        <v>0.0815112574388933</v>
      </c>
      <c r="D56" s="407"/>
      <c r="E56" s="407"/>
      <c r="F56" s="407"/>
      <c r="G56" s="426"/>
      <c r="H56" s="426"/>
      <c r="I56" s="407" t="n">
        <f aca="false">Consolidado!$AI$13</f>
        <v>0.0737601075960765</v>
      </c>
      <c r="J56" s="407"/>
      <c r="K56" s="407"/>
      <c r="L56" s="407"/>
    </row>
    <row r="57" customFormat="false" ht="14.1" hidden="false" customHeight="true" outlineLevel="0" collapsed="false">
      <c r="C57" s="407"/>
      <c r="D57" s="407"/>
      <c r="E57" s="407"/>
      <c r="F57" s="407"/>
      <c r="G57" s="426"/>
      <c r="H57" s="426"/>
      <c r="I57" s="407"/>
      <c r="J57" s="407"/>
      <c r="K57" s="407"/>
      <c r="L57" s="407"/>
    </row>
    <row r="58" customFormat="false" ht="14.1" hidden="false" customHeight="true" outlineLevel="0" collapsed="false">
      <c r="C58" s="407"/>
      <c r="D58" s="407"/>
      <c r="E58" s="407"/>
      <c r="F58" s="407"/>
      <c r="G58" s="426"/>
      <c r="H58" s="426"/>
      <c r="I58" s="407"/>
      <c r="J58" s="407"/>
      <c r="K58" s="407"/>
      <c r="L58" s="407"/>
    </row>
    <row r="59" customFormat="false" ht="14.1" hidden="false" customHeight="true" outlineLevel="0" collapsed="false">
      <c r="C59" s="407"/>
      <c r="D59" s="407"/>
      <c r="E59" s="407"/>
      <c r="F59" s="407"/>
      <c r="G59" s="426"/>
      <c r="H59" s="426"/>
      <c r="I59" s="407"/>
      <c r="J59" s="407"/>
      <c r="K59" s="407"/>
      <c r="L59" s="407"/>
    </row>
    <row r="60" customFormat="false" ht="14.1" hidden="false" customHeight="true" outlineLevel="0" collapsed="false">
      <c r="C60" s="407"/>
      <c r="D60" s="407"/>
      <c r="E60" s="407"/>
      <c r="F60" s="407"/>
      <c r="G60" s="426"/>
      <c r="H60" s="426"/>
      <c r="I60" s="407"/>
      <c r="J60" s="407"/>
      <c r="K60" s="407"/>
      <c r="L60" s="407"/>
    </row>
    <row r="61" customFormat="false" ht="14.1" hidden="false" customHeight="true" outlineLevel="0" collapsed="false">
      <c r="C61" s="407"/>
      <c r="D61" s="407"/>
      <c r="E61" s="407"/>
      <c r="F61" s="407"/>
      <c r="G61" s="426"/>
      <c r="H61" s="426"/>
      <c r="I61" s="407"/>
      <c r="J61" s="407"/>
      <c r="K61" s="407"/>
      <c r="L61" s="407"/>
    </row>
    <row r="62" customFormat="false" ht="14.1" hidden="false" customHeight="true" outlineLevel="0" collapsed="false">
      <c r="C62" s="407"/>
      <c r="D62" s="407"/>
      <c r="E62" s="407"/>
      <c r="F62" s="407"/>
      <c r="G62" s="426"/>
      <c r="H62" s="426"/>
      <c r="I62" s="407"/>
      <c r="J62" s="407"/>
      <c r="K62" s="407"/>
      <c r="L62" s="407"/>
    </row>
    <row r="63" customFormat="false" ht="4.2" hidden="false" customHeight="true" outlineLevel="0" collapsed="false"/>
    <row r="64" customFormat="false" ht="14.1" hidden="false" customHeight="true" outlineLevel="0" collapsed="false">
      <c r="C64" s="412" t="n">
        <f aca="false">(C56-Consolidado!AQ13)*100</f>
        <v>1.42226519087829</v>
      </c>
      <c r="D64" s="412"/>
      <c r="E64" s="412"/>
      <c r="F64" s="412"/>
      <c r="G64" s="426"/>
      <c r="H64" s="426"/>
      <c r="I64" s="412" t="n">
        <f aca="false">(I56-C56)*100</f>
        <v>-0.77511498428168</v>
      </c>
      <c r="J64" s="412"/>
      <c r="K64" s="412"/>
      <c r="L64" s="412"/>
    </row>
    <row r="65" customFormat="false" ht="14.1" hidden="false" customHeight="true" outlineLevel="0" collapsed="false">
      <c r="C65" s="412"/>
      <c r="D65" s="412"/>
      <c r="E65" s="412"/>
      <c r="F65" s="412"/>
      <c r="G65" s="426"/>
      <c r="H65" s="426"/>
      <c r="I65" s="412"/>
      <c r="J65" s="412"/>
      <c r="K65" s="412"/>
      <c r="L65" s="412"/>
    </row>
    <row r="66" customFormat="false" ht="14.1" hidden="false" customHeight="true" outlineLevel="0" collapsed="false">
      <c r="C66" s="412"/>
      <c r="D66" s="412"/>
      <c r="E66" s="412"/>
      <c r="F66" s="412"/>
      <c r="G66" s="426"/>
      <c r="H66" s="426"/>
      <c r="I66" s="412"/>
      <c r="J66" s="412"/>
      <c r="K66" s="412"/>
      <c r="L66" s="412"/>
    </row>
    <row r="70" customFormat="false" ht="12.6" hidden="false" customHeight="true" outlineLevel="0" collapsed="false">
      <c r="A70" s="404" t="s">
        <v>212</v>
      </c>
      <c r="C70" s="425" t="n">
        <v>2020</v>
      </c>
      <c r="D70" s="425"/>
      <c r="E70" s="425"/>
      <c r="F70" s="425"/>
      <c r="G70" s="426"/>
      <c r="H70" s="426"/>
      <c r="I70" s="425" t="n">
        <v>2021</v>
      </c>
      <c r="J70" s="425"/>
      <c r="K70" s="425"/>
      <c r="L70" s="425"/>
    </row>
    <row r="71" customFormat="false" ht="12.6" hidden="false" customHeight="true" outlineLevel="0" collapsed="false">
      <c r="C71" s="425"/>
      <c r="D71" s="425"/>
      <c r="E71" s="425"/>
      <c r="F71" s="425"/>
      <c r="G71" s="426"/>
      <c r="H71" s="426"/>
      <c r="I71" s="425"/>
      <c r="J71" s="425"/>
      <c r="K71" s="425"/>
      <c r="L71" s="425"/>
    </row>
    <row r="72" customFormat="false" ht="12.6" hidden="false" customHeight="true" outlineLevel="0" collapsed="false">
      <c r="C72" s="425"/>
      <c r="D72" s="425"/>
      <c r="E72" s="425"/>
      <c r="F72" s="425"/>
      <c r="G72" s="426"/>
      <c r="H72" s="426"/>
      <c r="I72" s="425"/>
      <c r="J72" s="425"/>
      <c r="K72" s="425"/>
      <c r="L72" s="425"/>
    </row>
    <row r="73" customFormat="false" ht="14.1" hidden="false" customHeight="true" outlineLevel="0" collapsed="false">
      <c r="C73" s="413" t="n">
        <f aca="false">Consolidado!$P$18</f>
        <v>29441.6216666667</v>
      </c>
      <c r="D73" s="413"/>
      <c r="E73" s="413"/>
      <c r="F73" s="413"/>
      <c r="G73" s="414"/>
      <c r="H73" s="414"/>
      <c r="I73" s="413" t="n">
        <f aca="false">Consolidado!$AH$18</f>
        <v>29969.37</v>
      </c>
      <c r="J73" s="413"/>
      <c r="K73" s="413"/>
      <c r="L73" s="413"/>
    </row>
    <row r="74" customFormat="false" ht="14.1" hidden="false" customHeight="true" outlineLevel="0" collapsed="false">
      <c r="C74" s="413"/>
      <c r="D74" s="413"/>
      <c r="E74" s="413"/>
      <c r="F74" s="413"/>
      <c r="G74" s="414"/>
      <c r="H74" s="414"/>
      <c r="I74" s="413"/>
      <c r="J74" s="413"/>
      <c r="K74" s="413"/>
      <c r="L74" s="413"/>
    </row>
    <row r="75" customFormat="false" ht="14.1" hidden="false" customHeight="true" outlineLevel="0" collapsed="false">
      <c r="C75" s="413"/>
      <c r="D75" s="413"/>
      <c r="E75" s="413"/>
      <c r="F75" s="413"/>
      <c r="G75" s="414"/>
      <c r="H75" s="414"/>
      <c r="I75" s="413"/>
      <c r="J75" s="413"/>
      <c r="K75" s="413"/>
      <c r="L75" s="413"/>
      <c r="N75" s="427" t="n">
        <f aca="false">(I73-C73)/C73</f>
        <v>0.0179252467580904</v>
      </c>
    </row>
    <row r="76" customFormat="false" ht="14.1" hidden="false" customHeight="true" outlineLevel="0" collapsed="false">
      <c r="C76" s="413"/>
      <c r="D76" s="413"/>
      <c r="E76" s="413"/>
      <c r="F76" s="413"/>
      <c r="G76" s="414"/>
      <c r="H76" s="414"/>
      <c r="I76" s="413"/>
      <c r="J76" s="413"/>
      <c r="K76" s="413"/>
      <c r="L76" s="413"/>
    </row>
    <row r="77" customFormat="false" ht="14.1" hidden="false" customHeight="true" outlineLevel="0" collapsed="false">
      <c r="C77" s="413"/>
      <c r="D77" s="413"/>
      <c r="E77" s="413"/>
      <c r="F77" s="413"/>
      <c r="G77" s="414"/>
      <c r="H77" s="414"/>
      <c r="I77" s="413"/>
      <c r="J77" s="413"/>
      <c r="K77" s="413"/>
      <c r="L77" s="413"/>
    </row>
    <row r="78" customFormat="false" ht="14.1" hidden="false" customHeight="true" outlineLevel="0" collapsed="false">
      <c r="C78" s="413"/>
      <c r="D78" s="413"/>
      <c r="E78" s="413"/>
      <c r="F78" s="413"/>
      <c r="G78" s="414"/>
      <c r="H78" s="414"/>
      <c r="I78" s="413"/>
      <c r="J78" s="413"/>
      <c r="K78" s="413"/>
      <c r="L78" s="413"/>
    </row>
    <row r="79" customFormat="false" ht="14.1" hidden="false" customHeight="true" outlineLevel="0" collapsed="false">
      <c r="C79" s="413"/>
      <c r="D79" s="413"/>
      <c r="E79" s="413"/>
      <c r="F79" s="413"/>
      <c r="G79" s="414"/>
      <c r="H79" s="414"/>
      <c r="I79" s="413"/>
      <c r="J79" s="413"/>
      <c r="K79" s="413"/>
      <c r="L79" s="413"/>
    </row>
    <row r="80" customFormat="false" ht="4.2" hidden="false" customHeight="true" outlineLevel="0" collapsed="false"/>
    <row r="81" customFormat="false" ht="14.1" hidden="false" customHeight="true" outlineLevel="0" collapsed="false">
      <c r="C81" s="424" t="n">
        <f aca="false">Consolidado!Q18</f>
        <v>0.382619649668451</v>
      </c>
      <c r="D81" s="424"/>
      <c r="E81" s="424"/>
      <c r="F81" s="424"/>
      <c r="G81" s="428"/>
      <c r="H81" s="428"/>
      <c r="I81" s="424" t="n">
        <f aca="false">Consolidado!AI18</f>
        <v>0.314507902846183</v>
      </c>
      <c r="J81" s="424"/>
      <c r="K81" s="424"/>
      <c r="L81" s="424"/>
    </row>
    <row r="82" customFormat="false" ht="14.1" hidden="false" customHeight="true" outlineLevel="0" collapsed="false">
      <c r="C82" s="424"/>
      <c r="D82" s="424"/>
      <c r="E82" s="424"/>
      <c r="F82" s="424"/>
      <c r="G82" s="428"/>
      <c r="H82" s="428"/>
      <c r="I82" s="424"/>
      <c r="J82" s="424"/>
      <c r="K82" s="424"/>
      <c r="L82" s="424"/>
    </row>
    <row r="83" customFormat="false" ht="14.1" hidden="false" customHeight="true" outlineLevel="0" collapsed="false">
      <c r="C83" s="424"/>
      <c r="D83" s="424"/>
      <c r="E83" s="424"/>
      <c r="F83" s="424"/>
      <c r="G83" s="428"/>
      <c r="H83" s="428"/>
      <c r="I83" s="424"/>
      <c r="J83" s="424"/>
      <c r="K83" s="424"/>
      <c r="L83" s="424"/>
    </row>
    <row r="87" customFormat="false" ht="12.6" hidden="false" customHeight="true" outlineLevel="0" collapsed="false">
      <c r="A87" s="404" t="s">
        <v>213</v>
      </c>
      <c r="C87" s="425" t="n">
        <v>2020</v>
      </c>
      <c r="D87" s="425"/>
      <c r="E87" s="425"/>
      <c r="F87" s="425"/>
      <c r="G87" s="426"/>
      <c r="H87" s="426"/>
      <c r="I87" s="425" t="n">
        <v>2021</v>
      </c>
      <c r="J87" s="425"/>
      <c r="K87" s="425"/>
      <c r="L87" s="425"/>
    </row>
    <row r="88" customFormat="false" ht="12.6" hidden="false" customHeight="true" outlineLevel="0" collapsed="false">
      <c r="C88" s="425"/>
      <c r="D88" s="425"/>
      <c r="E88" s="425"/>
      <c r="F88" s="425"/>
      <c r="G88" s="426"/>
      <c r="H88" s="426"/>
      <c r="I88" s="425"/>
      <c r="J88" s="425"/>
      <c r="K88" s="425"/>
      <c r="L88" s="425"/>
    </row>
    <row r="89" customFormat="false" ht="12.6" hidden="false" customHeight="true" outlineLevel="0" collapsed="false">
      <c r="C89" s="425"/>
      <c r="D89" s="425"/>
      <c r="E89" s="425"/>
      <c r="F89" s="425"/>
      <c r="G89" s="426"/>
      <c r="H89" s="426"/>
      <c r="I89" s="425"/>
      <c r="J89" s="425"/>
      <c r="K89" s="425"/>
      <c r="L89" s="425"/>
    </row>
    <row r="90" customFormat="false" ht="14.1" hidden="false" customHeight="true" outlineLevel="0" collapsed="false">
      <c r="C90" s="413" t="n">
        <f aca="false">Consolidado!$P$19</f>
        <v>16560.9783333333</v>
      </c>
      <c r="D90" s="413"/>
      <c r="E90" s="413"/>
      <c r="F90" s="413"/>
      <c r="G90" s="414"/>
      <c r="H90" s="414"/>
      <c r="I90" s="413" t="n">
        <f aca="false">Consolidado!$AH$19</f>
        <v>13481.32</v>
      </c>
      <c r="J90" s="413"/>
      <c r="K90" s="413"/>
      <c r="L90" s="413"/>
    </row>
    <row r="91" customFormat="false" ht="14.1" hidden="false" customHeight="true" outlineLevel="0" collapsed="false">
      <c r="C91" s="413"/>
      <c r="D91" s="413"/>
      <c r="E91" s="413"/>
      <c r="F91" s="413"/>
      <c r="G91" s="414"/>
      <c r="H91" s="414"/>
      <c r="I91" s="413"/>
      <c r="J91" s="413"/>
      <c r="K91" s="413"/>
      <c r="L91" s="413"/>
    </row>
    <row r="92" customFormat="false" ht="14.1" hidden="false" customHeight="true" outlineLevel="0" collapsed="false">
      <c r="C92" s="413"/>
      <c r="D92" s="413"/>
      <c r="E92" s="413"/>
      <c r="F92" s="413"/>
      <c r="G92" s="414"/>
      <c r="H92" s="414"/>
      <c r="I92" s="413"/>
      <c r="J92" s="413"/>
      <c r="K92" s="413"/>
      <c r="L92" s="413"/>
      <c r="N92" s="427" t="n">
        <f aca="false">(I90-C90)/C90</f>
        <v>-0.185958720031335</v>
      </c>
    </row>
    <row r="93" customFormat="false" ht="14.1" hidden="false" customHeight="true" outlineLevel="0" collapsed="false">
      <c r="C93" s="413"/>
      <c r="D93" s="413"/>
      <c r="E93" s="413"/>
      <c r="F93" s="413"/>
      <c r="G93" s="414"/>
      <c r="H93" s="414"/>
      <c r="I93" s="413"/>
      <c r="J93" s="413"/>
      <c r="K93" s="413"/>
      <c r="L93" s="413"/>
    </row>
    <row r="94" customFormat="false" ht="14.1" hidden="false" customHeight="true" outlineLevel="0" collapsed="false">
      <c r="C94" s="413"/>
      <c r="D94" s="413"/>
      <c r="E94" s="413"/>
      <c r="F94" s="413"/>
      <c r="G94" s="414"/>
      <c r="H94" s="414"/>
      <c r="I94" s="413"/>
      <c r="J94" s="413"/>
      <c r="K94" s="413"/>
      <c r="L94" s="413"/>
    </row>
    <row r="95" customFormat="false" ht="14.1" hidden="false" customHeight="true" outlineLevel="0" collapsed="false">
      <c r="C95" s="413"/>
      <c r="D95" s="413"/>
      <c r="E95" s="413"/>
      <c r="F95" s="413"/>
      <c r="G95" s="414"/>
      <c r="H95" s="414"/>
      <c r="I95" s="413"/>
      <c r="J95" s="413"/>
      <c r="K95" s="413"/>
      <c r="L95" s="413"/>
    </row>
    <row r="96" customFormat="false" ht="14.1" hidden="false" customHeight="true" outlineLevel="0" collapsed="false">
      <c r="C96" s="413"/>
      <c r="D96" s="413"/>
      <c r="E96" s="413"/>
      <c r="F96" s="413"/>
      <c r="G96" s="414"/>
      <c r="H96" s="414"/>
      <c r="I96" s="413"/>
      <c r="J96" s="413"/>
      <c r="K96" s="413"/>
      <c r="L96" s="413"/>
    </row>
    <row r="97" customFormat="false" ht="4.2" hidden="false" customHeight="true" outlineLevel="0" collapsed="false"/>
    <row r="98" customFormat="false" ht="14.1" hidden="false" customHeight="true" outlineLevel="0" collapsed="false">
      <c r="C98" s="429" t="n">
        <f aca="false">Consolidado!Q19</f>
        <v>0.215224412561519</v>
      </c>
      <c r="D98" s="429"/>
      <c r="E98" s="429"/>
      <c r="F98" s="429"/>
      <c r="G98" s="426"/>
      <c r="H98" s="426"/>
      <c r="I98" s="429" t="n">
        <f aca="false">Consolidado!AI19</f>
        <v>0.14147717088475</v>
      </c>
      <c r="J98" s="429"/>
      <c r="K98" s="429"/>
      <c r="L98" s="429"/>
    </row>
    <row r="99" customFormat="false" ht="14.1" hidden="false" customHeight="true" outlineLevel="0" collapsed="false">
      <c r="C99" s="429"/>
      <c r="D99" s="429"/>
      <c r="E99" s="429"/>
      <c r="F99" s="429"/>
      <c r="G99" s="426"/>
      <c r="H99" s="426"/>
      <c r="I99" s="429"/>
      <c r="J99" s="429"/>
      <c r="K99" s="429"/>
      <c r="L99" s="429"/>
    </row>
    <row r="100" customFormat="false" ht="14.1" hidden="false" customHeight="true" outlineLevel="0" collapsed="false">
      <c r="C100" s="429"/>
      <c r="D100" s="429"/>
      <c r="E100" s="429"/>
      <c r="F100" s="429"/>
      <c r="G100" s="426"/>
      <c r="H100" s="426"/>
      <c r="I100" s="429"/>
      <c r="J100" s="429"/>
      <c r="K100" s="429"/>
      <c r="L100" s="429"/>
    </row>
    <row r="104" customFormat="false" ht="12.6" hidden="false" customHeight="true" outlineLevel="0" collapsed="false">
      <c r="A104" s="404" t="s">
        <v>214</v>
      </c>
      <c r="C104" s="425" t="n">
        <v>2020</v>
      </c>
      <c r="D104" s="425"/>
      <c r="E104" s="425"/>
      <c r="F104" s="425"/>
      <c r="G104" s="426"/>
      <c r="H104" s="426"/>
      <c r="I104" s="425" t="n">
        <v>2021</v>
      </c>
      <c r="J104" s="425"/>
      <c r="K104" s="425"/>
      <c r="L104" s="425"/>
    </row>
    <row r="105" customFormat="false" ht="12.6" hidden="false" customHeight="true" outlineLevel="0" collapsed="false">
      <c r="C105" s="425"/>
      <c r="D105" s="425"/>
      <c r="E105" s="425"/>
      <c r="F105" s="425"/>
      <c r="G105" s="426"/>
      <c r="H105" s="426"/>
      <c r="I105" s="425"/>
      <c r="J105" s="425"/>
      <c r="K105" s="425"/>
      <c r="L105" s="425"/>
    </row>
    <row r="106" customFormat="false" ht="12.6" hidden="false" customHeight="true" outlineLevel="0" collapsed="false">
      <c r="C106" s="425"/>
      <c r="D106" s="425"/>
      <c r="E106" s="425"/>
      <c r="F106" s="425"/>
      <c r="G106" s="426"/>
      <c r="H106" s="426"/>
      <c r="I106" s="425"/>
      <c r="J106" s="425"/>
      <c r="K106" s="425"/>
      <c r="L106" s="425"/>
    </row>
    <row r="107" customFormat="false" ht="14.1" hidden="false" customHeight="true" outlineLevel="0" collapsed="false">
      <c r="C107" s="413" t="n">
        <f aca="false">Consolidado!$P$20</f>
        <v>12880.6433333333</v>
      </c>
      <c r="D107" s="413"/>
      <c r="E107" s="413"/>
      <c r="F107" s="413"/>
      <c r="G107" s="414"/>
      <c r="H107" s="414"/>
      <c r="I107" s="413" t="n">
        <f aca="false">Consolidado!$AH$20</f>
        <v>16488.05</v>
      </c>
      <c r="J107" s="413"/>
      <c r="K107" s="413"/>
      <c r="L107" s="413"/>
    </row>
    <row r="108" customFormat="false" ht="14.1" hidden="false" customHeight="true" outlineLevel="0" collapsed="false">
      <c r="C108" s="413"/>
      <c r="D108" s="413"/>
      <c r="E108" s="413"/>
      <c r="F108" s="413"/>
      <c r="G108" s="414"/>
      <c r="H108" s="414"/>
      <c r="I108" s="413"/>
      <c r="J108" s="413"/>
      <c r="K108" s="413"/>
      <c r="L108" s="413"/>
      <c r="N108" s="427"/>
    </row>
    <row r="109" customFormat="false" ht="14.1" hidden="false" customHeight="true" outlineLevel="0" collapsed="false">
      <c r="C109" s="413"/>
      <c r="D109" s="413"/>
      <c r="E109" s="413"/>
      <c r="F109" s="413"/>
      <c r="G109" s="414"/>
      <c r="H109" s="414"/>
      <c r="I109" s="413"/>
      <c r="J109" s="413"/>
      <c r="K109" s="413"/>
      <c r="L109" s="413"/>
      <c r="N109" s="427" t="n">
        <f aca="false">(I107-C107)/C107</f>
        <v>0.28006416863754</v>
      </c>
    </row>
    <row r="110" customFormat="false" ht="14.1" hidden="false" customHeight="true" outlineLevel="0" collapsed="false">
      <c r="C110" s="413"/>
      <c r="D110" s="413"/>
      <c r="E110" s="413"/>
      <c r="F110" s="413"/>
      <c r="G110" s="414"/>
      <c r="H110" s="414"/>
      <c r="I110" s="413"/>
      <c r="J110" s="413"/>
      <c r="K110" s="413"/>
      <c r="L110" s="413"/>
    </row>
    <row r="111" customFormat="false" ht="14.1" hidden="false" customHeight="true" outlineLevel="0" collapsed="false">
      <c r="C111" s="413"/>
      <c r="D111" s="413"/>
      <c r="E111" s="413"/>
      <c r="F111" s="413"/>
      <c r="G111" s="414"/>
      <c r="H111" s="414"/>
      <c r="I111" s="413"/>
      <c r="J111" s="413"/>
      <c r="K111" s="413"/>
      <c r="L111" s="413"/>
    </row>
    <row r="112" customFormat="false" ht="14.1" hidden="false" customHeight="true" outlineLevel="0" collapsed="false">
      <c r="C112" s="413"/>
      <c r="D112" s="413"/>
      <c r="E112" s="413"/>
      <c r="F112" s="413"/>
      <c r="G112" s="414"/>
      <c r="H112" s="414"/>
      <c r="I112" s="413"/>
      <c r="J112" s="413"/>
      <c r="K112" s="413"/>
      <c r="L112" s="413"/>
    </row>
    <row r="113" customFormat="false" ht="14.1" hidden="false" customHeight="true" outlineLevel="0" collapsed="false">
      <c r="C113" s="413"/>
      <c r="D113" s="413"/>
      <c r="E113" s="413"/>
      <c r="F113" s="413"/>
      <c r="G113" s="414"/>
      <c r="H113" s="414"/>
      <c r="I113" s="413"/>
      <c r="J113" s="413"/>
      <c r="K113" s="413"/>
      <c r="L113" s="413"/>
    </row>
    <row r="114" customFormat="false" ht="4.2" hidden="false" customHeight="true" outlineLevel="0" collapsed="false"/>
    <row r="115" customFormat="false" ht="14.1" hidden="false" customHeight="true" outlineLevel="0" collapsed="false">
      <c r="C115" s="429" t="n">
        <f aca="false">Consolidado!Q19</f>
        <v>0.215224412561519</v>
      </c>
      <c r="D115" s="429"/>
      <c r="E115" s="429"/>
      <c r="F115" s="429"/>
      <c r="G115" s="426"/>
      <c r="H115" s="426"/>
      <c r="I115" s="429" t="n">
        <f aca="false">Consolidado!AI19</f>
        <v>0.14147717088475</v>
      </c>
      <c r="J115" s="429"/>
      <c r="K115" s="429"/>
      <c r="L115" s="429"/>
    </row>
    <row r="116" customFormat="false" ht="14.1" hidden="false" customHeight="true" outlineLevel="0" collapsed="false">
      <c r="C116" s="429"/>
      <c r="D116" s="429"/>
      <c r="E116" s="429"/>
      <c r="F116" s="429"/>
      <c r="G116" s="426"/>
      <c r="H116" s="426"/>
      <c r="I116" s="429"/>
      <c r="J116" s="429"/>
      <c r="K116" s="429"/>
      <c r="L116" s="429"/>
    </row>
    <row r="117" customFormat="false" ht="14.1" hidden="false" customHeight="true" outlineLevel="0" collapsed="false">
      <c r="C117" s="429"/>
      <c r="D117" s="429"/>
      <c r="E117" s="429"/>
      <c r="F117" s="429"/>
      <c r="G117" s="426"/>
      <c r="H117" s="426"/>
      <c r="I117" s="429"/>
      <c r="J117" s="429"/>
      <c r="K117" s="429"/>
      <c r="L117" s="429"/>
    </row>
    <row r="120" customFormat="false" ht="14.4" hidden="false" customHeight="false" outlineLevel="0" collapsed="false">
      <c r="I120" s="427" t="n">
        <f aca="false">(H124-C124)/C124</f>
        <v>0</v>
      </c>
      <c r="N120" s="427" t="n">
        <f aca="false">(M124-H124)/H124</f>
        <v>0.476190476190476</v>
      </c>
    </row>
    <row r="121" customFormat="false" ht="12.6" hidden="false" customHeight="true" outlineLevel="0" collapsed="false">
      <c r="A121" s="404" t="s">
        <v>88</v>
      </c>
      <c r="C121" s="425" t="n">
        <v>2019</v>
      </c>
      <c r="D121" s="425"/>
      <c r="E121" s="425"/>
      <c r="F121" s="425"/>
      <c r="G121" s="426"/>
      <c r="H121" s="425" t="n">
        <f aca="false">C121+1</f>
        <v>2020</v>
      </c>
      <c r="I121" s="425"/>
      <c r="J121" s="425"/>
      <c r="K121" s="425"/>
      <c r="L121" s="426"/>
      <c r="M121" s="425" t="n">
        <f aca="false">H121+1</f>
        <v>2021</v>
      </c>
      <c r="N121" s="425"/>
      <c r="O121" s="425"/>
      <c r="P121" s="425"/>
      <c r="Q121" s="426"/>
      <c r="R121" s="426"/>
      <c r="S121" s="426"/>
    </row>
    <row r="122" customFormat="false" ht="12.6" hidden="false" customHeight="true" outlineLevel="0" collapsed="false">
      <c r="C122" s="425"/>
      <c r="D122" s="425"/>
      <c r="E122" s="425"/>
      <c r="F122" s="425"/>
      <c r="G122" s="426"/>
      <c r="H122" s="425"/>
      <c r="I122" s="425"/>
      <c r="J122" s="425"/>
      <c r="K122" s="425"/>
      <c r="L122" s="426"/>
      <c r="M122" s="425"/>
      <c r="N122" s="425"/>
      <c r="O122" s="425"/>
      <c r="P122" s="425"/>
      <c r="Q122" s="426"/>
      <c r="R122" s="426"/>
      <c r="S122" s="426"/>
    </row>
    <row r="123" customFormat="false" ht="12.6" hidden="false" customHeight="true" outlineLevel="0" collapsed="false">
      <c r="C123" s="425"/>
      <c r="D123" s="425"/>
      <c r="E123" s="425"/>
      <c r="F123" s="425"/>
      <c r="G123" s="426"/>
      <c r="H123" s="425"/>
      <c r="I123" s="425"/>
      <c r="J123" s="425"/>
      <c r="K123" s="425"/>
      <c r="L123" s="426"/>
      <c r="M123" s="425"/>
      <c r="N123" s="425"/>
      <c r="O123" s="425"/>
      <c r="P123" s="425"/>
      <c r="Q123" s="426"/>
      <c r="R123" s="426"/>
      <c r="S123" s="426"/>
    </row>
    <row r="124" customFormat="false" ht="14.1" hidden="false" customHeight="true" outlineLevel="0" collapsed="false">
      <c r="C124" s="430" t="n">
        <v>21</v>
      </c>
      <c r="D124" s="430"/>
      <c r="E124" s="430"/>
      <c r="F124" s="430"/>
      <c r="G124" s="426"/>
      <c r="H124" s="430" t="n">
        <v>21</v>
      </c>
      <c r="I124" s="430"/>
      <c r="J124" s="430"/>
      <c r="K124" s="430"/>
      <c r="L124" s="426"/>
      <c r="M124" s="430" t="n">
        <v>31</v>
      </c>
      <c r="N124" s="430"/>
      <c r="O124" s="430"/>
      <c r="P124" s="430"/>
      <c r="Q124" s="426"/>
      <c r="R124" s="426"/>
      <c r="S124" s="426"/>
    </row>
    <row r="125" customFormat="false" ht="14.1" hidden="false" customHeight="true" outlineLevel="0" collapsed="false">
      <c r="C125" s="430"/>
      <c r="D125" s="430"/>
      <c r="E125" s="430"/>
      <c r="F125" s="430"/>
      <c r="G125" s="426"/>
      <c r="H125" s="430"/>
      <c r="I125" s="430"/>
      <c r="J125" s="430"/>
      <c r="K125" s="430"/>
      <c r="L125" s="426"/>
      <c r="M125" s="430"/>
      <c r="N125" s="430"/>
      <c r="O125" s="430"/>
      <c r="P125" s="430"/>
      <c r="Q125" s="426"/>
      <c r="R125" s="426"/>
      <c r="S125" s="426"/>
    </row>
    <row r="126" customFormat="false" ht="14.1" hidden="false" customHeight="true" outlineLevel="0" collapsed="false">
      <c r="C126" s="430"/>
      <c r="D126" s="430"/>
      <c r="E126" s="430"/>
      <c r="F126" s="430"/>
      <c r="G126" s="426"/>
      <c r="H126" s="430"/>
      <c r="I126" s="430"/>
      <c r="J126" s="430"/>
      <c r="K126" s="430"/>
      <c r="L126" s="426"/>
      <c r="M126" s="430"/>
      <c r="N126" s="430"/>
      <c r="O126" s="430"/>
      <c r="P126" s="430"/>
      <c r="Q126" s="426"/>
      <c r="R126" s="426"/>
      <c r="S126" s="426"/>
    </row>
    <row r="127" customFormat="false" ht="14.1" hidden="false" customHeight="true" outlineLevel="0" collapsed="false">
      <c r="C127" s="430"/>
      <c r="D127" s="430"/>
      <c r="E127" s="430"/>
      <c r="F127" s="430"/>
      <c r="G127" s="426"/>
      <c r="H127" s="430"/>
      <c r="I127" s="430"/>
      <c r="J127" s="430"/>
      <c r="K127" s="430"/>
      <c r="L127" s="426"/>
      <c r="M127" s="430"/>
      <c r="N127" s="430"/>
      <c r="O127" s="430"/>
      <c r="P127" s="430"/>
      <c r="Q127" s="426"/>
      <c r="R127" s="426"/>
      <c r="S127" s="426"/>
    </row>
    <row r="128" customFormat="false" ht="14.1" hidden="false" customHeight="true" outlineLevel="0" collapsed="false">
      <c r="C128" s="430"/>
      <c r="D128" s="430"/>
      <c r="E128" s="430"/>
      <c r="F128" s="430"/>
      <c r="G128" s="426"/>
      <c r="H128" s="430"/>
      <c r="I128" s="430"/>
      <c r="J128" s="430"/>
      <c r="K128" s="430"/>
      <c r="L128" s="426"/>
      <c r="M128" s="430"/>
      <c r="N128" s="430"/>
      <c r="O128" s="430"/>
      <c r="P128" s="430"/>
      <c r="Q128" s="426"/>
      <c r="R128" s="426"/>
      <c r="S128" s="426"/>
    </row>
    <row r="129" customFormat="false" ht="14.1" hidden="false" customHeight="true" outlineLevel="0" collapsed="false">
      <c r="C129" s="430"/>
      <c r="D129" s="430"/>
      <c r="E129" s="430"/>
      <c r="F129" s="430"/>
      <c r="G129" s="426"/>
      <c r="H129" s="430"/>
      <c r="I129" s="430"/>
      <c r="J129" s="430"/>
      <c r="K129" s="430"/>
      <c r="L129" s="426"/>
      <c r="M129" s="430"/>
      <c r="N129" s="430"/>
      <c r="O129" s="430"/>
      <c r="P129" s="430"/>
      <c r="Q129" s="426"/>
      <c r="R129" s="426"/>
      <c r="S129" s="426"/>
    </row>
    <row r="130" customFormat="false" ht="14.1" hidden="false" customHeight="true" outlineLevel="0" collapsed="false">
      <c r="C130" s="430"/>
      <c r="D130" s="430"/>
      <c r="E130" s="430"/>
      <c r="F130" s="430"/>
      <c r="G130" s="426"/>
      <c r="H130" s="430"/>
      <c r="I130" s="430"/>
      <c r="J130" s="430"/>
      <c r="K130" s="430"/>
      <c r="L130" s="426"/>
      <c r="M130" s="430"/>
      <c r="N130" s="430"/>
      <c r="O130" s="430"/>
      <c r="P130" s="430"/>
      <c r="Q130" s="426"/>
      <c r="R130" s="426"/>
      <c r="S130" s="426"/>
    </row>
    <row r="131" customFormat="false" ht="4.2" hidden="false" customHeight="true" outlineLevel="0" collapsed="false"/>
    <row r="132" customFormat="false" ht="14.1" hidden="false" customHeight="true" outlineLevel="0" collapsed="false"/>
    <row r="133" customFormat="false" ht="14.1" hidden="false" customHeight="true" outlineLevel="0" collapsed="false"/>
    <row r="134" customFormat="false" ht="14.1" hidden="false" customHeight="true" outlineLevel="0" collapsed="false"/>
    <row r="135" customFormat="false" ht="16.5" hidden="false" customHeight="true" outlineLevel="0" collapsed="false">
      <c r="A135" s="404" t="s">
        <v>217</v>
      </c>
      <c r="C135" s="431" t="n">
        <v>2020</v>
      </c>
      <c r="D135" s="431"/>
      <c r="E135" s="431"/>
      <c r="F135" s="431"/>
      <c r="G135" s="426"/>
      <c r="H135" s="426"/>
      <c r="I135" s="431" t="n">
        <v>2021</v>
      </c>
      <c r="J135" s="431"/>
      <c r="K135" s="431"/>
      <c r="L135" s="431"/>
    </row>
    <row r="136" customFormat="false" ht="21" hidden="false" customHeight="true" outlineLevel="0" collapsed="false">
      <c r="C136" s="431"/>
      <c r="D136" s="431"/>
      <c r="E136" s="431"/>
      <c r="F136" s="431"/>
      <c r="G136" s="426"/>
      <c r="H136" s="426"/>
      <c r="I136" s="431"/>
      <c r="J136" s="431"/>
      <c r="K136" s="431"/>
      <c r="L136" s="431"/>
    </row>
    <row r="137" customFormat="false" ht="21" hidden="false" customHeight="true" outlineLevel="0" collapsed="false">
      <c r="C137" s="431"/>
      <c r="D137" s="431"/>
      <c r="E137" s="431"/>
      <c r="F137" s="431"/>
      <c r="G137" s="426"/>
      <c r="H137" s="426"/>
      <c r="I137" s="431"/>
      <c r="J137" s="431"/>
      <c r="K137" s="431"/>
      <c r="L137" s="431"/>
    </row>
    <row r="138" customFormat="false" ht="21" hidden="false" customHeight="true" outlineLevel="0" collapsed="false">
      <c r="C138" s="432" t="s">
        <v>218</v>
      </c>
      <c r="D138" s="432"/>
      <c r="E138" s="433" t="n">
        <f aca="false">Consolidado!P19/Consolidado!P18</f>
        <v>0.562502246677648</v>
      </c>
      <c r="F138" s="433"/>
      <c r="G138" s="426"/>
      <c r="H138" s="426"/>
      <c r="I138" s="432" t="s">
        <v>218</v>
      </c>
      <c r="J138" s="432"/>
      <c r="K138" s="433" t="n">
        <f aca="false">Consolidado!AH19/Consolidado!$AH$18</f>
        <v>0.449836616518799</v>
      </c>
      <c r="L138" s="433"/>
    </row>
    <row r="139" customFormat="false" ht="21" hidden="false" customHeight="true" outlineLevel="0" collapsed="false">
      <c r="C139" s="432"/>
      <c r="D139" s="432"/>
      <c r="E139" s="433"/>
      <c r="F139" s="433"/>
      <c r="G139" s="426"/>
      <c r="H139" s="426"/>
      <c r="I139" s="432"/>
      <c r="J139" s="432"/>
      <c r="K139" s="433"/>
      <c r="L139" s="433"/>
    </row>
    <row r="140" customFormat="false" ht="21" hidden="false" customHeight="true" outlineLevel="0" collapsed="false">
      <c r="C140" s="432" t="s">
        <v>219</v>
      </c>
      <c r="D140" s="432"/>
      <c r="E140" s="433" t="n">
        <f aca="false">Consolidado!P20/Consolidado!P18</f>
        <v>0.437497753322351</v>
      </c>
      <c r="F140" s="433"/>
      <c r="G140" s="426"/>
      <c r="H140" s="426"/>
      <c r="I140" s="432" t="s">
        <v>219</v>
      </c>
      <c r="J140" s="432"/>
      <c r="K140" s="433" t="n">
        <f aca="false">Consolidado!AH20/Consolidado!AH18</f>
        <v>0.550163383481201</v>
      </c>
      <c r="L140" s="433"/>
    </row>
    <row r="141" customFormat="false" ht="21" hidden="false" customHeight="true" outlineLevel="0" collapsed="false">
      <c r="C141" s="432"/>
      <c r="D141" s="432"/>
      <c r="E141" s="433"/>
      <c r="F141" s="433"/>
      <c r="G141" s="426"/>
      <c r="H141" s="426"/>
      <c r="I141" s="432"/>
      <c r="J141" s="432"/>
      <c r="K141" s="433"/>
      <c r="L141" s="433"/>
    </row>
    <row r="142" customFormat="false" ht="21" hidden="false" customHeight="true" outlineLevel="0" collapsed="false">
      <c r="C142" s="434"/>
      <c r="D142" s="434"/>
      <c r="E142" s="435"/>
      <c r="F142" s="435"/>
      <c r="G142" s="426"/>
      <c r="H142" s="426"/>
      <c r="I142" s="434"/>
      <c r="J142" s="434"/>
      <c r="K142" s="435"/>
      <c r="L142" s="435"/>
    </row>
    <row r="146" customFormat="false" ht="14.4" hidden="false" customHeight="false" outlineLevel="0" collapsed="false">
      <c r="I146" s="427" t="n">
        <f aca="false">(H150-C150)/C150</f>
        <v>-0.650598311500161</v>
      </c>
      <c r="N146" s="427" t="n">
        <f aca="false">(M150-H150)/H150</f>
        <v>-0.3104377360671</v>
      </c>
    </row>
    <row r="147" customFormat="false" ht="14.4" hidden="false" customHeight="true" outlineLevel="0" collapsed="false">
      <c r="A147" s="404" t="s">
        <v>220</v>
      </c>
      <c r="C147" s="425" t="n">
        <v>2019</v>
      </c>
      <c r="D147" s="425"/>
      <c r="E147" s="425"/>
      <c r="F147" s="425"/>
      <c r="G147" s="426"/>
      <c r="H147" s="425" t="n">
        <f aca="false">C147+1</f>
        <v>2020</v>
      </c>
      <c r="I147" s="425"/>
      <c r="J147" s="425"/>
      <c r="K147" s="425"/>
      <c r="L147" s="426"/>
      <c r="M147" s="425" t="n">
        <f aca="false">H147+1</f>
        <v>2021</v>
      </c>
      <c r="N147" s="425"/>
      <c r="O147" s="425"/>
      <c r="P147" s="425"/>
    </row>
    <row r="148" customFormat="false" ht="14.4" hidden="false" customHeight="true" outlineLevel="0" collapsed="false">
      <c r="C148" s="425"/>
      <c r="D148" s="425"/>
      <c r="E148" s="425"/>
      <c r="F148" s="425"/>
      <c r="G148" s="426"/>
      <c r="H148" s="425"/>
      <c r="I148" s="425"/>
      <c r="J148" s="425"/>
      <c r="K148" s="425"/>
      <c r="L148" s="426"/>
      <c r="M148" s="425"/>
      <c r="N148" s="425"/>
      <c r="O148" s="425"/>
      <c r="P148" s="425"/>
    </row>
    <row r="149" customFormat="false" ht="14.4" hidden="false" customHeight="true" outlineLevel="0" collapsed="false">
      <c r="C149" s="425"/>
      <c r="D149" s="425"/>
      <c r="E149" s="425"/>
      <c r="F149" s="425"/>
      <c r="G149" s="426"/>
      <c r="H149" s="425"/>
      <c r="I149" s="425"/>
      <c r="J149" s="425"/>
      <c r="K149" s="425"/>
      <c r="L149" s="426"/>
      <c r="M149" s="425"/>
      <c r="N149" s="425"/>
      <c r="O149" s="425"/>
      <c r="P149" s="425"/>
    </row>
    <row r="150" customFormat="false" ht="14.7" hidden="false" customHeight="true" outlineLevel="0" collapsed="false">
      <c r="C150" s="413" t="n">
        <f aca="false">Consolidado!AP18/Custos!C124</f>
        <v>4012.52206349206</v>
      </c>
      <c r="D150" s="413"/>
      <c r="E150" s="413"/>
      <c r="F150" s="413"/>
      <c r="G150" s="436"/>
      <c r="H150" s="413" t="n">
        <f aca="false">Consolidado!P18/Custos!H124</f>
        <v>1401.98198412698</v>
      </c>
      <c r="I150" s="413"/>
      <c r="J150" s="413"/>
      <c r="K150" s="413"/>
      <c r="L150" s="436"/>
      <c r="M150" s="413" t="n">
        <f aca="false">Consolidado!AH18/Custos!M124</f>
        <v>966.753870967742</v>
      </c>
      <c r="N150" s="413"/>
      <c r="O150" s="413"/>
      <c r="P150" s="413"/>
    </row>
    <row r="151" customFormat="false" ht="14.7" hidden="false" customHeight="true" outlineLevel="0" collapsed="false">
      <c r="C151" s="413"/>
      <c r="D151" s="413"/>
      <c r="E151" s="413"/>
      <c r="F151" s="413"/>
      <c r="G151" s="436"/>
      <c r="H151" s="413"/>
      <c r="I151" s="413"/>
      <c r="J151" s="413"/>
      <c r="K151" s="413"/>
      <c r="L151" s="436"/>
      <c r="M151" s="413"/>
      <c r="N151" s="413"/>
      <c r="O151" s="413"/>
      <c r="P151" s="413"/>
    </row>
    <row r="152" customFormat="false" ht="14.7" hidden="false" customHeight="true" outlineLevel="0" collapsed="false">
      <c r="C152" s="413"/>
      <c r="D152" s="413"/>
      <c r="E152" s="413"/>
      <c r="F152" s="413"/>
      <c r="G152" s="436"/>
      <c r="H152" s="413"/>
      <c r="I152" s="413"/>
      <c r="J152" s="413"/>
      <c r="K152" s="413"/>
      <c r="L152" s="436"/>
      <c r="M152" s="413"/>
      <c r="N152" s="413"/>
      <c r="O152" s="413"/>
      <c r="P152" s="413"/>
    </row>
    <row r="153" customFormat="false" ht="14.7" hidden="false" customHeight="true" outlineLevel="0" collapsed="false">
      <c r="C153" s="413"/>
      <c r="D153" s="413"/>
      <c r="E153" s="413"/>
      <c r="F153" s="413"/>
      <c r="G153" s="436"/>
      <c r="H153" s="413"/>
      <c r="I153" s="413"/>
      <c r="J153" s="413"/>
      <c r="K153" s="413"/>
      <c r="L153" s="436"/>
      <c r="M153" s="413"/>
      <c r="N153" s="413"/>
      <c r="O153" s="413"/>
      <c r="P153" s="413"/>
    </row>
    <row r="154" customFormat="false" ht="14.7" hidden="false" customHeight="true" outlineLevel="0" collapsed="false">
      <c r="C154" s="413"/>
      <c r="D154" s="413"/>
      <c r="E154" s="413"/>
      <c r="F154" s="413"/>
      <c r="G154" s="436"/>
      <c r="H154" s="413"/>
      <c r="I154" s="413"/>
      <c r="J154" s="413"/>
      <c r="K154" s="413"/>
      <c r="L154" s="436"/>
      <c r="M154" s="413"/>
      <c r="N154" s="413"/>
      <c r="O154" s="413"/>
      <c r="P154" s="413"/>
    </row>
    <row r="155" customFormat="false" ht="14.7" hidden="false" customHeight="true" outlineLevel="0" collapsed="false">
      <c r="C155" s="413"/>
      <c r="D155" s="413"/>
      <c r="E155" s="413"/>
      <c r="F155" s="413"/>
      <c r="G155" s="436"/>
      <c r="H155" s="413"/>
      <c r="I155" s="413"/>
      <c r="J155" s="413"/>
      <c r="K155" s="413"/>
      <c r="L155" s="436"/>
      <c r="M155" s="413"/>
      <c r="N155" s="413"/>
      <c r="O155" s="413"/>
      <c r="P155" s="413"/>
    </row>
    <row r="156" customFormat="false" ht="14.7" hidden="false" customHeight="true" outlineLevel="0" collapsed="false">
      <c r="C156" s="413"/>
      <c r="D156" s="413"/>
      <c r="E156" s="413"/>
      <c r="F156" s="413"/>
      <c r="G156" s="436"/>
      <c r="H156" s="413"/>
      <c r="I156" s="413"/>
      <c r="J156" s="413"/>
      <c r="K156" s="413"/>
      <c r="L156" s="436"/>
      <c r="M156" s="413"/>
      <c r="N156" s="413"/>
      <c r="O156" s="413"/>
      <c r="P156" s="413"/>
    </row>
    <row r="163" customFormat="false" ht="12.6" hidden="false" customHeight="true" outlineLevel="0" collapsed="false">
      <c r="A163" s="404" t="s">
        <v>221</v>
      </c>
      <c r="C163" s="425" t="n">
        <v>2020</v>
      </c>
      <c r="D163" s="425"/>
      <c r="E163" s="425"/>
      <c r="F163" s="425"/>
      <c r="G163" s="426"/>
      <c r="H163" s="426"/>
      <c r="I163" s="425" t="n">
        <v>2021</v>
      </c>
      <c r="J163" s="425"/>
      <c r="K163" s="425"/>
      <c r="L163" s="425"/>
    </row>
    <row r="164" customFormat="false" ht="12.6" hidden="false" customHeight="true" outlineLevel="0" collapsed="false">
      <c r="C164" s="425"/>
      <c r="D164" s="425"/>
      <c r="E164" s="425"/>
      <c r="F164" s="425"/>
      <c r="G164" s="426"/>
      <c r="H164" s="426"/>
      <c r="I164" s="425"/>
      <c r="J164" s="425"/>
      <c r="K164" s="425"/>
      <c r="L164" s="425"/>
    </row>
    <row r="165" customFormat="false" ht="12.6" hidden="false" customHeight="true" outlineLevel="0" collapsed="false">
      <c r="C165" s="425"/>
      <c r="D165" s="425"/>
      <c r="E165" s="425"/>
      <c r="F165" s="425"/>
      <c r="G165" s="426"/>
      <c r="H165" s="426"/>
      <c r="I165" s="425"/>
      <c r="J165" s="425"/>
      <c r="K165" s="425"/>
      <c r="L165" s="425"/>
    </row>
    <row r="166" customFormat="false" ht="14.1" hidden="false" customHeight="true" outlineLevel="0" collapsed="false">
      <c r="C166" s="407" t="n">
        <f aca="false">Consolidado!Q16</f>
        <v>0.428886504290133</v>
      </c>
      <c r="D166" s="407"/>
      <c r="E166" s="407"/>
      <c r="F166" s="407"/>
      <c r="G166" s="426"/>
      <c r="H166" s="426"/>
      <c r="I166" s="407" t="n">
        <f aca="false">Consolidado!AI16</f>
        <v>0.421062104075865</v>
      </c>
      <c r="J166" s="407"/>
      <c r="K166" s="407"/>
      <c r="L166" s="407"/>
    </row>
    <row r="167" customFormat="false" ht="14.1" hidden="false" customHeight="true" outlineLevel="0" collapsed="false">
      <c r="C167" s="407"/>
      <c r="D167" s="407"/>
      <c r="E167" s="407"/>
      <c r="F167" s="407"/>
      <c r="G167" s="426"/>
      <c r="H167" s="426"/>
      <c r="I167" s="407"/>
      <c r="J167" s="407"/>
      <c r="K167" s="407"/>
      <c r="L167" s="407"/>
    </row>
    <row r="168" customFormat="false" ht="14.1" hidden="false" customHeight="true" outlineLevel="0" collapsed="false">
      <c r="C168" s="407"/>
      <c r="D168" s="407"/>
      <c r="E168" s="407"/>
      <c r="F168" s="407"/>
      <c r="G168" s="426"/>
      <c r="H168" s="426"/>
      <c r="I168" s="407"/>
      <c r="J168" s="407"/>
      <c r="K168" s="407"/>
      <c r="L168" s="407"/>
    </row>
    <row r="169" customFormat="false" ht="14.1" hidden="false" customHeight="true" outlineLevel="0" collapsed="false">
      <c r="C169" s="407"/>
      <c r="D169" s="407"/>
      <c r="E169" s="407"/>
      <c r="F169" s="407"/>
      <c r="G169" s="426"/>
      <c r="H169" s="426"/>
      <c r="I169" s="407"/>
      <c r="J169" s="407"/>
      <c r="K169" s="407"/>
      <c r="L169" s="407"/>
    </row>
    <row r="170" customFormat="false" ht="14.1" hidden="false" customHeight="true" outlineLevel="0" collapsed="false">
      <c r="C170" s="407"/>
      <c r="D170" s="407"/>
      <c r="E170" s="407"/>
      <c r="F170" s="407"/>
      <c r="G170" s="426"/>
      <c r="H170" s="426"/>
      <c r="I170" s="407"/>
      <c r="J170" s="407"/>
      <c r="K170" s="407"/>
      <c r="L170" s="407"/>
    </row>
    <row r="171" customFormat="false" ht="14.1" hidden="false" customHeight="true" outlineLevel="0" collapsed="false">
      <c r="C171" s="407"/>
      <c r="D171" s="407"/>
      <c r="E171" s="407"/>
      <c r="F171" s="407"/>
      <c r="G171" s="426"/>
      <c r="H171" s="426"/>
      <c r="I171" s="407"/>
      <c r="J171" s="407"/>
      <c r="K171" s="407"/>
      <c r="L171" s="407"/>
    </row>
    <row r="172" customFormat="false" ht="14.1" hidden="false" customHeight="true" outlineLevel="0" collapsed="false">
      <c r="C172" s="407"/>
      <c r="D172" s="407"/>
      <c r="E172" s="407"/>
      <c r="F172" s="407"/>
      <c r="G172" s="426"/>
      <c r="H172" s="426"/>
      <c r="I172" s="407"/>
      <c r="J172" s="407"/>
      <c r="K172" s="407"/>
      <c r="L172" s="407"/>
    </row>
    <row r="173" customFormat="false" ht="4.2" hidden="false" customHeight="true" outlineLevel="0" collapsed="false"/>
    <row r="174" customFormat="false" ht="14.1" hidden="false" customHeight="true" outlineLevel="0" collapsed="false">
      <c r="C174" s="412" t="n">
        <f aca="false">(C166-Consolidado!AQ16)*100</f>
        <v>-2.6391765482489</v>
      </c>
      <c r="D174" s="412"/>
      <c r="E174" s="412"/>
      <c r="F174" s="412"/>
      <c r="G174" s="426"/>
      <c r="H174" s="426"/>
      <c r="I174" s="412" t="n">
        <f aca="false">(I166-C166)*100</f>
        <v>-0.782440021426872</v>
      </c>
      <c r="J174" s="412"/>
      <c r="K174" s="412"/>
      <c r="L174" s="412"/>
    </row>
    <row r="175" customFormat="false" ht="14.1" hidden="false" customHeight="true" outlineLevel="0" collapsed="false">
      <c r="C175" s="412"/>
      <c r="D175" s="412"/>
      <c r="E175" s="412"/>
      <c r="F175" s="412"/>
      <c r="G175" s="426"/>
      <c r="H175" s="426"/>
      <c r="I175" s="412"/>
      <c r="J175" s="412"/>
      <c r="K175" s="412"/>
      <c r="L175" s="412"/>
    </row>
    <row r="176" customFormat="false" ht="14.1" hidden="false" customHeight="true" outlineLevel="0" collapsed="false">
      <c r="C176" s="412"/>
      <c r="D176" s="412"/>
      <c r="E176" s="412"/>
      <c r="F176" s="412"/>
      <c r="G176" s="426"/>
      <c r="H176" s="426"/>
      <c r="I176" s="412"/>
      <c r="J176" s="412"/>
      <c r="K176" s="412"/>
      <c r="L176" s="412"/>
    </row>
    <row r="181" customFormat="false" ht="14.4" hidden="false" customHeight="false" outlineLevel="0" collapsed="false">
      <c r="I181" s="427" t="n">
        <f aca="false">-C185+H185</f>
        <v>-0.0263917654824889</v>
      </c>
      <c r="N181" s="427" t="n">
        <f aca="false">-H185+M185</f>
        <v>-0.00782440021426872</v>
      </c>
    </row>
    <row r="182" customFormat="false" ht="14.4" hidden="false" customHeight="true" outlineLevel="0" collapsed="false">
      <c r="A182" s="404" t="s">
        <v>221</v>
      </c>
      <c r="C182" s="425" t="n">
        <v>2019</v>
      </c>
      <c r="D182" s="425"/>
      <c r="E182" s="425"/>
      <c r="F182" s="425"/>
      <c r="G182" s="426"/>
      <c r="H182" s="425" t="n">
        <f aca="false">C182+1</f>
        <v>2020</v>
      </c>
      <c r="I182" s="425"/>
      <c r="J182" s="425"/>
      <c r="K182" s="425"/>
      <c r="L182" s="426"/>
      <c r="M182" s="425" t="n">
        <f aca="false">H182+1</f>
        <v>2021</v>
      </c>
      <c r="N182" s="425"/>
      <c r="O182" s="425"/>
      <c r="P182" s="425"/>
    </row>
    <row r="183" customFormat="false" ht="14.4" hidden="false" customHeight="true" outlineLevel="0" collapsed="false">
      <c r="C183" s="425"/>
      <c r="D183" s="425"/>
      <c r="E183" s="425"/>
      <c r="F183" s="425"/>
      <c r="G183" s="426"/>
      <c r="H183" s="425"/>
      <c r="I183" s="425"/>
      <c r="J183" s="425"/>
      <c r="K183" s="425"/>
      <c r="L183" s="426"/>
      <c r="M183" s="425"/>
      <c r="N183" s="425"/>
      <c r="O183" s="425"/>
      <c r="P183" s="425"/>
    </row>
    <row r="184" customFormat="false" ht="14.4" hidden="false" customHeight="true" outlineLevel="0" collapsed="false">
      <c r="C184" s="425"/>
      <c r="D184" s="425"/>
      <c r="E184" s="425"/>
      <c r="F184" s="425"/>
      <c r="G184" s="426"/>
      <c r="H184" s="425"/>
      <c r="I184" s="425"/>
      <c r="J184" s="425"/>
      <c r="K184" s="425"/>
      <c r="L184" s="426"/>
      <c r="M184" s="425"/>
      <c r="N184" s="425"/>
      <c r="O184" s="425"/>
      <c r="P184" s="425"/>
    </row>
    <row r="185" customFormat="false" ht="14.4" hidden="false" customHeight="true" outlineLevel="0" collapsed="false">
      <c r="C185" s="407" t="n">
        <f aca="false">Consolidado!AQ16</f>
        <v>0.455278269772622</v>
      </c>
      <c r="D185" s="407"/>
      <c r="E185" s="407"/>
      <c r="F185" s="407"/>
      <c r="G185" s="408"/>
      <c r="H185" s="407" t="n">
        <f aca="false">Consolidado!Q16</f>
        <v>0.428886504290133</v>
      </c>
      <c r="I185" s="407"/>
      <c r="J185" s="407"/>
      <c r="K185" s="407"/>
      <c r="L185" s="408"/>
      <c r="M185" s="407" t="n">
        <f aca="false">Consolidado!AI16</f>
        <v>0.421062104075865</v>
      </c>
      <c r="N185" s="407"/>
      <c r="O185" s="407"/>
      <c r="P185" s="407"/>
    </row>
    <row r="186" customFormat="false" ht="14.4" hidden="false" customHeight="true" outlineLevel="0" collapsed="false">
      <c r="C186" s="407"/>
      <c r="D186" s="407"/>
      <c r="E186" s="407"/>
      <c r="F186" s="407"/>
      <c r="G186" s="408"/>
      <c r="H186" s="407"/>
      <c r="I186" s="407"/>
      <c r="J186" s="407"/>
      <c r="K186" s="407"/>
      <c r="L186" s="408"/>
      <c r="M186" s="407"/>
      <c r="N186" s="407"/>
      <c r="O186" s="407"/>
      <c r="P186" s="407"/>
    </row>
    <row r="187" customFormat="false" ht="14.4" hidden="false" customHeight="true" outlineLevel="0" collapsed="false">
      <c r="C187" s="407"/>
      <c r="D187" s="407"/>
      <c r="E187" s="407"/>
      <c r="F187" s="407"/>
      <c r="G187" s="408"/>
      <c r="H187" s="407"/>
      <c r="I187" s="407"/>
      <c r="J187" s="407"/>
      <c r="K187" s="407"/>
      <c r="L187" s="408"/>
      <c r="M187" s="407"/>
      <c r="N187" s="407"/>
      <c r="O187" s="407"/>
      <c r="P187" s="407"/>
    </row>
    <row r="188" customFormat="false" ht="14.4" hidden="false" customHeight="true" outlineLevel="0" collapsed="false">
      <c r="C188" s="407"/>
      <c r="D188" s="407"/>
      <c r="E188" s="407"/>
      <c r="F188" s="407"/>
      <c r="G188" s="408"/>
      <c r="H188" s="407"/>
      <c r="I188" s="407"/>
      <c r="J188" s="407"/>
      <c r="K188" s="407"/>
      <c r="L188" s="408"/>
      <c r="M188" s="407"/>
      <c r="N188" s="407"/>
      <c r="O188" s="407"/>
      <c r="P188" s="407"/>
    </row>
    <row r="189" customFormat="false" ht="14.4" hidden="false" customHeight="true" outlineLevel="0" collapsed="false">
      <c r="C189" s="407"/>
      <c r="D189" s="407"/>
      <c r="E189" s="407"/>
      <c r="F189" s="407"/>
      <c r="G189" s="408"/>
      <c r="H189" s="407"/>
      <c r="I189" s="407"/>
      <c r="J189" s="407"/>
      <c r="K189" s="407"/>
      <c r="L189" s="408"/>
      <c r="M189" s="407"/>
      <c r="N189" s="407"/>
      <c r="O189" s="407"/>
      <c r="P189" s="407"/>
    </row>
    <row r="190" customFormat="false" ht="14.4" hidden="false" customHeight="true" outlineLevel="0" collapsed="false">
      <c r="C190" s="407"/>
      <c r="D190" s="407"/>
      <c r="E190" s="407"/>
      <c r="F190" s="407"/>
      <c r="G190" s="408"/>
      <c r="H190" s="407"/>
      <c r="I190" s="407"/>
      <c r="J190" s="407"/>
      <c r="K190" s="407"/>
      <c r="L190" s="408"/>
      <c r="M190" s="407"/>
      <c r="N190" s="407"/>
      <c r="O190" s="407"/>
      <c r="P190" s="407"/>
    </row>
    <row r="191" customFormat="false" ht="14.4" hidden="false" customHeight="true" outlineLevel="0" collapsed="false">
      <c r="C191" s="407"/>
      <c r="D191" s="407"/>
      <c r="E191" s="407"/>
      <c r="F191" s="407"/>
      <c r="G191" s="408"/>
      <c r="H191" s="407"/>
      <c r="I191" s="407"/>
      <c r="J191" s="407"/>
      <c r="K191" s="407"/>
      <c r="L191" s="408"/>
      <c r="M191" s="407"/>
      <c r="N191" s="407"/>
      <c r="O191" s="407"/>
      <c r="P191" s="407"/>
    </row>
    <row r="199" customFormat="false" ht="12.6" hidden="false" customHeight="true" outlineLevel="0" collapsed="false">
      <c r="A199" s="404" t="s">
        <v>215</v>
      </c>
      <c r="C199" s="425" t="n">
        <v>2020</v>
      </c>
      <c r="D199" s="425"/>
      <c r="E199" s="425"/>
      <c r="F199" s="425"/>
      <c r="G199" s="426"/>
      <c r="H199" s="426"/>
      <c r="I199" s="425" t="n">
        <v>2021</v>
      </c>
      <c r="J199" s="425"/>
      <c r="K199" s="425"/>
      <c r="L199" s="425"/>
    </row>
    <row r="200" customFormat="false" ht="12.6" hidden="false" customHeight="true" outlineLevel="0" collapsed="false">
      <c r="C200" s="425"/>
      <c r="D200" s="425"/>
      <c r="E200" s="425"/>
      <c r="F200" s="425"/>
      <c r="G200" s="426"/>
      <c r="H200" s="426"/>
      <c r="I200" s="425"/>
      <c r="J200" s="425"/>
      <c r="K200" s="425"/>
      <c r="L200" s="425"/>
    </row>
    <row r="201" customFormat="false" ht="12.6" hidden="false" customHeight="true" outlineLevel="0" collapsed="false">
      <c r="C201" s="425"/>
      <c r="D201" s="425"/>
      <c r="E201" s="425"/>
      <c r="F201" s="425"/>
      <c r="G201" s="426"/>
      <c r="H201" s="426"/>
      <c r="I201" s="425"/>
      <c r="J201" s="425"/>
      <c r="K201" s="425"/>
      <c r="L201" s="425"/>
    </row>
    <row r="202" customFormat="false" ht="14.1" hidden="false" customHeight="true" outlineLevel="0" collapsed="false">
      <c r="C202" s="413" t="n">
        <f aca="false">Consolidado!P22</f>
        <v>3560.11833333333</v>
      </c>
      <c r="D202" s="413"/>
      <c r="E202" s="413"/>
      <c r="F202" s="413"/>
      <c r="G202" s="414"/>
      <c r="H202" s="414"/>
      <c r="I202" s="413" t="n">
        <f aca="false">Consolidado!AH22</f>
        <v>10153.52</v>
      </c>
      <c r="J202" s="413"/>
      <c r="K202" s="413"/>
      <c r="L202" s="413"/>
    </row>
    <row r="203" customFormat="false" ht="14.1" hidden="false" customHeight="true" outlineLevel="0" collapsed="false">
      <c r="C203" s="413"/>
      <c r="D203" s="413"/>
      <c r="E203" s="413"/>
      <c r="F203" s="413"/>
      <c r="G203" s="414"/>
      <c r="H203" s="414"/>
      <c r="I203" s="413"/>
      <c r="J203" s="413"/>
      <c r="K203" s="413"/>
      <c r="L203" s="413"/>
      <c r="N203" s="427"/>
    </row>
    <row r="204" customFormat="false" ht="14.1" hidden="false" customHeight="true" outlineLevel="0" collapsed="false">
      <c r="C204" s="413"/>
      <c r="D204" s="413"/>
      <c r="E204" s="413"/>
      <c r="F204" s="413"/>
      <c r="G204" s="414"/>
      <c r="H204" s="414"/>
      <c r="I204" s="413"/>
      <c r="J204" s="413"/>
      <c r="K204" s="413"/>
      <c r="L204" s="413"/>
      <c r="N204" s="427" t="n">
        <f aca="false">(I202-C202)/C202</f>
        <v>1.85201755934143</v>
      </c>
    </row>
    <row r="205" customFormat="false" ht="14.1" hidden="false" customHeight="true" outlineLevel="0" collapsed="false">
      <c r="C205" s="413"/>
      <c r="D205" s="413"/>
      <c r="E205" s="413"/>
      <c r="F205" s="413"/>
      <c r="G205" s="414"/>
      <c r="H205" s="414"/>
      <c r="I205" s="413"/>
      <c r="J205" s="413"/>
      <c r="K205" s="413"/>
      <c r="L205" s="413"/>
    </row>
    <row r="206" customFormat="false" ht="14.1" hidden="false" customHeight="true" outlineLevel="0" collapsed="false">
      <c r="C206" s="413"/>
      <c r="D206" s="413"/>
      <c r="E206" s="413"/>
      <c r="F206" s="413"/>
      <c r="G206" s="414"/>
      <c r="H206" s="414"/>
      <c r="I206" s="413"/>
      <c r="J206" s="413"/>
      <c r="K206" s="413"/>
      <c r="L206" s="413"/>
    </row>
    <row r="207" customFormat="false" ht="14.1" hidden="false" customHeight="true" outlineLevel="0" collapsed="false">
      <c r="C207" s="413"/>
      <c r="D207" s="413"/>
      <c r="E207" s="413"/>
      <c r="F207" s="413"/>
      <c r="G207" s="414"/>
      <c r="H207" s="414"/>
      <c r="I207" s="413"/>
      <c r="J207" s="413"/>
      <c r="K207" s="413"/>
      <c r="L207" s="413"/>
    </row>
    <row r="208" customFormat="false" ht="14.1" hidden="false" customHeight="true" outlineLevel="0" collapsed="false">
      <c r="C208" s="413"/>
      <c r="D208" s="413"/>
      <c r="E208" s="413"/>
      <c r="F208" s="413"/>
      <c r="G208" s="414"/>
      <c r="H208" s="414"/>
      <c r="I208" s="413"/>
      <c r="J208" s="413"/>
      <c r="K208" s="413"/>
      <c r="L208" s="413"/>
    </row>
    <row r="209" customFormat="false" ht="4.2" hidden="false" customHeight="true" outlineLevel="0" collapsed="false"/>
    <row r="210" customFormat="false" ht="14.1" hidden="false" customHeight="true" outlineLevel="0" collapsed="false">
      <c r="C210" s="424" t="n">
        <f aca="false">Consolidado!Q22</f>
        <v>0.046266854621682</v>
      </c>
      <c r="D210" s="424"/>
      <c r="E210" s="424"/>
      <c r="F210" s="424"/>
      <c r="G210" s="428"/>
      <c r="H210" s="428"/>
      <c r="I210" s="424" t="n">
        <f aca="false">Consolidado!AI22</f>
        <v>0.106554201229681</v>
      </c>
      <c r="J210" s="424"/>
      <c r="K210" s="424"/>
      <c r="L210" s="424"/>
    </row>
    <row r="211" customFormat="false" ht="14.1" hidden="false" customHeight="true" outlineLevel="0" collapsed="false">
      <c r="C211" s="424"/>
      <c r="D211" s="424"/>
      <c r="E211" s="424"/>
      <c r="F211" s="424"/>
      <c r="G211" s="428"/>
      <c r="H211" s="428"/>
      <c r="I211" s="424"/>
      <c r="J211" s="424"/>
      <c r="K211" s="424"/>
      <c r="L211" s="424"/>
    </row>
    <row r="212" customFormat="false" ht="14.1" hidden="false" customHeight="true" outlineLevel="0" collapsed="false">
      <c r="C212" s="424"/>
      <c r="D212" s="424"/>
      <c r="E212" s="424"/>
      <c r="F212" s="424"/>
      <c r="G212" s="428"/>
      <c r="H212" s="428"/>
      <c r="I212" s="424"/>
      <c r="J212" s="424"/>
      <c r="K212" s="424"/>
      <c r="L212" s="424"/>
    </row>
    <row r="217" customFormat="false" ht="14.4" hidden="false" customHeight="false" outlineLevel="0" collapsed="false">
      <c r="I217" s="427" t="n">
        <f aca="false">(H221-C221)/C221</f>
        <v>-0.908265525371985</v>
      </c>
      <c r="N217" s="427" t="n">
        <f aca="false">(M221-H221)/H221</f>
        <v>0.93201189503774</v>
      </c>
    </row>
    <row r="218" customFormat="false" ht="14.4" hidden="false" customHeight="true" outlineLevel="0" collapsed="false">
      <c r="A218" s="404" t="s">
        <v>222</v>
      </c>
      <c r="C218" s="425" t="n">
        <v>2019</v>
      </c>
      <c r="D218" s="425"/>
      <c r="E218" s="425"/>
      <c r="F218" s="425"/>
      <c r="G218" s="426"/>
      <c r="H218" s="425" t="n">
        <f aca="false">C218+1</f>
        <v>2020</v>
      </c>
      <c r="I218" s="425"/>
      <c r="J218" s="425"/>
      <c r="K218" s="425"/>
      <c r="L218" s="426"/>
      <c r="M218" s="425" t="n">
        <f aca="false">H218+1</f>
        <v>2021</v>
      </c>
      <c r="N218" s="425"/>
      <c r="O218" s="425"/>
      <c r="P218" s="425"/>
    </row>
    <row r="219" customFormat="false" ht="14.4" hidden="false" customHeight="true" outlineLevel="0" collapsed="false">
      <c r="C219" s="425"/>
      <c r="D219" s="425"/>
      <c r="E219" s="425"/>
      <c r="F219" s="425"/>
      <c r="G219" s="426"/>
      <c r="H219" s="425"/>
      <c r="I219" s="425"/>
      <c r="J219" s="425"/>
      <c r="K219" s="425"/>
      <c r="L219" s="426"/>
      <c r="M219" s="425"/>
      <c r="N219" s="425"/>
      <c r="O219" s="425"/>
      <c r="P219" s="425"/>
    </row>
    <row r="220" customFormat="false" ht="14.4" hidden="false" customHeight="true" outlineLevel="0" collapsed="false">
      <c r="C220" s="425"/>
      <c r="D220" s="425"/>
      <c r="E220" s="425"/>
      <c r="F220" s="425"/>
      <c r="G220" s="426"/>
      <c r="H220" s="425"/>
      <c r="I220" s="425"/>
      <c r="J220" s="425"/>
      <c r="K220" s="425"/>
      <c r="L220" s="426"/>
      <c r="M220" s="425"/>
      <c r="N220" s="425"/>
      <c r="O220" s="425"/>
      <c r="P220" s="425"/>
    </row>
    <row r="221" customFormat="false" ht="14.7" hidden="false" customHeight="true" outlineLevel="0" collapsed="false">
      <c r="C221" s="413" t="n">
        <f aca="false">Consolidado!AP22/Custos!C124</f>
        <v>1848.04507936508</v>
      </c>
      <c r="D221" s="413"/>
      <c r="E221" s="413"/>
      <c r="F221" s="413"/>
      <c r="G221" s="436"/>
      <c r="H221" s="413" t="n">
        <f aca="false">Consolidado!P22/Custos!H124</f>
        <v>169.529444444444</v>
      </c>
      <c r="I221" s="413"/>
      <c r="J221" s="413"/>
      <c r="K221" s="413"/>
      <c r="L221" s="436"/>
      <c r="M221" s="413" t="n">
        <f aca="false">Consolidado!AH22/Custos!M124</f>
        <v>327.532903225806</v>
      </c>
      <c r="N221" s="413"/>
      <c r="O221" s="413"/>
      <c r="P221" s="413"/>
    </row>
    <row r="222" customFormat="false" ht="14.7" hidden="false" customHeight="true" outlineLevel="0" collapsed="false">
      <c r="C222" s="413"/>
      <c r="D222" s="413"/>
      <c r="E222" s="413"/>
      <c r="F222" s="413"/>
      <c r="G222" s="436"/>
      <c r="H222" s="413"/>
      <c r="I222" s="413"/>
      <c r="J222" s="413"/>
      <c r="K222" s="413"/>
      <c r="L222" s="436"/>
      <c r="M222" s="413"/>
      <c r="N222" s="413"/>
      <c r="O222" s="413"/>
      <c r="P222" s="413"/>
    </row>
    <row r="223" customFormat="false" ht="14.7" hidden="false" customHeight="true" outlineLevel="0" collapsed="false">
      <c r="C223" s="413"/>
      <c r="D223" s="413"/>
      <c r="E223" s="413"/>
      <c r="F223" s="413"/>
      <c r="G223" s="436"/>
      <c r="H223" s="413"/>
      <c r="I223" s="413"/>
      <c r="J223" s="413"/>
      <c r="K223" s="413"/>
      <c r="L223" s="436"/>
      <c r="M223" s="413"/>
      <c r="N223" s="413"/>
      <c r="O223" s="413"/>
      <c r="P223" s="413"/>
    </row>
    <row r="224" customFormat="false" ht="14.7" hidden="false" customHeight="true" outlineLevel="0" collapsed="false">
      <c r="C224" s="413"/>
      <c r="D224" s="413"/>
      <c r="E224" s="413"/>
      <c r="F224" s="413"/>
      <c r="G224" s="436"/>
      <c r="H224" s="413"/>
      <c r="I224" s="413"/>
      <c r="J224" s="413"/>
      <c r="K224" s="413"/>
      <c r="L224" s="436"/>
      <c r="M224" s="413"/>
      <c r="N224" s="413"/>
      <c r="O224" s="413"/>
      <c r="P224" s="413"/>
    </row>
    <row r="225" customFormat="false" ht="14.7" hidden="false" customHeight="true" outlineLevel="0" collapsed="false">
      <c r="C225" s="413"/>
      <c r="D225" s="413"/>
      <c r="E225" s="413"/>
      <c r="F225" s="413"/>
      <c r="G225" s="436"/>
      <c r="H225" s="413"/>
      <c r="I225" s="413"/>
      <c r="J225" s="413"/>
      <c r="K225" s="413"/>
      <c r="L225" s="436"/>
      <c r="M225" s="413"/>
      <c r="N225" s="413"/>
      <c r="O225" s="413"/>
      <c r="P225" s="413"/>
    </row>
    <row r="226" customFormat="false" ht="14.7" hidden="false" customHeight="true" outlineLevel="0" collapsed="false">
      <c r="C226" s="413"/>
      <c r="D226" s="413"/>
      <c r="E226" s="413"/>
      <c r="F226" s="413"/>
      <c r="G226" s="436"/>
      <c r="H226" s="413"/>
      <c r="I226" s="413"/>
      <c r="J226" s="413"/>
      <c r="K226" s="413"/>
      <c r="L226" s="436"/>
      <c r="M226" s="413"/>
      <c r="N226" s="413"/>
      <c r="O226" s="413"/>
      <c r="P226" s="413"/>
    </row>
    <row r="227" customFormat="false" ht="14.7" hidden="false" customHeight="true" outlineLevel="0" collapsed="false">
      <c r="C227" s="413"/>
      <c r="D227" s="413"/>
      <c r="E227" s="413"/>
      <c r="F227" s="413"/>
      <c r="G227" s="436"/>
      <c r="H227" s="413"/>
      <c r="I227" s="413"/>
      <c r="J227" s="413"/>
      <c r="K227" s="413"/>
      <c r="L227" s="436"/>
      <c r="M227" s="413"/>
      <c r="N227" s="413"/>
      <c r="O227" s="413"/>
      <c r="P227" s="413"/>
    </row>
    <row r="233" customFormat="false" ht="12.6" hidden="false" customHeight="true" outlineLevel="0" collapsed="false">
      <c r="A233" s="404" t="s">
        <v>29</v>
      </c>
      <c r="C233" s="425" t="n">
        <v>2020</v>
      </c>
      <c r="D233" s="425"/>
      <c r="E233" s="425"/>
      <c r="F233" s="425"/>
      <c r="G233" s="426"/>
      <c r="H233" s="426"/>
      <c r="I233" s="425" t="n">
        <v>2021</v>
      </c>
      <c r="J233" s="425"/>
      <c r="K233" s="425"/>
      <c r="L233" s="425"/>
    </row>
    <row r="234" customFormat="false" ht="12.6" hidden="false" customHeight="true" outlineLevel="0" collapsed="false">
      <c r="C234" s="425"/>
      <c r="D234" s="425"/>
      <c r="E234" s="425"/>
      <c r="F234" s="425"/>
      <c r="G234" s="426"/>
      <c r="H234" s="426"/>
      <c r="I234" s="425"/>
      <c r="J234" s="425"/>
      <c r="K234" s="425"/>
      <c r="L234" s="425"/>
    </row>
    <row r="235" customFormat="false" ht="12.6" hidden="false" customHeight="true" outlineLevel="0" collapsed="false">
      <c r="C235" s="425"/>
      <c r="D235" s="425"/>
      <c r="E235" s="425"/>
      <c r="F235" s="425"/>
      <c r="G235" s="426"/>
      <c r="H235" s="426"/>
      <c r="I235" s="425"/>
      <c r="J235" s="425"/>
      <c r="K235" s="425"/>
      <c r="L235" s="425"/>
    </row>
    <row r="236" customFormat="false" ht="14.1" hidden="false" customHeight="true" outlineLevel="0" collapsed="false">
      <c r="C236" s="413" t="n">
        <f aca="false">Consolidado!P24</f>
        <v>5091.1</v>
      </c>
      <c r="D236" s="413"/>
      <c r="E236" s="413"/>
      <c r="F236" s="413"/>
      <c r="G236" s="414"/>
      <c r="H236" s="414"/>
      <c r="I236" s="413" t="n">
        <f aca="false">Consolidado!AH24</f>
        <v>6025.42</v>
      </c>
      <c r="J236" s="413"/>
      <c r="K236" s="413"/>
      <c r="L236" s="413"/>
    </row>
    <row r="237" customFormat="false" ht="14.1" hidden="false" customHeight="true" outlineLevel="0" collapsed="false">
      <c r="C237" s="413"/>
      <c r="D237" s="413"/>
      <c r="E237" s="413"/>
      <c r="F237" s="413"/>
      <c r="G237" s="414"/>
      <c r="H237" s="414"/>
      <c r="I237" s="413"/>
      <c r="J237" s="413"/>
      <c r="K237" s="413"/>
      <c r="L237" s="413"/>
      <c r="N237" s="427"/>
    </row>
    <row r="238" customFormat="false" ht="14.1" hidden="false" customHeight="true" outlineLevel="0" collapsed="false">
      <c r="C238" s="413"/>
      <c r="D238" s="413"/>
      <c r="E238" s="413"/>
      <c r="F238" s="413"/>
      <c r="G238" s="414"/>
      <c r="H238" s="414"/>
      <c r="I238" s="413"/>
      <c r="J238" s="413"/>
      <c r="K238" s="413"/>
      <c r="L238" s="413"/>
      <c r="N238" s="427" t="n">
        <f aca="false">(I236-C236)/C236</f>
        <v>0.183520260847361</v>
      </c>
    </row>
    <row r="239" customFormat="false" ht="14.1" hidden="false" customHeight="true" outlineLevel="0" collapsed="false">
      <c r="C239" s="413"/>
      <c r="D239" s="413"/>
      <c r="E239" s="413"/>
      <c r="F239" s="413"/>
      <c r="G239" s="414"/>
      <c r="H239" s="414"/>
      <c r="I239" s="413"/>
      <c r="J239" s="413"/>
      <c r="K239" s="413"/>
      <c r="L239" s="413"/>
    </row>
    <row r="240" customFormat="false" ht="14.1" hidden="false" customHeight="true" outlineLevel="0" collapsed="false">
      <c r="C240" s="413"/>
      <c r="D240" s="413"/>
      <c r="E240" s="413"/>
      <c r="F240" s="413"/>
      <c r="G240" s="414"/>
      <c r="H240" s="414"/>
      <c r="I240" s="413"/>
      <c r="J240" s="413"/>
      <c r="K240" s="413"/>
      <c r="L240" s="413"/>
    </row>
    <row r="241" customFormat="false" ht="14.1" hidden="false" customHeight="true" outlineLevel="0" collapsed="false">
      <c r="C241" s="413"/>
      <c r="D241" s="413"/>
      <c r="E241" s="413"/>
      <c r="F241" s="413"/>
      <c r="G241" s="414"/>
      <c r="H241" s="414"/>
      <c r="I241" s="413"/>
      <c r="J241" s="413"/>
      <c r="K241" s="413"/>
      <c r="L241" s="413"/>
    </row>
    <row r="242" customFormat="false" ht="14.1" hidden="false" customHeight="true" outlineLevel="0" collapsed="false">
      <c r="C242" s="413"/>
      <c r="D242" s="413"/>
      <c r="E242" s="413"/>
      <c r="F242" s="413"/>
      <c r="G242" s="414"/>
      <c r="H242" s="414"/>
      <c r="I242" s="413"/>
      <c r="J242" s="413"/>
      <c r="K242" s="413"/>
      <c r="L242" s="413"/>
    </row>
    <row r="243" customFormat="false" ht="4.2" hidden="false" customHeight="true" outlineLevel="0" collapsed="false"/>
    <row r="244" customFormat="false" ht="14.1" hidden="false" customHeight="true" outlineLevel="0" collapsed="false">
      <c r="C244" s="424" t="n">
        <f aca="false">Consolidado!Q24</f>
        <v>0.0661633017529227</v>
      </c>
      <c r="D244" s="424"/>
      <c r="E244" s="424"/>
      <c r="F244" s="424"/>
      <c r="G244" s="428"/>
      <c r="H244" s="428"/>
      <c r="I244" s="424" t="n">
        <f aca="false">Consolidado!AI24</f>
        <v>0.0632326341183498</v>
      </c>
      <c r="J244" s="424"/>
      <c r="K244" s="424"/>
      <c r="L244" s="424"/>
    </row>
    <row r="245" customFormat="false" ht="14.1" hidden="false" customHeight="true" outlineLevel="0" collapsed="false">
      <c r="C245" s="424"/>
      <c r="D245" s="424"/>
      <c r="E245" s="424"/>
      <c r="F245" s="424"/>
      <c r="G245" s="428"/>
      <c r="H245" s="428"/>
      <c r="I245" s="424"/>
      <c r="J245" s="424"/>
      <c r="K245" s="424"/>
      <c r="L245" s="424"/>
    </row>
    <row r="246" customFormat="false" ht="14.1" hidden="false" customHeight="true" outlineLevel="0" collapsed="false">
      <c r="C246" s="424"/>
      <c r="D246" s="424"/>
      <c r="E246" s="424"/>
      <c r="F246" s="424"/>
      <c r="G246" s="428"/>
      <c r="H246" s="428"/>
      <c r="I246" s="424"/>
      <c r="J246" s="424"/>
      <c r="K246" s="424"/>
      <c r="L246" s="424"/>
    </row>
    <row r="255" customFormat="false" ht="12.6" hidden="false" customHeight="true" outlineLevel="0" collapsed="false">
      <c r="A255" s="404" t="s">
        <v>216</v>
      </c>
      <c r="C255" s="425" t="n">
        <v>2020</v>
      </c>
      <c r="D255" s="425"/>
      <c r="E255" s="425"/>
      <c r="F255" s="425"/>
      <c r="G255" s="426"/>
      <c r="H255" s="426"/>
      <c r="I255" s="425" t="n">
        <v>2021</v>
      </c>
      <c r="J255" s="425"/>
      <c r="K255" s="425"/>
      <c r="L255" s="425"/>
    </row>
    <row r="256" customFormat="false" ht="12.6" hidden="false" customHeight="true" outlineLevel="0" collapsed="false">
      <c r="C256" s="425"/>
      <c r="D256" s="425"/>
      <c r="E256" s="425"/>
      <c r="F256" s="425"/>
      <c r="G256" s="426"/>
      <c r="H256" s="426"/>
      <c r="I256" s="425"/>
      <c r="J256" s="425"/>
      <c r="K256" s="425"/>
      <c r="L256" s="425"/>
    </row>
    <row r="257" customFormat="false" ht="12.6" hidden="false" customHeight="true" outlineLevel="0" collapsed="false">
      <c r="C257" s="425"/>
      <c r="D257" s="425"/>
      <c r="E257" s="425"/>
      <c r="F257" s="425"/>
      <c r="G257" s="426"/>
      <c r="H257" s="426"/>
      <c r="I257" s="425"/>
      <c r="J257" s="425"/>
      <c r="K257" s="425"/>
      <c r="L257" s="425"/>
    </row>
    <row r="258" customFormat="false" ht="14.1" hidden="false" customHeight="true" outlineLevel="0" collapsed="false">
      <c r="C258" s="413" t="n">
        <f aca="false">Consolidado!P26</f>
        <v>-1530.98166666667</v>
      </c>
      <c r="D258" s="413"/>
      <c r="E258" s="413"/>
      <c r="F258" s="413"/>
      <c r="G258" s="414"/>
      <c r="H258" s="414"/>
      <c r="I258" s="413" t="n">
        <f aca="false">Consolidado!AH26</f>
        <v>4128.09999999999</v>
      </c>
      <c r="J258" s="413"/>
      <c r="K258" s="413"/>
      <c r="L258" s="413"/>
    </row>
    <row r="259" customFormat="false" ht="14.1" hidden="false" customHeight="true" outlineLevel="0" collapsed="false">
      <c r="C259" s="413"/>
      <c r="D259" s="413"/>
      <c r="E259" s="413"/>
      <c r="F259" s="413"/>
      <c r="G259" s="414"/>
      <c r="H259" s="414"/>
      <c r="I259" s="413"/>
      <c r="J259" s="413"/>
      <c r="K259" s="413"/>
      <c r="L259" s="413"/>
      <c r="N259" s="427"/>
    </row>
    <row r="260" customFormat="false" ht="14.1" hidden="false" customHeight="true" outlineLevel="0" collapsed="false">
      <c r="C260" s="413"/>
      <c r="D260" s="413"/>
      <c r="E260" s="413"/>
      <c r="F260" s="413"/>
      <c r="G260" s="414"/>
      <c r="H260" s="414"/>
      <c r="I260" s="413"/>
      <c r="J260" s="413"/>
      <c r="K260" s="413"/>
      <c r="L260" s="413"/>
      <c r="N260" s="427" t="n">
        <f aca="false">(I258-C258)/C258</f>
        <v>-3.69637454835622</v>
      </c>
    </row>
    <row r="261" customFormat="false" ht="14.1" hidden="false" customHeight="true" outlineLevel="0" collapsed="false">
      <c r="C261" s="413"/>
      <c r="D261" s="413"/>
      <c r="E261" s="413"/>
      <c r="F261" s="413"/>
      <c r="G261" s="414"/>
      <c r="H261" s="414"/>
      <c r="I261" s="413"/>
      <c r="J261" s="413"/>
      <c r="K261" s="413"/>
      <c r="L261" s="413"/>
    </row>
    <row r="262" customFormat="false" ht="14.1" hidden="false" customHeight="true" outlineLevel="0" collapsed="false">
      <c r="C262" s="413"/>
      <c r="D262" s="413"/>
      <c r="E262" s="413"/>
      <c r="F262" s="413"/>
      <c r="G262" s="414"/>
      <c r="H262" s="414"/>
      <c r="I262" s="413"/>
      <c r="J262" s="413"/>
      <c r="K262" s="413"/>
      <c r="L262" s="413"/>
    </row>
    <row r="263" customFormat="false" ht="14.1" hidden="false" customHeight="true" outlineLevel="0" collapsed="false">
      <c r="C263" s="413"/>
      <c r="D263" s="413"/>
      <c r="E263" s="413"/>
      <c r="F263" s="413"/>
      <c r="G263" s="414"/>
      <c r="H263" s="414"/>
      <c r="I263" s="413"/>
      <c r="J263" s="413"/>
      <c r="K263" s="413"/>
      <c r="L263" s="413"/>
    </row>
    <row r="264" customFormat="false" ht="14.1" hidden="false" customHeight="true" outlineLevel="0" collapsed="false">
      <c r="C264" s="413"/>
      <c r="D264" s="413"/>
      <c r="E264" s="413"/>
      <c r="F264" s="413"/>
      <c r="G264" s="414"/>
      <c r="H264" s="414"/>
      <c r="I264" s="413"/>
      <c r="J264" s="413"/>
      <c r="K264" s="413"/>
      <c r="L264" s="413"/>
    </row>
    <row r="265" customFormat="false" ht="4.2" hidden="false" customHeight="true" outlineLevel="0" collapsed="false"/>
    <row r="266" customFormat="false" ht="14.1" hidden="false" customHeight="true" outlineLevel="0" collapsed="false">
      <c r="C266" s="424" t="n">
        <f aca="false">Consolidado!Q26</f>
        <v>-0.0198964471312407</v>
      </c>
      <c r="D266" s="424"/>
      <c r="E266" s="424"/>
      <c r="F266" s="424"/>
      <c r="G266" s="428"/>
      <c r="H266" s="428"/>
      <c r="I266" s="424" t="n">
        <f aca="false">Consolidado!AI26</f>
        <v>0.0433215671113315</v>
      </c>
      <c r="J266" s="424"/>
      <c r="K266" s="424"/>
      <c r="L266" s="424"/>
    </row>
    <row r="267" customFormat="false" ht="14.1" hidden="false" customHeight="true" outlineLevel="0" collapsed="false">
      <c r="C267" s="424"/>
      <c r="D267" s="424"/>
      <c r="E267" s="424"/>
      <c r="F267" s="424"/>
      <c r="G267" s="428"/>
      <c r="H267" s="428"/>
      <c r="I267" s="424"/>
      <c r="J267" s="424"/>
      <c r="K267" s="424"/>
      <c r="L267" s="424"/>
    </row>
    <row r="268" customFormat="false" ht="14.1" hidden="false" customHeight="true" outlineLevel="0" collapsed="false">
      <c r="C268" s="424"/>
      <c r="D268" s="424"/>
      <c r="E268" s="424"/>
      <c r="F268" s="424"/>
      <c r="G268" s="428"/>
      <c r="H268" s="428"/>
      <c r="I268" s="424"/>
      <c r="J268" s="424"/>
      <c r="K268" s="424"/>
      <c r="L268" s="424"/>
    </row>
    <row r="279" customFormat="false" ht="14.4" hidden="false" customHeight="true" outlineLevel="0" collapsed="false">
      <c r="A279" s="404" t="s">
        <v>223</v>
      </c>
      <c r="C279" s="425" t="n">
        <v>2020</v>
      </c>
      <c r="D279" s="425"/>
      <c r="E279" s="425"/>
      <c r="F279" s="425"/>
      <c r="G279" s="426"/>
      <c r="H279" s="426"/>
      <c r="I279" s="425" t="n">
        <v>2021</v>
      </c>
      <c r="J279" s="425"/>
      <c r="K279" s="425"/>
      <c r="L279" s="425"/>
    </row>
    <row r="280" customFormat="false" ht="14.4" hidden="false" customHeight="true" outlineLevel="0" collapsed="false">
      <c r="C280" s="425"/>
      <c r="D280" s="425"/>
      <c r="E280" s="425"/>
      <c r="F280" s="425"/>
      <c r="G280" s="426"/>
      <c r="H280" s="426"/>
      <c r="I280" s="425"/>
      <c r="J280" s="425"/>
      <c r="K280" s="425"/>
      <c r="L280" s="425"/>
    </row>
    <row r="281" customFormat="false" ht="14.4" hidden="false" customHeight="true" outlineLevel="0" collapsed="false">
      <c r="C281" s="425"/>
      <c r="D281" s="425"/>
      <c r="E281" s="425"/>
      <c r="F281" s="425"/>
      <c r="G281" s="426"/>
      <c r="H281" s="426"/>
      <c r="I281" s="425"/>
      <c r="J281" s="425"/>
      <c r="K281" s="425"/>
      <c r="L281" s="425"/>
      <c r="N281" s="437" t="n">
        <v>2020</v>
      </c>
      <c r="P281" s="437" t="n">
        <v>2021</v>
      </c>
    </row>
    <row r="282" customFormat="false" ht="14.4" hidden="false" customHeight="true" outlineLevel="0" collapsed="false">
      <c r="C282" s="407" t="n">
        <f aca="false">N283/N282</f>
        <v>0.993673401280679</v>
      </c>
      <c r="D282" s="407"/>
      <c r="E282" s="407"/>
      <c r="F282" s="407"/>
      <c r="G282" s="426"/>
      <c r="H282" s="426"/>
      <c r="I282" s="407" t="n">
        <f aca="false">P283/P282</f>
        <v>0.96595581118786</v>
      </c>
      <c r="J282" s="407"/>
      <c r="K282" s="407"/>
      <c r="L282" s="407"/>
      <c r="M282" s="80" t="s">
        <v>224</v>
      </c>
      <c r="N282" s="80" t="n">
        <v>376045.661428572</v>
      </c>
      <c r="P282" s="80" t="n">
        <v>538865.744285714</v>
      </c>
    </row>
    <row r="283" customFormat="false" ht="14.4" hidden="false" customHeight="true" outlineLevel="0" collapsed="false">
      <c r="C283" s="407"/>
      <c r="D283" s="407"/>
      <c r="E283" s="407"/>
      <c r="F283" s="407"/>
      <c r="G283" s="426"/>
      <c r="H283" s="426"/>
      <c r="I283" s="407"/>
      <c r="J283" s="407"/>
      <c r="K283" s="407"/>
      <c r="L283" s="407"/>
      <c r="M283" s="80" t="s">
        <v>225</v>
      </c>
      <c r="N283" s="80" t="n">
        <v>373666.571428571</v>
      </c>
      <c r="P283" s="80" t="n">
        <v>520520.497142857</v>
      </c>
    </row>
    <row r="284" customFormat="false" ht="14.4" hidden="false" customHeight="true" outlineLevel="0" collapsed="false">
      <c r="C284" s="407"/>
      <c r="D284" s="407"/>
      <c r="E284" s="407"/>
      <c r="F284" s="407"/>
      <c r="G284" s="426"/>
      <c r="H284" s="426"/>
      <c r="I284" s="407"/>
      <c r="J284" s="407"/>
      <c r="K284" s="407"/>
      <c r="L284" s="407"/>
    </row>
    <row r="285" customFormat="false" ht="14.4" hidden="false" customHeight="true" outlineLevel="0" collapsed="false">
      <c r="C285" s="407"/>
      <c r="D285" s="407"/>
      <c r="E285" s="407"/>
      <c r="F285" s="407"/>
      <c r="G285" s="426"/>
      <c r="H285" s="426"/>
      <c r="I285" s="407"/>
      <c r="J285" s="407"/>
      <c r="K285" s="407"/>
      <c r="L285" s="407"/>
    </row>
    <row r="286" customFormat="false" ht="14.4" hidden="false" customHeight="true" outlineLevel="0" collapsed="false">
      <c r="C286" s="407"/>
      <c r="D286" s="407"/>
      <c r="E286" s="407"/>
      <c r="F286" s="407"/>
      <c r="G286" s="426"/>
      <c r="H286" s="426"/>
      <c r="I286" s="407"/>
      <c r="J286" s="407"/>
      <c r="K286" s="407"/>
      <c r="L286" s="407"/>
      <c r="N286" s="437"/>
    </row>
    <row r="287" customFormat="false" ht="14.4" hidden="false" customHeight="true" outlineLevel="0" collapsed="false">
      <c r="C287" s="407"/>
      <c r="D287" s="407"/>
      <c r="E287" s="407"/>
      <c r="F287" s="407"/>
      <c r="G287" s="426"/>
      <c r="H287" s="426"/>
      <c r="I287" s="407"/>
      <c r="J287" s="407"/>
      <c r="K287" s="407"/>
      <c r="L287" s="407"/>
    </row>
    <row r="288" customFormat="false" ht="14.4" hidden="false" customHeight="true" outlineLevel="0" collapsed="false">
      <c r="C288" s="407"/>
      <c r="D288" s="407"/>
      <c r="E288" s="407"/>
      <c r="F288" s="407"/>
      <c r="G288" s="426"/>
      <c r="H288" s="426"/>
      <c r="I288" s="407"/>
      <c r="J288" s="407"/>
      <c r="K288" s="407"/>
      <c r="L288" s="407"/>
    </row>
    <row r="290" customFormat="false" ht="14.4" hidden="false" customHeight="true" outlineLevel="0" collapsed="false">
      <c r="C290" s="412"/>
      <c r="D290" s="412"/>
      <c r="E290" s="412"/>
      <c r="F290" s="412"/>
      <c r="G290" s="426"/>
      <c r="H290" s="426"/>
      <c r="I290" s="412"/>
      <c r="J290" s="412"/>
      <c r="K290" s="412"/>
      <c r="L290" s="412"/>
    </row>
    <row r="291" customFormat="false" ht="14.4" hidden="false" customHeight="true" outlineLevel="0" collapsed="false">
      <c r="C291" s="412"/>
      <c r="D291" s="412"/>
      <c r="E291" s="412"/>
      <c r="F291" s="412"/>
      <c r="G291" s="426"/>
      <c r="H291" s="426"/>
      <c r="I291" s="412"/>
      <c r="J291" s="412"/>
      <c r="K291" s="412"/>
      <c r="L291" s="412"/>
    </row>
    <row r="292" customFormat="false" ht="14.4" hidden="false" customHeight="true" outlineLevel="0" collapsed="false">
      <c r="C292" s="412"/>
      <c r="D292" s="412"/>
      <c r="E292" s="412"/>
      <c r="F292" s="412"/>
      <c r="G292" s="426"/>
      <c r="H292" s="426"/>
      <c r="I292" s="412"/>
      <c r="J292" s="412"/>
      <c r="K292" s="412"/>
      <c r="L292" s="412"/>
    </row>
  </sheetData>
  <mergeCells count="110">
    <mergeCell ref="C2:F4"/>
    <mergeCell ref="I2:L4"/>
    <mergeCell ref="C5:F11"/>
    <mergeCell ref="I5:L11"/>
    <mergeCell ref="C13:F15"/>
    <mergeCell ref="I13:L15"/>
    <mergeCell ref="C19:F21"/>
    <mergeCell ref="I19:L21"/>
    <mergeCell ref="C22:F28"/>
    <mergeCell ref="I22:L28"/>
    <mergeCell ref="C30:F32"/>
    <mergeCell ref="I30:L32"/>
    <mergeCell ref="C36:F38"/>
    <mergeCell ref="I36:L38"/>
    <mergeCell ref="C39:F45"/>
    <mergeCell ref="I39:L45"/>
    <mergeCell ref="C47:F49"/>
    <mergeCell ref="I47:L49"/>
    <mergeCell ref="C53:F55"/>
    <mergeCell ref="I53:L55"/>
    <mergeCell ref="C56:F62"/>
    <mergeCell ref="I56:L62"/>
    <mergeCell ref="C64:F66"/>
    <mergeCell ref="I64:L66"/>
    <mergeCell ref="C70:F72"/>
    <mergeCell ref="I70:L72"/>
    <mergeCell ref="C73:F79"/>
    <mergeCell ref="I73:L79"/>
    <mergeCell ref="C81:F83"/>
    <mergeCell ref="I81:L83"/>
    <mergeCell ref="C87:F89"/>
    <mergeCell ref="I87:L89"/>
    <mergeCell ref="C90:F96"/>
    <mergeCell ref="I90:L96"/>
    <mergeCell ref="C98:F100"/>
    <mergeCell ref="I98:L100"/>
    <mergeCell ref="C104:F106"/>
    <mergeCell ref="I104:L106"/>
    <mergeCell ref="C107:F113"/>
    <mergeCell ref="I107:L113"/>
    <mergeCell ref="C115:F117"/>
    <mergeCell ref="I115:L117"/>
    <mergeCell ref="C121:F123"/>
    <mergeCell ref="H121:K123"/>
    <mergeCell ref="M121:P123"/>
    <mergeCell ref="C124:F130"/>
    <mergeCell ref="H124:K130"/>
    <mergeCell ref="M124:P130"/>
    <mergeCell ref="C135:F137"/>
    <mergeCell ref="I135:L137"/>
    <mergeCell ref="C138:D139"/>
    <mergeCell ref="E138:F139"/>
    <mergeCell ref="I138:J139"/>
    <mergeCell ref="K138:L139"/>
    <mergeCell ref="C140:D141"/>
    <mergeCell ref="E140:F141"/>
    <mergeCell ref="I140:J141"/>
    <mergeCell ref="K140:L141"/>
    <mergeCell ref="C142:D142"/>
    <mergeCell ref="E142:F142"/>
    <mergeCell ref="I142:J142"/>
    <mergeCell ref="K142:L142"/>
    <mergeCell ref="C147:F149"/>
    <mergeCell ref="H147:K149"/>
    <mergeCell ref="M147:P149"/>
    <mergeCell ref="C150:F156"/>
    <mergeCell ref="H150:K156"/>
    <mergeCell ref="M150:P156"/>
    <mergeCell ref="C163:F165"/>
    <mergeCell ref="I163:L165"/>
    <mergeCell ref="C166:F172"/>
    <mergeCell ref="I166:L172"/>
    <mergeCell ref="C174:F176"/>
    <mergeCell ref="I174:L176"/>
    <mergeCell ref="C182:F184"/>
    <mergeCell ref="H182:K184"/>
    <mergeCell ref="M182:P184"/>
    <mergeCell ref="C185:F191"/>
    <mergeCell ref="H185:K191"/>
    <mergeCell ref="M185:P191"/>
    <mergeCell ref="C199:F201"/>
    <mergeCell ref="I199:L201"/>
    <mergeCell ref="C202:F208"/>
    <mergeCell ref="I202:L208"/>
    <mergeCell ref="C210:F212"/>
    <mergeCell ref="I210:L212"/>
    <mergeCell ref="C218:F220"/>
    <mergeCell ref="H218:K220"/>
    <mergeCell ref="M218:P220"/>
    <mergeCell ref="C221:F227"/>
    <mergeCell ref="H221:K227"/>
    <mergeCell ref="M221:P227"/>
    <mergeCell ref="C233:F235"/>
    <mergeCell ref="I233:L235"/>
    <mergeCell ref="C236:F242"/>
    <mergeCell ref="I236:L242"/>
    <mergeCell ref="C244:F246"/>
    <mergeCell ref="I244:L246"/>
    <mergeCell ref="C255:F257"/>
    <mergeCell ref="I255:L257"/>
    <mergeCell ref="C258:F264"/>
    <mergeCell ref="I258:L264"/>
    <mergeCell ref="C266:F268"/>
    <mergeCell ref="I266:L268"/>
    <mergeCell ref="C279:F281"/>
    <mergeCell ref="I279:L281"/>
    <mergeCell ref="C282:F288"/>
    <mergeCell ref="I282:L288"/>
    <mergeCell ref="C290:F292"/>
    <mergeCell ref="I290:L29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O9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" activeCellId="0" sqref="A1"/>
    </sheetView>
  </sheetViews>
  <sheetFormatPr defaultColWidth="9.34375" defaultRowHeight="16.8" zeroHeight="false" outlineLevelRow="0" outlineLevelCol="1"/>
  <cols>
    <col collapsed="false" customWidth="true" hidden="false" outlineLevel="0" max="1" min="1" style="88" width="1.56"/>
    <col collapsed="false" customWidth="true" hidden="false" outlineLevel="0" max="2" min="2" style="88" width="41"/>
    <col collapsed="false" customWidth="true" hidden="false" outlineLevel="0" max="3" min="3" style="88" width="19.65"/>
    <col collapsed="false" customWidth="true" hidden="false" outlineLevel="0" max="4" min="4" style="88" width="16"/>
    <col collapsed="false" customWidth="true" hidden="false" outlineLevel="0" max="5" min="5" style="88" width="19.65"/>
    <col collapsed="false" customWidth="true" hidden="false" outlineLevel="0" max="7" min="6" style="88" width="16"/>
    <col collapsed="false" customWidth="false" hidden="false" outlineLevel="0" max="9" min="8" style="88" width="9.33"/>
    <col collapsed="false" customWidth="true" hidden="false" outlineLevel="0" max="10" min="10" style="88" width="41"/>
    <col collapsed="false" customWidth="true" hidden="false" outlineLevel="0" max="11" min="11" style="88" width="0.56"/>
    <col collapsed="false" customWidth="true" hidden="true" outlineLevel="1" max="12" min="12" style="88" width="15.66"/>
    <col collapsed="false" customWidth="true" hidden="true" outlineLevel="1" max="13" min="13" style="88" width="9.56"/>
    <col collapsed="false" customWidth="true" hidden="true" outlineLevel="1" max="14" min="14" style="88" width="15.66"/>
    <col collapsed="false" customWidth="true" hidden="true" outlineLevel="1" max="15" min="15" style="88" width="9"/>
    <col collapsed="false" customWidth="true" hidden="true" outlineLevel="1" max="16" min="16" style="88" width="15.66"/>
    <col collapsed="false" customWidth="true" hidden="true" outlineLevel="1" max="17" min="17" style="88" width="9"/>
    <col collapsed="false" customWidth="true" hidden="false" outlineLevel="0" max="23" min="18" style="88" width="14.66"/>
    <col collapsed="false" customWidth="true" hidden="false" outlineLevel="0" max="24" min="24" style="88" width="15.66"/>
    <col collapsed="false" customWidth="true" hidden="false" outlineLevel="0" max="25" min="25" style="88" width="13.55"/>
    <col collapsed="false" customWidth="true" hidden="false" outlineLevel="0" max="31" min="26" style="88" width="14.66"/>
    <col collapsed="false" customWidth="true" hidden="false" outlineLevel="0" max="32" min="32" style="88" width="15.66"/>
    <col collapsed="false" customWidth="true" hidden="false" outlineLevel="0" max="33" min="33" style="88" width="13.55"/>
    <col collapsed="false" customWidth="true" hidden="false" outlineLevel="0" max="34" min="34" style="88" width="15.66"/>
    <col collapsed="false" customWidth="true" hidden="false" outlineLevel="0" max="35" min="35" style="88" width="9"/>
    <col collapsed="false" customWidth="true" hidden="false" outlineLevel="0" max="36" min="36" style="88" width="11.45"/>
    <col collapsed="false" customWidth="true" hidden="false" outlineLevel="0" max="37" min="37" style="88" width="1.44"/>
    <col collapsed="false" customWidth="true" hidden="false" outlineLevel="0" max="39" min="38" style="88" width="16.67"/>
    <col collapsed="false" customWidth="false" hidden="false" outlineLevel="0" max="1024" min="40" style="88" width="9.33"/>
  </cols>
  <sheetData>
    <row r="1" customFormat="false" ht="17.7" hidden="false" customHeight="true" outlineLevel="0" collapsed="false">
      <c r="B1" s="89"/>
      <c r="C1" s="89"/>
      <c r="F1" s="90" t="s">
        <v>0</v>
      </c>
      <c r="G1" s="90"/>
      <c r="J1" s="91"/>
      <c r="K1" s="91"/>
      <c r="L1" s="91" t="n">
        <f aca="false">N1-1</f>
        <v>19</v>
      </c>
      <c r="M1" s="91"/>
      <c r="N1" s="91" t="n">
        <f aca="false">AM1-1</f>
        <v>20</v>
      </c>
      <c r="O1" s="91"/>
      <c r="P1" s="91" t="n">
        <f aca="false">AM1</f>
        <v>21</v>
      </c>
      <c r="Q1" s="91"/>
      <c r="R1" s="91"/>
      <c r="S1" s="91"/>
      <c r="T1" s="91"/>
      <c r="U1" s="91"/>
      <c r="V1" s="91"/>
      <c r="W1" s="92"/>
      <c r="X1" s="92"/>
      <c r="Y1" s="92"/>
      <c r="Z1" s="92"/>
      <c r="AA1" s="92"/>
      <c r="AB1" s="92"/>
      <c r="AC1" s="92"/>
      <c r="AD1" s="92"/>
      <c r="AL1" s="91" t="n">
        <f aca="false">MID(Menu!L1,3,4)-1</f>
        <v>22</v>
      </c>
      <c r="AM1" s="91" t="n">
        <f aca="false">AL1-1</f>
        <v>21</v>
      </c>
      <c r="AN1" s="91"/>
    </row>
    <row r="2" customFormat="false" ht="16.8" hidden="false" customHeight="false" outlineLevel="0" collapsed="false">
      <c r="B2" s="89"/>
      <c r="C2" s="89"/>
      <c r="F2" s="90"/>
      <c r="G2" s="90"/>
      <c r="L2" s="92"/>
      <c r="M2" s="92"/>
      <c r="N2" s="92"/>
      <c r="O2" s="92"/>
      <c r="P2" s="93" t="s">
        <v>69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H2" s="94" t="s">
        <v>69</v>
      </c>
    </row>
    <row r="3" customFormat="false" ht="4.5" hidden="false" customHeight="true" outlineLevel="0" collapsed="false">
      <c r="B3" s="89"/>
      <c r="C3" s="89"/>
      <c r="R3" s="92"/>
      <c r="S3" s="92"/>
      <c r="T3" s="92"/>
      <c r="U3" s="92"/>
      <c r="V3" s="92"/>
    </row>
    <row r="4" customFormat="false" ht="21.6" hidden="false" customHeight="true" outlineLevel="0" collapsed="false">
      <c r="B4" s="438" t="s">
        <v>70</v>
      </c>
      <c r="C4" s="438"/>
      <c r="D4" s="438"/>
      <c r="E4" s="438"/>
      <c r="F4" s="438"/>
      <c r="G4" s="438"/>
      <c r="H4" s="96"/>
      <c r="I4" s="96"/>
      <c r="J4" s="99" t="s">
        <v>70</v>
      </c>
      <c r="K4" s="99"/>
      <c r="L4" s="99" t="str">
        <f aca="false">"MÉDIA"&amp;" "&amp;L1</f>
        <v>MÉDIA 19</v>
      </c>
      <c r="M4" s="99" t="s">
        <v>11</v>
      </c>
      <c r="N4" s="99" t="str">
        <f aca="false">"MÉDIA"&amp;" "&amp;N1</f>
        <v>MÉDIA 20</v>
      </c>
      <c r="O4" s="99" t="s">
        <v>11</v>
      </c>
      <c r="P4" s="99" t="str">
        <f aca="false">"MÉDIA"&amp;" "&amp;P1</f>
        <v>MÉDIA 21</v>
      </c>
      <c r="Q4" s="99" t="s">
        <v>11</v>
      </c>
      <c r="R4" s="439" t="str">
        <f aca="false">"jan"&amp;"-"&amp;MID(Menu!L1,3,4)-1</f>
        <v>jan-22</v>
      </c>
      <c r="S4" s="439" t="n">
        <f aca="false">R4+31</f>
        <v>44593</v>
      </c>
      <c r="T4" s="439" t="n">
        <f aca="false">S4+31</f>
        <v>44624</v>
      </c>
      <c r="U4" s="439" t="n">
        <f aca="false">T4+31</f>
        <v>44655</v>
      </c>
      <c r="V4" s="439" t="n">
        <f aca="false">U4+31</f>
        <v>44686</v>
      </c>
      <c r="W4" s="439" t="n">
        <f aca="false">V4+31</f>
        <v>44717</v>
      </c>
      <c r="X4" s="99" t="s">
        <v>71</v>
      </c>
      <c r="Y4" s="99" t="s">
        <v>72</v>
      </c>
      <c r="Z4" s="439" t="n">
        <f aca="false">W4+31</f>
        <v>44748</v>
      </c>
      <c r="AA4" s="439" t="n">
        <f aca="false">Z4+31</f>
        <v>44779</v>
      </c>
      <c r="AB4" s="439" t="n">
        <f aca="false">AA4+31</f>
        <v>44810</v>
      </c>
      <c r="AC4" s="439" t="n">
        <f aca="false">AB4+31</f>
        <v>44841</v>
      </c>
      <c r="AD4" s="439" t="n">
        <f aca="false">AC4+31</f>
        <v>44872</v>
      </c>
      <c r="AE4" s="439" t="n">
        <f aca="false">AD4+31</f>
        <v>44903</v>
      </c>
      <c r="AF4" s="99" t="s">
        <v>73</v>
      </c>
      <c r="AG4" s="99" t="s">
        <v>72</v>
      </c>
      <c r="AH4" s="99" t="str">
        <f aca="false">"MÉDIA"&amp;AH2&amp;MID(Menu!L1,3,4)-1</f>
        <v>MÉDIA 22</v>
      </c>
      <c r="AI4" s="99" t="s">
        <v>11</v>
      </c>
      <c r="AJ4" s="99" t="str">
        <f aca="false">AM1&amp;" "&amp;"x "&amp;AL1&amp;" "&amp;"%"</f>
        <v>21 x 22 %</v>
      </c>
      <c r="AL4" s="99" t="str">
        <f aca="false">"MÉDIA "&amp;P1</f>
        <v>MÉDIA 21</v>
      </c>
      <c r="AM4" s="99" t="str">
        <f aca="false">AJ4</f>
        <v>21 x 22 %</v>
      </c>
    </row>
    <row r="5" customFormat="false" ht="21.75" hidden="false" customHeight="true" outlineLevel="0" collapsed="false">
      <c r="B5" s="440"/>
      <c r="C5" s="441" t="s">
        <v>53</v>
      </c>
      <c r="D5" s="441"/>
      <c r="E5" s="441" t="s">
        <v>54</v>
      </c>
      <c r="F5" s="441"/>
      <c r="G5" s="202" t="s">
        <v>75</v>
      </c>
      <c r="H5" s="96"/>
      <c r="I5" s="96"/>
      <c r="J5" s="442"/>
      <c r="K5" s="442"/>
      <c r="L5" s="443"/>
      <c r="M5" s="444"/>
      <c r="N5" s="443"/>
      <c r="O5" s="444"/>
      <c r="P5" s="443"/>
      <c r="Q5" s="444"/>
      <c r="R5" s="443"/>
      <c r="S5" s="443"/>
      <c r="T5" s="443"/>
      <c r="U5" s="443"/>
      <c r="V5" s="443"/>
      <c r="W5" s="443"/>
      <c r="X5" s="443"/>
      <c r="Y5" s="444"/>
      <c r="Z5" s="443"/>
      <c r="AA5" s="443"/>
      <c r="AB5" s="443"/>
      <c r="AC5" s="443"/>
      <c r="AD5" s="443"/>
      <c r="AE5" s="443"/>
      <c r="AF5" s="443"/>
      <c r="AG5" s="444"/>
      <c r="AH5" s="443"/>
      <c r="AI5" s="445"/>
      <c r="AJ5" s="444"/>
    </row>
    <row r="6" s="119" customFormat="true" ht="21.75" hidden="false" customHeight="true" outlineLevel="0" collapsed="false">
      <c r="B6" s="446" t="s">
        <v>76</v>
      </c>
      <c r="C6" s="447"/>
      <c r="D6" s="448" t="e">
        <f aca="false">C6/$C$6</f>
        <v>#DIV/0!</v>
      </c>
      <c r="E6" s="449" t="n">
        <v>400000</v>
      </c>
      <c r="F6" s="450" t="n">
        <f aca="false">E6/$E$6</f>
        <v>1</v>
      </c>
      <c r="G6" s="448" t="n">
        <f aca="false">(C6-E6)/E6</f>
        <v>-1</v>
      </c>
      <c r="H6" s="203"/>
      <c r="I6" s="203"/>
      <c r="J6" s="451" t="s">
        <v>76</v>
      </c>
      <c r="K6" s="451"/>
      <c r="L6" s="452" t="n">
        <v>156401.351666667</v>
      </c>
      <c r="M6" s="453" t="n">
        <v>0</v>
      </c>
      <c r="N6" s="452" t="n">
        <v>204254.0225</v>
      </c>
      <c r="O6" s="453" t="n">
        <v>0</v>
      </c>
      <c r="P6" s="452" t="n">
        <v>256014.555</v>
      </c>
      <c r="Q6" s="453" t="n">
        <v>0</v>
      </c>
      <c r="R6" s="452" t="n">
        <v>344878.38</v>
      </c>
      <c r="S6" s="452" t="n">
        <v>296042.55</v>
      </c>
      <c r="T6" s="452" t="n">
        <v>358206.76</v>
      </c>
      <c r="U6" s="452" t="n">
        <v>328180.96</v>
      </c>
      <c r="V6" s="452" t="n">
        <v>372654.77</v>
      </c>
      <c r="W6" s="452" t="n">
        <v>440377.07</v>
      </c>
      <c r="X6" s="452" t="n">
        <f aca="false">AVERAGE(R6:W6)</f>
        <v>356723.415</v>
      </c>
      <c r="Y6" s="453" t="n">
        <f aca="false">X6/$X$6</f>
        <v>1</v>
      </c>
      <c r="Z6" s="452" t="n">
        <v>475325.51</v>
      </c>
      <c r="AA6" s="452" t="n">
        <v>468405.21</v>
      </c>
      <c r="AB6" s="452" t="n">
        <v>451427.64</v>
      </c>
      <c r="AC6" s="452" t="n">
        <v>482365.27</v>
      </c>
      <c r="AD6" s="452" t="n">
        <v>488825.38</v>
      </c>
      <c r="AE6" s="452" t="n">
        <v>543738.95</v>
      </c>
      <c r="AF6" s="454" t="n">
        <f aca="false">IF(Z6="",0,AVERAGE(Z6:AE6))</f>
        <v>485014.66</v>
      </c>
      <c r="AG6" s="455" t="n">
        <f aca="false">AF6/$AF$6</f>
        <v>1</v>
      </c>
      <c r="AH6" s="454" t="n">
        <f aca="false">IF(AF6=0,X6,AVERAGE(X6,AF6))</f>
        <v>420869.0375</v>
      </c>
      <c r="AI6" s="455" t="n">
        <f aca="false">AH6/$AH$6</f>
        <v>1</v>
      </c>
      <c r="AJ6" s="455" t="n">
        <f aca="false">(AH6-P6)/P6</f>
        <v>0.643926211539027</v>
      </c>
      <c r="AL6" s="120" t="n">
        <v>256014.555</v>
      </c>
      <c r="AM6" s="121" t="n">
        <f aca="false">(AH6-AL6)/AL6</f>
        <v>0.643926211539027</v>
      </c>
    </row>
    <row r="7" s="89" customFormat="true" ht="21.75" hidden="false" customHeight="true" outlineLevel="0" collapsed="false">
      <c r="B7" s="456" t="s">
        <v>77</v>
      </c>
      <c r="C7" s="457"/>
      <c r="D7" s="458" t="e">
        <f aca="false">C7/$C$6</f>
        <v>#DIV/0!</v>
      </c>
      <c r="E7" s="459" t="n">
        <f aca="false">F7*$E$6</f>
        <v>396000</v>
      </c>
      <c r="F7" s="460" t="n">
        <v>0.99</v>
      </c>
      <c r="G7" s="458" t="n">
        <f aca="false">(C7-E7)/E7</f>
        <v>-1</v>
      </c>
      <c r="H7" s="461"/>
      <c r="I7" s="461"/>
      <c r="J7" s="462" t="s">
        <v>77</v>
      </c>
      <c r="K7" s="462"/>
      <c r="L7" s="346" t="n">
        <v>145803.286666667</v>
      </c>
      <c r="M7" s="463" t="n">
        <v>0</v>
      </c>
      <c r="N7" s="346" t="n">
        <v>186425.077666667</v>
      </c>
      <c r="O7" s="463" t="n">
        <v>0</v>
      </c>
      <c r="P7" s="346" t="n">
        <v>253020.91</v>
      </c>
      <c r="Q7" s="463" t="n">
        <v>0</v>
      </c>
      <c r="R7" s="346" t="n">
        <v>339042.87</v>
      </c>
      <c r="S7" s="346" t="n">
        <v>295953.59</v>
      </c>
      <c r="T7" s="346" t="n">
        <v>358055.14</v>
      </c>
      <c r="U7" s="346" t="n">
        <v>328101.45</v>
      </c>
      <c r="V7" s="346" t="n">
        <v>368009.14</v>
      </c>
      <c r="W7" s="346" t="n">
        <v>433051.69</v>
      </c>
      <c r="X7" s="346" t="n">
        <f aca="false">AVERAGE(R7:W7)</f>
        <v>353702.313333333</v>
      </c>
      <c r="Y7" s="463" t="n">
        <f aca="false">X7/$X$6</f>
        <v>0.991530968981482</v>
      </c>
      <c r="Z7" s="346" t="n">
        <v>469420.28</v>
      </c>
      <c r="AA7" s="346" t="n">
        <v>468340.01</v>
      </c>
      <c r="AB7" s="346" t="n">
        <v>457715.31</v>
      </c>
      <c r="AC7" s="346" t="n">
        <v>478052.61</v>
      </c>
      <c r="AD7" s="346" t="n">
        <v>477378.81</v>
      </c>
      <c r="AE7" s="346" t="n">
        <v>518105.57</v>
      </c>
      <c r="AF7" s="464" t="n">
        <f aca="false">IF(Z7="",0,AVERAGE(Z7:AE7))</f>
        <v>478168.765</v>
      </c>
      <c r="AG7" s="465" t="n">
        <f aca="false">AF7/$AF$6</f>
        <v>0.985885179223242</v>
      </c>
      <c r="AH7" s="464" t="n">
        <f aca="false">IF(AF7=0,X7,AVERAGE(X7,AF7))</f>
        <v>415935.539166667</v>
      </c>
      <c r="AI7" s="465" t="n">
        <f aca="false">AH7/$AH$6</f>
        <v>0.988277830171022</v>
      </c>
      <c r="AJ7" s="465" t="n">
        <f aca="false">(AH7-P7)/P7</f>
        <v>0.6438781251979</v>
      </c>
    </row>
    <row r="8" s="89" customFormat="true" ht="21.75" hidden="false" customHeight="true" outlineLevel="0" collapsed="false">
      <c r="B8" s="462" t="s">
        <v>78</v>
      </c>
      <c r="C8" s="466"/>
      <c r="D8" s="467" t="e">
        <f aca="false">C8/$C$6</f>
        <v>#DIV/0!</v>
      </c>
      <c r="E8" s="468" t="n">
        <f aca="false">F8*$E$6</f>
        <v>4000</v>
      </c>
      <c r="F8" s="469" t="n">
        <v>0.01</v>
      </c>
      <c r="G8" s="458" t="n">
        <f aca="false">(C8-E8)/E8</f>
        <v>-1</v>
      </c>
      <c r="H8" s="461"/>
      <c r="I8" s="461"/>
      <c r="J8" s="462" t="s">
        <v>78</v>
      </c>
      <c r="K8" s="462"/>
      <c r="L8" s="346" t="n">
        <v>10598.065</v>
      </c>
      <c r="M8" s="463" t="n">
        <v>0</v>
      </c>
      <c r="N8" s="346" t="n">
        <v>17828.9448333333</v>
      </c>
      <c r="O8" s="463" t="n">
        <v>0</v>
      </c>
      <c r="P8" s="346" t="n">
        <v>2993.645</v>
      </c>
      <c r="Q8" s="463" t="n">
        <v>0</v>
      </c>
      <c r="R8" s="346" t="n">
        <v>5835.51</v>
      </c>
      <c r="S8" s="346" t="n">
        <v>88.96</v>
      </c>
      <c r="T8" s="346" t="n">
        <v>151.62</v>
      </c>
      <c r="U8" s="346" t="n">
        <v>79.51</v>
      </c>
      <c r="V8" s="346" t="n">
        <v>4645.63</v>
      </c>
      <c r="W8" s="346" t="n">
        <v>7325.38</v>
      </c>
      <c r="X8" s="346" t="n">
        <f aca="false">AVERAGE(R8:W8)</f>
        <v>3021.10166666667</v>
      </c>
      <c r="Y8" s="463" t="n">
        <f aca="false">X8/$X$6</f>
        <v>0.00846903101851799</v>
      </c>
      <c r="Z8" s="346" t="n">
        <v>5905.23</v>
      </c>
      <c r="AA8" s="346" t="n">
        <v>65.2</v>
      </c>
      <c r="AB8" s="346" t="n">
        <v>-6287.67</v>
      </c>
      <c r="AC8" s="346" t="n">
        <v>4312.66</v>
      </c>
      <c r="AD8" s="346" t="n">
        <v>11446.57</v>
      </c>
      <c r="AE8" s="346" t="n">
        <v>25633.38</v>
      </c>
      <c r="AF8" s="464" t="n">
        <f aca="false">IF(Z8="",0,AVERAGE(Z8:AE8))</f>
        <v>6845.895</v>
      </c>
      <c r="AG8" s="465" t="n">
        <f aca="false">AF8/$AF$6</f>
        <v>0.0141148207767576</v>
      </c>
      <c r="AH8" s="464" t="n">
        <f aca="false">IF(AF8=0,X8,AVERAGE(X8,AF8))</f>
        <v>4933.49833333333</v>
      </c>
      <c r="AI8" s="465" t="n">
        <f aca="false">AH8/$AH$6</f>
        <v>0.0117221698289776</v>
      </c>
      <c r="AJ8" s="465" t="n">
        <f aca="false">(AH8-P8)/P8</f>
        <v>0.64799043752126</v>
      </c>
    </row>
    <row r="9" customFormat="false" ht="21.75" hidden="false" customHeight="true" outlineLevel="0" collapsed="false">
      <c r="B9" s="470"/>
      <c r="C9" s="471"/>
      <c r="D9" s="472"/>
      <c r="E9" s="473"/>
      <c r="F9" s="474"/>
      <c r="G9" s="458"/>
      <c r="H9" s="461"/>
      <c r="I9" s="96"/>
      <c r="J9" s="475"/>
      <c r="K9" s="475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2"/>
      <c r="AA9" s="372"/>
      <c r="AB9" s="372"/>
      <c r="AC9" s="372"/>
      <c r="AD9" s="372"/>
      <c r="AE9" s="372"/>
      <c r="AF9" s="476"/>
      <c r="AG9" s="476"/>
      <c r="AH9" s="476"/>
      <c r="AI9" s="477"/>
      <c r="AJ9" s="476"/>
    </row>
    <row r="10" s="119" customFormat="true" ht="21.75" hidden="false" customHeight="true" outlineLevel="0" collapsed="false">
      <c r="B10" s="475" t="s">
        <v>79</v>
      </c>
      <c r="C10" s="478"/>
      <c r="D10" s="479" t="e">
        <f aca="false">C10/$C$6</f>
        <v>#DIV/0!</v>
      </c>
      <c r="E10" s="480" t="n">
        <f aca="false">E6*F10</f>
        <v>180000</v>
      </c>
      <c r="F10" s="481" t="n">
        <f aca="false">F11+F14</f>
        <v>0.45</v>
      </c>
      <c r="G10" s="482" t="e">
        <f aca="false">(D10-F10)*100</f>
        <v>#DIV/0!</v>
      </c>
      <c r="H10" s="202" t="s">
        <v>80</v>
      </c>
      <c r="I10" s="483" t="n">
        <f aca="false">SUM(R10:T10)/SUM($R$6:$T$6)</f>
        <v>0.579969232961605</v>
      </c>
      <c r="J10" s="475" t="s">
        <v>79</v>
      </c>
      <c r="K10" s="475"/>
      <c r="L10" s="339" t="n">
        <v>79565.4180833333</v>
      </c>
      <c r="M10" s="484" t="n">
        <v>0</v>
      </c>
      <c r="N10" s="339" t="n">
        <v>105020.0995</v>
      </c>
      <c r="O10" s="484" t="n">
        <v>0</v>
      </c>
      <c r="P10" s="339" t="n">
        <v>133630.1425</v>
      </c>
      <c r="Q10" s="484" t="n">
        <v>0</v>
      </c>
      <c r="R10" s="339" t="n">
        <v>195153.91</v>
      </c>
      <c r="S10" s="339" t="n">
        <v>210045.28</v>
      </c>
      <c r="T10" s="339" t="n">
        <v>174264.13</v>
      </c>
      <c r="U10" s="339" t="n">
        <v>159036.54</v>
      </c>
      <c r="V10" s="339" t="n">
        <v>111193.62</v>
      </c>
      <c r="W10" s="339" t="n">
        <v>221189.98</v>
      </c>
      <c r="X10" s="339" t="n">
        <f aca="false">AVERAGE(R10:W10)</f>
        <v>178480.576666667</v>
      </c>
      <c r="Y10" s="484" t="n">
        <f aca="false">X10/$X$6</f>
        <v>0.500333225018791</v>
      </c>
      <c r="Z10" s="339" t="n">
        <v>254600.92</v>
      </c>
      <c r="AA10" s="339" t="n">
        <v>280263.21</v>
      </c>
      <c r="AB10" s="339" t="n">
        <v>271695.39</v>
      </c>
      <c r="AC10" s="339" t="n">
        <v>271639.47</v>
      </c>
      <c r="AD10" s="339" t="n">
        <v>367264.92</v>
      </c>
      <c r="AE10" s="339" t="n">
        <v>263350.45</v>
      </c>
      <c r="AF10" s="485" t="n">
        <f aca="false">IF(Z10="",0,AVERAGE(Z10:AE10))</f>
        <v>284802.393333333</v>
      </c>
      <c r="AG10" s="486" t="n">
        <f aca="false">AF10/$AF$6</f>
        <v>0.58720368026264</v>
      </c>
      <c r="AH10" s="485" t="n">
        <f aca="false">IF(AF10=0,X10,AVERAGE(X10,AF10))</f>
        <v>231641.485</v>
      </c>
      <c r="AI10" s="486" t="n">
        <f aca="false">AH10/$AH$6</f>
        <v>0.550388516047584</v>
      </c>
      <c r="AJ10" s="486" t="n">
        <f aca="false">(AH10-P10)/P10</f>
        <v>0.733452353386512</v>
      </c>
      <c r="AL10" s="158" t="n">
        <v>0.521963067685742</v>
      </c>
      <c r="AM10" s="159" t="n">
        <f aca="false">(AI10-AL10)*100</f>
        <v>2.84254483618425</v>
      </c>
    </row>
    <row r="11" s="89" customFormat="true" ht="21.75" hidden="false" customHeight="true" outlineLevel="0" collapsed="false">
      <c r="B11" s="462" t="s">
        <v>81</v>
      </c>
      <c r="C11" s="466"/>
      <c r="D11" s="467" t="e">
        <f aca="false">C11/$C$6</f>
        <v>#DIV/0!</v>
      </c>
      <c r="E11" s="468" t="n">
        <f aca="false">F11*$E$6</f>
        <v>80000</v>
      </c>
      <c r="F11" s="469" t="n">
        <f aca="false">SUM(F12:F13)</f>
        <v>0.2</v>
      </c>
      <c r="G11" s="487" t="e">
        <f aca="false">(D11-F11)*100</f>
        <v>#DIV/0!</v>
      </c>
      <c r="H11" s="202" t="s">
        <v>80</v>
      </c>
      <c r="I11" s="483" t="n">
        <f aca="false">SUM(R11:T11)/SUM($R$6:$T$6)</f>
        <v>0.245055814637667</v>
      </c>
      <c r="J11" s="462" t="s">
        <v>81</v>
      </c>
      <c r="K11" s="462"/>
      <c r="L11" s="346" t="n">
        <v>30943.88975</v>
      </c>
      <c r="M11" s="463" t="n">
        <v>0</v>
      </c>
      <c r="N11" s="346" t="n">
        <v>42422.1476666667</v>
      </c>
      <c r="O11" s="463" t="n">
        <v>0</v>
      </c>
      <c r="P11" s="346" t="n">
        <v>56195.3433333333</v>
      </c>
      <c r="Q11" s="463" t="n">
        <v>0</v>
      </c>
      <c r="R11" s="346" t="n">
        <v>82209.1</v>
      </c>
      <c r="S11" s="346" t="n">
        <v>87078.45</v>
      </c>
      <c r="T11" s="346" t="n">
        <v>75554.5</v>
      </c>
      <c r="U11" s="346" t="n">
        <v>99217.96</v>
      </c>
      <c r="V11" s="346" t="n">
        <v>63420.49</v>
      </c>
      <c r="W11" s="346" t="n">
        <v>85263.78</v>
      </c>
      <c r="X11" s="346" t="n">
        <f aca="false">AVERAGE(R11:W11)</f>
        <v>82124.0466666667</v>
      </c>
      <c r="Y11" s="463" t="n">
        <f aca="false">X11/$X$6</f>
        <v>0.230217707090146</v>
      </c>
      <c r="Z11" s="346" t="n">
        <v>58981.98</v>
      </c>
      <c r="AA11" s="346" t="n">
        <v>96924.77</v>
      </c>
      <c r="AB11" s="346" t="n">
        <v>90107.66</v>
      </c>
      <c r="AC11" s="346" t="n">
        <v>98264.66</v>
      </c>
      <c r="AD11" s="346" t="n">
        <v>125311.18</v>
      </c>
      <c r="AE11" s="346" t="n">
        <v>87725.17</v>
      </c>
      <c r="AF11" s="464" t="n">
        <f aca="false">IF(Z11="",0,AVERAGE(Z11:AE11))</f>
        <v>92885.9033333333</v>
      </c>
      <c r="AG11" s="465" t="n">
        <f aca="false">AF11/$AF$6</f>
        <v>0.191511537678744</v>
      </c>
      <c r="AH11" s="464" t="n">
        <f aca="false">IF(AF11=0,X11,AVERAGE(X11,AF11))</f>
        <v>87504.975</v>
      </c>
      <c r="AI11" s="465" t="n">
        <f aca="false">AH11/$AH$6</f>
        <v>0.20791497402562</v>
      </c>
      <c r="AJ11" s="488" t="n">
        <f aca="false">(AH11-P11)/P11</f>
        <v>0.557157049133905</v>
      </c>
      <c r="AL11" s="158" t="n">
        <v>0.219500580087462</v>
      </c>
      <c r="AM11" s="159" t="n">
        <f aca="false">(AI11-AL11)*100</f>
        <v>-1.1585606061842</v>
      </c>
    </row>
    <row r="12" s="89" customFormat="true" ht="21.75" hidden="false" customHeight="true" outlineLevel="0" collapsed="false">
      <c r="B12" s="462" t="s">
        <v>82</v>
      </c>
      <c r="C12" s="466"/>
      <c r="D12" s="467" t="e">
        <f aca="false">C12/$C$6</f>
        <v>#DIV/0!</v>
      </c>
      <c r="E12" s="468" t="n">
        <f aca="false">F12*$E$6</f>
        <v>60000</v>
      </c>
      <c r="F12" s="489" t="n">
        <v>0.15</v>
      </c>
      <c r="G12" s="487" t="e">
        <f aca="false">(D12-F12)*100</f>
        <v>#DIV/0!</v>
      </c>
      <c r="H12" s="202" t="s">
        <v>80</v>
      </c>
      <c r="I12" s="483" t="n">
        <f aca="false">SUM(R12:T12)/SUM($R$6:$T$6)</f>
        <v>0.166363330396738</v>
      </c>
      <c r="J12" s="462" t="s">
        <v>83</v>
      </c>
      <c r="K12" s="462"/>
      <c r="L12" s="346" t="n">
        <v>22758.4989166667</v>
      </c>
      <c r="M12" s="463" t="n">
        <v>0</v>
      </c>
      <c r="N12" s="346" t="n">
        <v>32437.3075</v>
      </c>
      <c r="O12" s="463" t="n">
        <v>0</v>
      </c>
      <c r="P12" s="346" t="n">
        <v>40432.1758333333</v>
      </c>
      <c r="Q12" s="463" t="n">
        <v>0</v>
      </c>
      <c r="R12" s="346" t="n">
        <v>58301.31</v>
      </c>
      <c r="S12" s="346" t="n">
        <v>55180.66</v>
      </c>
      <c r="T12" s="346" t="n">
        <v>52736.24</v>
      </c>
      <c r="U12" s="346" t="n">
        <v>71202.24</v>
      </c>
      <c r="V12" s="346" t="n">
        <v>47055.06</v>
      </c>
      <c r="W12" s="346" t="n">
        <v>65624.7</v>
      </c>
      <c r="X12" s="346" t="n">
        <f aca="false">AVERAGE(R12:W12)</f>
        <v>58350.035</v>
      </c>
      <c r="Y12" s="463" t="n">
        <f aca="false">X12/$X$6</f>
        <v>0.16357220341143</v>
      </c>
      <c r="Z12" s="346" t="n">
        <v>50293.81</v>
      </c>
      <c r="AA12" s="346" t="n">
        <v>85236.97</v>
      </c>
      <c r="AB12" s="346" t="n">
        <v>76573.98</v>
      </c>
      <c r="AC12" s="346" t="n">
        <v>81143.06</v>
      </c>
      <c r="AD12" s="346" t="n">
        <v>91363.69</v>
      </c>
      <c r="AE12" s="346" t="n">
        <v>57981.54</v>
      </c>
      <c r="AF12" s="464" t="n">
        <f aca="false">IF(Z12="",0,AVERAGE(Z12:AE12))</f>
        <v>73765.5083333333</v>
      </c>
      <c r="AG12" s="465" t="n">
        <f aca="false">AF12/$AF$6</f>
        <v>0.152089234443621</v>
      </c>
      <c r="AH12" s="464" t="n">
        <f aca="false">IF(AF12=0,X12,AVERAGE(X12,AF12))</f>
        <v>66057.7716666667</v>
      </c>
      <c r="AI12" s="465" t="n">
        <f aca="false">AH12/$AH$6</f>
        <v>0.156955646010587</v>
      </c>
      <c r="AJ12" s="488" t="n">
        <f aca="false">(AH12-P12)/P12</f>
        <v>0.633792154519839</v>
      </c>
      <c r="AL12" s="158" t="n">
        <v>0.157929207709825</v>
      </c>
      <c r="AM12" s="159" t="n">
        <f aca="false">(AI12-AL12)*100</f>
        <v>-0.0973561699237208</v>
      </c>
    </row>
    <row r="13" s="89" customFormat="true" ht="21.75" hidden="false" customHeight="true" outlineLevel="0" collapsed="false">
      <c r="B13" s="462" t="s">
        <v>84</v>
      </c>
      <c r="C13" s="466"/>
      <c r="D13" s="467" t="e">
        <f aca="false">C13/$C$6</f>
        <v>#DIV/0!</v>
      </c>
      <c r="E13" s="468" t="n">
        <f aca="false">F13*$E$6</f>
        <v>20000</v>
      </c>
      <c r="F13" s="489" t="n">
        <v>0.05</v>
      </c>
      <c r="G13" s="487" t="e">
        <f aca="false">(D13-F13)*100</f>
        <v>#DIV/0!</v>
      </c>
      <c r="H13" s="202" t="s">
        <v>80</v>
      </c>
      <c r="I13" s="483" t="n">
        <f aca="false">SUM(R13:T13)/SUM($R$6:$T$6)</f>
        <v>0.0786924842409282</v>
      </c>
      <c r="J13" s="462" t="s">
        <v>84</v>
      </c>
      <c r="K13" s="462"/>
      <c r="L13" s="346" t="n">
        <v>8185.39083333333</v>
      </c>
      <c r="M13" s="463" t="n">
        <v>0</v>
      </c>
      <c r="N13" s="346" t="n">
        <v>9984.84016666667</v>
      </c>
      <c r="O13" s="463" t="n">
        <v>0</v>
      </c>
      <c r="P13" s="346" t="n">
        <v>15763.1675</v>
      </c>
      <c r="Q13" s="463" t="n">
        <v>0</v>
      </c>
      <c r="R13" s="346" t="n">
        <v>23907.79</v>
      </c>
      <c r="S13" s="346" t="n">
        <v>31897.79</v>
      </c>
      <c r="T13" s="346" t="n">
        <v>22818.26</v>
      </c>
      <c r="U13" s="346" t="n">
        <v>28015.72</v>
      </c>
      <c r="V13" s="346" t="n">
        <v>16365.43</v>
      </c>
      <c r="W13" s="346" t="n">
        <v>19639.08</v>
      </c>
      <c r="X13" s="346" t="n">
        <f aca="false">AVERAGE(R13:W13)</f>
        <v>23774.0116666667</v>
      </c>
      <c r="Y13" s="463" t="n">
        <f aca="false">X13/$X$6</f>
        <v>0.0666455036787161</v>
      </c>
      <c r="Z13" s="346" t="n">
        <v>8688.17</v>
      </c>
      <c r="AA13" s="346" t="n">
        <v>11687.8</v>
      </c>
      <c r="AB13" s="346" t="n">
        <v>13533.68</v>
      </c>
      <c r="AC13" s="346" t="n">
        <v>17121.6</v>
      </c>
      <c r="AD13" s="346" t="n">
        <v>33947.49</v>
      </c>
      <c r="AE13" s="346" t="n">
        <v>29743.63</v>
      </c>
      <c r="AF13" s="464" t="n">
        <f aca="false">IF(Z13="",0,AVERAGE(Z13:AE13))</f>
        <v>19120.395</v>
      </c>
      <c r="AG13" s="465" t="n">
        <f aca="false">AF13/$AF$6</f>
        <v>0.0394223032351228</v>
      </c>
      <c r="AH13" s="464" t="n">
        <f aca="false">IF(AF13=0,X13,AVERAGE(X13,AF13))</f>
        <v>21447.2033333333</v>
      </c>
      <c r="AI13" s="465" t="n">
        <f aca="false">AH13/$AH$6</f>
        <v>0.0509593280150321</v>
      </c>
      <c r="AJ13" s="488" t="n">
        <f aca="false">(AH13-P13)/P13</f>
        <v>0.360589699585019</v>
      </c>
      <c r="AL13" s="158" t="n">
        <v>0.0615713723776369</v>
      </c>
      <c r="AM13" s="159" t="n">
        <f aca="false">(AI13-AL13)*100</f>
        <v>-1.06120443626048</v>
      </c>
    </row>
    <row r="14" s="89" customFormat="true" ht="21.75" hidden="false" customHeight="true" outlineLevel="0" collapsed="false">
      <c r="B14" s="462" t="s">
        <v>85</v>
      </c>
      <c r="C14" s="466"/>
      <c r="D14" s="467" t="e">
        <f aca="false">C14/$C$6</f>
        <v>#DIV/0!</v>
      </c>
      <c r="E14" s="468" t="n">
        <f aca="false">F14*$E$6</f>
        <v>100000</v>
      </c>
      <c r="F14" s="489" t="n">
        <v>0.25</v>
      </c>
      <c r="G14" s="487" t="e">
        <f aca="false">(D14-F14)*100</f>
        <v>#DIV/0!</v>
      </c>
      <c r="H14" s="202" t="s">
        <v>80</v>
      </c>
      <c r="I14" s="483" t="n">
        <f aca="false">SUM(R14:T14)/SUM($R$6:$T$6)</f>
        <v>0.334913418323938</v>
      </c>
      <c r="J14" s="462" t="s">
        <v>85</v>
      </c>
      <c r="K14" s="462"/>
      <c r="L14" s="346" t="n">
        <v>48621.5283333333</v>
      </c>
      <c r="M14" s="463" t="n">
        <v>0</v>
      </c>
      <c r="N14" s="346" t="n">
        <v>62597.9518333333</v>
      </c>
      <c r="O14" s="463" t="n">
        <v>0</v>
      </c>
      <c r="P14" s="346" t="n">
        <v>77434.7991666667</v>
      </c>
      <c r="Q14" s="463" t="n">
        <v>0</v>
      </c>
      <c r="R14" s="346" t="n">
        <v>112944.81</v>
      </c>
      <c r="S14" s="346" t="n">
        <v>122966.83</v>
      </c>
      <c r="T14" s="346" t="n">
        <v>98709.63</v>
      </c>
      <c r="U14" s="346" t="n">
        <v>59818.58</v>
      </c>
      <c r="V14" s="346" t="n">
        <v>47773.13</v>
      </c>
      <c r="W14" s="346" t="n">
        <v>135926.2</v>
      </c>
      <c r="X14" s="346" t="n">
        <f aca="false">AVERAGE(R14:W14)</f>
        <v>96356.53</v>
      </c>
      <c r="Y14" s="463" t="n">
        <f aca="false">X14/$X$6</f>
        <v>0.270115517928645</v>
      </c>
      <c r="Z14" s="346" t="n">
        <v>195618.94</v>
      </c>
      <c r="AA14" s="346" t="n">
        <v>183338.44</v>
      </c>
      <c r="AB14" s="346" t="n">
        <v>181587.73</v>
      </c>
      <c r="AC14" s="346" t="n">
        <v>173374.81</v>
      </c>
      <c r="AD14" s="346" t="n">
        <v>241953.74</v>
      </c>
      <c r="AE14" s="346" t="n">
        <v>175625.28</v>
      </c>
      <c r="AF14" s="464" t="n">
        <f aca="false">IF(Z14="",0,AVERAGE(Z14:AE14))</f>
        <v>191916.49</v>
      </c>
      <c r="AG14" s="465" t="n">
        <f aca="false">AF14/$AF$6</f>
        <v>0.395692142583896</v>
      </c>
      <c r="AH14" s="464" t="n">
        <f aca="false">IF(AF14=0,X14,AVERAGE(X14,AF14))</f>
        <v>144136.51</v>
      </c>
      <c r="AI14" s="465" t="n">
        <f aca="false">AH14/$AH$6</f>
        <v>0.342473542021965</v>
      </c>
      <c r="AJ14" s="488" t="n">
        <f aca="false">(AH14-P14)/P14</f>
        <v>0.861391926513143</v>
      </c>
      <c r="AL14" s="158" t="n">
        <v>0.30246248759828</v>
      </c>
      <c r="AM14" s="159" t="n">
        <f aca="false">(AI14-AL14)*100</f>
        <v>4.00110544236846</v>
      </c>
    </row>
    <row r="15" customFormat="false" ht="21.75" hidden="false" customHeight="true" outlineLevel="0" collapsed="false">
      <c r="B15" s="490"/>
      <c r="C15" s="491"/>
      <c r="D15" s="492"/>
      <c r="E15" s="493"/>
      <c r="F15" s="494"/>
      <c r="G15" s="487"/>
      <c r="H15" s="202"/>
      <c r="I15" s="96"/>
      <c r="J15" s="475"/>
      <c r="K15" s="475"/>
      <c r="L15" s="372"/>
      <c r="M15" s="372"/>
      <c r="N15" s="372"/>
      <c r="O15" s="372"/>
      <c r="P15" s="372"/>
      <c r="Q15" s="372"/>
      <c r="R15" s="372"/>
      <c r="S15" s="372"/>
      <c r="T15" s="372"/>
      <c r="U15" s="372"/>
      <c r="V15" s="372"/>
      <c r="W15" s="372"/>
      <c r="X15" s="372"/>
      <c r="Y15" s="372"/>
      <c r="Z15" s="372"/>
      <c r="AA15" s="372"/>
      <c r="AB15" s="372"/>
      <c r="AC15" s="372"/>
      <c r="AD15" s="372"/>
      <c r="AE15" s="372"/>
      <c r="AF15" s="476"/>
      <c r="AG15" s="495"/>
      <c r="AH15" s="476"/>
      <c r="AI15" s="476"/>
      <c r="AJ15" s="476"/>
    </row>
    <row r="16" s="119" customFormat="true" ht="21.75" hidden="false" customHeight="true" outlineLevel="0" collapsed="false">
      <c r="B16" s="475" t="s">
        <v>86</v>
      </c>
      <c r="C16" s="478"/>
      <c r="D16" s="479" t="e">
        <f aca="false">C16/$C$6</f>
        <v>#DIV/0!</v>
      </c>
      <c r="E16" s="480" t="n">
        <f aca="false">E6-E10</f>
        <v>220000</v>
      </c>
      <c r="F16" s="481" t="n">
        <f aca="false">E16/$E$6</f>
        <v>0.55</v>
      </c>
      <c r="G16" s="482" t="e">
        <f aca="false">(D16-F16)*100</f>
        <v>#DIV/0!</v>
      </c>
      <c r="H16" s="202" t="s">
        <v>80</v>
      </c>
      <c r="I16" s="203"/>
      <c r="J16" s="475" t="s">
        <v>86</v>
      </c>
      <c r="K16" s="475"/>
      <c r="L16" s="339" t="n">
        <v>76835.9335833333</v>
      </c>
      <c r="M16" s="484" t="n">
        <v>0</v>
      </c>
      <c r="N16" s="339" t="n">
        <v>99233.923</v>
      </c>
      <c r="O16" s="484" t="n">
        <v>0</v>
      </c>
      <c r="P16" s="339" t="n">
        <v>122384.4125</v>
      </c>
      <c r="Q16" s="484" t="n">
        <v>0</v>
      </c>
      <c r="R16" s="339" t="n">
        <v>149724.47</v>
      </c>
      <c r="S16" s="339" t="n">
        <v>85997.2700000001</v>
      </c>
      <c r="T16" s="339" t="n">
        <v>183942.63</v>
      </c>
      <c r="U16" s="339" t="n">
        <v>169144.42</v>
      </c>
      <c r="V16" s="339" t="n">
        <v>261461.15</v>
      </c>
      <c r="W16" s="339" t="n">
        <v>219187.09</v>
      </c>
      <c r="X16" s="339" t="n">
        <f aca="false">AVERAGE(R16:W16)</f>
        <v>178242.838333333</v>
      </c>
      <c r="Y16" s="484" t="n">
        <f aca="false">X16/$X$6</f>
        <v>0.499666774981209</v>
      </c>
      <c r="Z16" s="339" t="n">
        <v>220724.59</v>
      </c>
      <c r="AA16" s="339" t="n">
        <v>188142</v>
      </c>
      <c r="AB16" s="339" t="n">
        <v>179732.25</v>
      </c>
      <c r="AC16" s="339" t="n">
        <v>210725.8</v>
      </c>
      <c r="AD16" s="339" t="n">
        <v>121560.46</v>
      </c>
      <c r="AE16" s="339" t="n">
        <v>280388.5</v>
      </c>
      <c r="AF16" s="485" t="n">
        <f aca="false">IF(Z16="",0,AVERAGE(Z16:AE16))</f>
        <v>200212.266666667</v>
      </c>
      <c r="AG16" s="486" t="n">
        <f aca="false">AF16/$AF$6</f>
        <v>0.412796319737359</v>
      </c>
      <c r="AH16" s="485" t="n">
        <f aca="false">IF(AF16=0,X16,AVERAGE(X16,AF16))</f>
        <v>189227.5525</v>
      </c>
      <c r="AI16" s="486" t="n">
        <f aca="false">AH16/$AH$6</f>
        <v>0.449611483952416</v>
      </c>
      <c r="AJ16" s="486" t="n">
        <f aca="false">(AH16-P16)/P16</f>
        <v>0.546173639555609</v>
      </c>
      <c r="AL16" s="120" t="n">
        <v>122384.4125</v>
      </c>
      <c r="AM16" s="121" t="n">
        <f aca="false">(AH16-AL16)/AL16</f>
        <v>0.546173639555609</v>
      </c>
    </row>
    <row r="17" customFormat="false" ht="21.75" hidden="false" customHeight="true" outlineLevel="0" collapsed="false">
      <c r="B17" s="490"/>
      <c r="C17" s="491"/>
      <c r="D17" s="496"/>
      <c r="E17" s="493"/>
      <c r="F17" s="497"/>
      <c r="G17" s="458"/>
      <c r="H17" s="96"/>
      <c r="I17" s="96"/>
      <c r="J17" s="475"/>
      <c r="K17" s="475"/>
      <c r="L17" s="372"/>
      <c r="M17" s="372"/>
      <c r="N17" s="372"/>
      <c r="O17" s="372"/>
      <c r="P17" s="372"/>
      <c r="Q17" s="372"/>
      <c r="R17" s="372"/>
      <c r="S17" s="372"/>
      <c r="T17" s="372"/>
      <c r="U17" s="372"/>
      <c r="V17" s="372"/>
      <c r="W17" s="372"/>
      <c r="X17" s="372"/>
      <c r="Y17" s="372"/>
      <c r="Z17" s="372"/>
      <c r="AA17" s="372"/>
      <c r="AB17" s="372"/>
      <c r="AC17" s="372"/>
      <c r="AD17" s="372"/>
      <c r="AE17" s="372"/>
      <c r="AF17" s="476"/>
      <c r="AG17" s="495"/>
      <c r="AH17" s="476"/>
      <c r="AI17" s="476"/>
      <c r="AJ17" s="476"/>
    </row>
    <row r="18" s="119" customFormat="true" ht="21.75" hidden="false" customHeight="true" outlineLevel="0" collapsed="false">
      <c r="B18" s="475" t="s">
        <v>87</v>
      </c>
      <c r="C18" s="478"/>
      <c r="D18" s="479" t="e">
        <f aca="false">C18/$C$6</f>
        <v>#DIV/0!</v>
      </c>
      <c r="E18" s="480" t="n">
        <f aca="false">SUM(E19:E20)</f>
        <v>100000</v>
      </c>
      <c r="F18" s="481" t="n">
        <f aca="false">SUM(F19:F20)</f>
        <v>0.25</v>
      </c>
      <c r="G18" s="498" t="n">
        <f aca="false">(C18-E18)/E18</f>
        <v>-1</v>
      </c>
      <c r="H18" s="202"/>
      <c r="I18" s="203"/>
      <c r="J18" s="475" t="s">
        <v>87</v>
      </c>
      <c r="K18" s="475"/>
      <c r="L18" s="339" t="n">
        <v>49504.0433333333</v>
      </c>
      <c r="M18" s="484" t="n">
        <v>0</v>
      </c>
      <c r="N18" s="339" t="n">
        <v>66668.3525</v>
      </c>
      <c r="O18" s="484" t="n">
        <v>0</v>
      </c>
      <c r="P18" s="339" t="n">
        <v>84147.5383333333</v>
      </c>
      <c r="Q18" s="484" t="n">
        <v>0</v>
      </c>
      <c r="R18" s="339" t="n">
        <v>81089.14</v>
      </c>
      <c r="S18" s="339" t="n">
        <v>78483.43</v>
      </c>
      <c r="T18" s="339" t="n">
        <v>74690.46</v>
      </c>
      <c r="U18" s="339" t="n">
        <v>63710.51</v>
      </c>
      <c r="V18" s="339" t="n">
        <v>83758.79</v>
      </c>
      <c r="W18" s="339" t="n">
        <v>80555.86</v>
      </c>
      <c r="X18" s="339" t="n">
        <f aca="false">AVERAGE(R18:W18)</f>
        <v>77048.0316666667</v>
      </c>
      <c r="Y18" s="484" t="n">
        <f aca="false">X18/$X$6</f>
        <v>0.215988153361524</v>
      </c>
      <c r="Z18" s="339" t="n">
        <v>85120.43</v>
      </c>
      <c r="AA18" s="339" t="n">
        <v>81930.6</v>
      </c>
      <c r="AB18" s="339" t="n">
        <v>97885.42</v>
      </c>
      <c r="AC18" s="339" t="n">
        <v>88879.49</v>
      </c>
      <c r="AD18" s="339" t="n">
        <v>112845.49</v>
      </c>
      <c r="AE18" s="339" t="n">
        <v>117066.05</v>
      </c>
      <c r="AF18" s="485" t="n">
        <f aca="false">IF(Z18="",0,AVERAGE(Z18:AE18))</f>
        <v>97287.9133333333</v>
      </c>
      <c r="AG18" s="486" t="n">
        <f aca="false">AF18/$AF$6</f>
        <v>0.200587572617564</v>
      </c>
      <c r="AH18" s="485" t="n">
        <f aca="false">IF(AF18=0,X18,AVERAGE(X18,AF18))</f>
        <v>87167.9725</v>
      </c>
      <c r="AI18" s="486" t="n">
        <f aca="false">AH18/$AH$6</f>
        <v>0.207114243941026</v>
      </c>
      <c r="AJ18" s="486" t="n">
        <f aca="false">(AH18-P18)/P18</f>
        <v>0.0358945041826635</v>
      </c>
      <c r="AL18" s="120" t="n">
        <v>84147.5383333333</v>
      </c>
      <c r="AM18" s="121" t="n">
        <f aca="false">(AH18-AL18)/AL18</f>
        <v>0.0358945041826635</v>
      </c>
      <c r="AN18" s="175"/>
      <c r="AO18" s="176"/>
    </row>
    <row r="19" s="89" customFormat="true" ht="21.75" hidden="false" customHeight="true" outlineLevel="0" collapsed="false">
      <c r="B19" s="462" t="s">
        <v>88</v>
      </c>
      <c r="C19" s="466"/>
      <c r="D19" s="467" t="e">
        <f aca="false">C19/$C$6</f>
        <v>#DIV/0!</v>
      </c>
      <c r="E19" s="499" t="n">
        <v>56000</v>
      </c>
      <c r="F19" s="469" t="n">
        <f aca="false">E19/E6</f>
        <v>0.14</v>
      </c>
      <c r="G19" s="458" t="n">
        <f aca="false">(C19-E19)/E19</f>
        <v>-1</v>
      </c>
      <c r="H19" s="96"/>
      <c r="I19" s="461"/>
      <c r="J19" s="462" t="s">
        <v>88</v>
      </c>
      <c r="K19" s="462"/>
      <c r="L19" s="346" t="n">
        <v>21181.2966666667</v>
      </c>
      <c r="M19" s="500" t="n">
        <v>0</v>
      </c>
      <c r="N19" s="346" t="n">
        <v>32769.625</v>
      </c>
      <c r="O19" s="500" t="n">
        <v>0</v>
      </c>
      <c r="P19" s="346" t="n">
        <v>38410.1041666667</v>
      </c>
      <c r="Q19" s="500" t="n">
        <v>0</v>
      </c>
      <c r="R19" s="346" t="n">
        <v>40592.28</v>
      </c>
      <c r="S19" s="346" t="n">
        <v>33760.69</v>
      </c>
      <c r="T19" s="346" t="n">
        <v>34911.88</v>
      </c>
      <c r="U19" s="346" t="n">
        <v>34316.24</v>
      </c>
      <c r="V19" s="346" t="n">
        <v>45370.38</v>
      </c>
      <c r="W19" s="346" t="n">
        <v>41638.7</v>
      </c>
      <c r="X19" s="346" t="n">
        <f aca="false">AVERAGE(R19:W19)</f>
        <v>38431.695</v>
      </c>
      <c r="Y19" s="500" t="n">
        <f aca="false">X19/$X$6</f>
        <v>0.107735274400196</v>
      </c>
      <c r="Z19" s="346" t="n">
        <v>39796.09</v>
      </c>
      <c r="AA19" s="346" t="n">
        <v>44552.9</v>
      </c>
      <c r="AB19" s="346" t="n">
        <v>47527.92</v>
      </c>
      <c r="AC19" s="346" t="n">
        <v>50251.6</v>
      </c>
      <c r="AD19" s="346" t="n">
        <v>67064</v>
      </c>
      <c r="AE19" s="346" t="n">
        <v>70373.28</v>
      </c>
      <c r="AF19" s="464" t="n">
        <f aca="false">IF(Z19="",0,AVERAGE(Z19:AE19))</f>
        <v>53260.965</v>
      </c>
      <c r="AG19" s="501" t="n">
        <f aca="false">AF19/$AF$6</f>
        <v>0.109813103381246</v>
      </c>
      <c r="AH19" s="464" t="n">
        <f aca="false">IF(AF19=0,X19,AVERAGE(X19,AF19))</f>
        <v>45846.33</v>
      </c>
      <c r="AI19" s="501" t="n">
        <f aca="false">AH19/$AH$6</f>
        <v>0.108932532248823</v>
      </c>
      <c r="AJ19" s="501" t="n">
        <f aca="false">(AH19-P19)/P19</f>
        <v>0.193600772366212</v>
      </c>
      <c r="AL19" s="120" t="n">
        <v>38410.1041666667</v>
      </c>
      <c r="AM19" s="121" t="n">
        <f aca="false">(AH19-AL19)/AL19</f>
        <v>0.193600772366212</v>
      </c>
    </row>
    <row r="20" s="89" customFormat="true" ht="21.75" hidden="false" customHeight="true" outlineLevel="0" collapsed="false">
      <c r="B20" s="462" t="s">
        <v>89</v>
      </c>
      <c r="C20" s="466"/>
      <c r="D20" s="467" t="e">
        <f aca="false">C20/$C$6</f>
        <v>#DIV/0!</v>
      </c>
      <c r="E20" s="499" t="n">
        <v>44000</v>
      </c>
      <c r="F20" s="469" t="n">
        <f aca="false">E20/E6</f>
        <v>0.11</v>
      </c>
      <c r="G20" s="458" t="n">
        <f aca="false">(C20-E20)/E20</f>
        <v>-1</v>
      </c>
      <c r="H20" s="203"/>
      <c r="I20" s="461"/>
      <c r="J20" s="462" t="s">
        <v>89</v>
      </c>
      <c r="K20" s="462"/>
      <c r="L20" s="346" t="n">
        <v>28322.7466666667</v>
      </c>
      <c r="M20" s="500" t="n">
        <v>0</v>
      </c>
      <c r="N20" s="346" t="n">
        <v>33898.7275</v>
      </c>
      <c r="O20" s="500" t="n">
        <v>0</v>
      </c>
      <c r="P20" s="346" t="n">
        <v>45737.4341666667</v>
      </c>
      <c r="Q20" s="500" t="n">
        <v>0</v>
      </c>
      <c r="R20" s="346" t="n">
        <v>40496.86</v>
      </c>
      <c r="S20" s="346" t="n">
        <v>44722.74</v>
      </c>
      <c r="T20" s="346" t="n">
        <v>39778.58</v>
      </c>
      <c r="U20" s="346" t="n">
        <v>29394.27</v>
      </c>
      <c r="V20" s="346" t="n">
        <v>38388.41</v>
      </c>
      <c r="W20" s="346" t="n">
        <v>38917.16</v>
      </c>
      <c r="X20" s="346" t="n">
        <f aca="false">AVERAGE(R20:W20)</f>
        <v>38616.3366666667</v>
      </c>
      <c r="Y20" s="500" t="n">
        <f aca="false">X20/$X$6</f>
        <v>0.108252878961328</v>
      </c>
      <c r="Z20" s="346" t="n">
        <v>45324.34</v>
      </c>
      <c r="AA20" s="346" t="n">
        <v>37377.7</v>
      </c>
      <c r="AB20" s="346" t="n">
        <v>50357.5</v>
      </c>
      <c r="AC20" s="346" t="n">
        <v>38627.89</v>
      </c>
      <c r="AD20" s="346" t="n">
        <v>45781.49</v>
      </c>
      <c r="AE20" s="346" t="n">
        <v>46692.77</v>
      </c>
      <c r="AF20" s="464" t="n">
        <f aca="false">IF(Z20="",0,AVERAGE(Z20:AE20))</f>
        <v>44026.9483333333</v>
      </c>
      <c r="AG20" s="501" t="n">
        <f aca="false">AF20/$AF$6</f>
        <v>0.0907744692363182</v>
      </c>
      <c r="AH20" s="464" t="n">
        <f aca="false">IF(AF20=0,X20,AVERAGE(X20,AF20))</f>
        <v>41321.6425</v>
      </c>
      <c r="AI20" s="501" t="n">
        <f aca="false">AH20/$AH$6</f>
        <v>0.0981817116922031</v>
      </c>
      <c r="AJ20" s="501" t="n">
        <f aca="false">(AH20-P20)/P20</f>
        <v>-0.0965465541983743</v>
      </c>
      <c r="AL20" s="120" t="n">
        <v>45737.4341666667</v>
      </c>
      <c r="AM20" s="121" t="n">
        <f aca="false">(AH20-AL20)/AL20</f>
        <v>-0.0965465541983743</v>
      </c>
    </row>
    <row r="21" customFormat="false" ht="21.75" hidden="false" customHeight="true" outlineLevel="0" collapsed="false">
      <c r="B21" s="490"/>
      <c r="C21" s="491"/>
      <c r="D21" s="496"/>
      <c r="E21" s="493"/>
      <c r="F21" s="497"/>
      <c r="G21" s="467"/>
      <c r="H21" s="461"/>
      <c r="I21" s="96"/>
      <c r="J21" s="475"/>
      <c r="K21" s="475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72"/>
      <c r="AA21" s="372"/>
      <c r="AB21" s="372"/>
      <c r="AC21" s="372"/>
      <c r="AD21" s="372"/>
      <c r="AE21" s="372"/>
      <c r="AF21" s="476"/>
      <c r="AG21" s="495"/>
      <c r="AH21" s="476"/>
      <c r="AI21" s="476"/>
      <c r="AJ21" s="476"/>
    </row>
    <row r="22" s="119" customFormat="true" ht="21.75" hidden="false" customHeight="true" outlineLevel="0" collapsed="false">
      <c r="B22" s="475" t="s">
        <v>90</v>
      </c>
      <c r="C22" s="478"/>
      <c r="D22" s="479" t="e">
        <f aca="false">C22/$C$6</f>
        <v>#DIV/0!</v>
      </c>
      <c r="E22" s="480" t="n">
        <f aca="false">E16-E18</f>
        <v>120000</v>
      </c>
      <c r="F22" s="481" t="n">
        <f aca="false">E22/$E$6</f>
        <v>0.3</v>
      </c>
      <c r="G22" s="498" t="n">
        <f aca="false">IF(C22&lt;0,(-C22-E22)/E22,(C22-E22)/E22)</f>
        <v>-1</v>
      </c>
      <c r="H22" s="461"/>
      <c r="I22" s="203"/>
      <c r="J22" s="475" t="s">
        <v>90</v>
      </c>
      <c r="K22" s="475"/>
      <c r="L22" s="339" t="n">
        <v>27331.89025</v>
      </c>
      <c r="M22" s="484" t="n">
        <v>0</v>
      </c>
      <c r="N22" s="339" t="n">
        <v>32565.5705</v>
      </c>
      <c r="O22" s="484" t="n">
        <v>0</v>
      </c>
      <c r="P22" s="339" t="n">
        <v>38236.8741666667</v>
      </c>
      <c r="Q22" s="484" t="n">
        <v>0</v>
      </c>
      <c r="R22" s="339" t="n">
        <v>68635.33</v>
      </c>
      <c r="S22" s="339" t="n">
        <v>7513.8400000001</v>
      </c>
      <c r="T22" s="339" t="n">
        <v>109252.17</v>
      </c>
      <c r="U22" s="339" t="n">
        <v>105433.91</v>
      </c>
      <c r="V22" s="339" t="n">
        <v>177702.36</v>
      </c>
      <c r="W22" s="339" t="n">
        <v>138631.23</v>
      </c>
      <c r="X22" s="339" t="n">
        <f aca="false">AVERAGE(R22:W22)</f>
        <v>101194.806666667</v>
      </c>
      <c r="Y22" s="484" t="n">
        <f aca="false">X22/$X$6</f>
        <v>0.283678621619684</v>
      </c>
      <c r="Z22" s="339" t="n">
        <v>135604.16</v>
      </c>
      <c r="AA22" s="339" t="n">
        <v>106211.4</v>
      </c>
      <c r="AB22" s="339" t="n">
        <v>81846.83</v>
      </c>
      <c r="AC22" s="339" t="n">
        <v>121846.31</v>
      </c>
      <c r="AD22" s="339" t="n">
        <v>8714.97000000007</v>
      </c>
      <c r="AE22" s="339" t="n">
        <v>163322.45</v>
      </c>
      <c r="AF22" s="485" t="n">
        <f aca="false">IF(Z22="",0,AVERAGE(Z22:AE22))</f>
        <v>102924.353333333</v>
      </c>
      <c r="AG22" s="486" t="n">
        <f aca="false">AF22/$AF$6</f>
        <v>0.212208747119795</v>
      </c>
      <c r="AH22" s="485" t="n">
        <f aca="false">IF(AF22=0,X22,AVERAGE(X22,AF22))</f>
        <v>102059.58</v>
      </c>
      <c r="AI22" s="479" t="n">
        <f aca="false">AH22/$AH$6</f>
        <v>0.24249724001139</v>
      </c>
      <c r="AJ22" s="486" t="n">
        <f aca="false">(AH22-P22)/P22</f>
        <v>1.66914025333617</v>
      </c>
      <c r="AL22" s="120" t="n">
        <v>38236.8741666667</v>
      </c>
      <c r="AM22" s="121" t="n">
        <f aca="false">(AH22-AL22)/AL22</f>
        <v>1.66914025333617</v>
      </c>
      <c r="AN22" s="176"/>
      <c r="AO22" s="182"/>
    </row>
    <row r="23" s="119" customFormat="true" ht="21.75" hidden="false" customHeight="true" outlineLevel="0" collapsed="false">
      <c r="B23" s="475"/>
      <c r="C23" s="502"/>
      <c r="D23" s="479"/>
      <c r="E23" s="503"/>
      <c r="F23" s="481"/>
      <c r="G23" s="504"/>
      <c r="H23" s="96"/>
      <c r="I23" s="203"/>
      <c r="J23" s="475"/>
      <c r="K23" s="475"/>
      <c r="L23" s="372"/>
      <c r="M23" s="372"/>
      <c r="N23" s="372"/>
      <c r="O23" s="372"/>
      <c r="P23" s="372"/>
      <c r="Q23" s="372"/>
      <c r="R23" s="372"/>
      <c r="S23" s="372"/>
      <c r="T23" s="372"/>
      <c r="U23" s="372"/>
      <c r="V23" s="372"/>
      <c r="W23" s="372"/>
      <c r="X23" s="505"/>
      <c r="Y23" s="372"/>
      <c r="Z23" s="372"/>
      <c r="AA23" s="372"/>
      <c r="AB23" s="372"/>
      <c r="AC23" s="372"/>
      <c r="AD23" s="372"/>
      <c r="AE23" s="372"/>
      <c r="AF23" s="476"/>
      <c r="AG23" s="495"/>
      <c r="AH23" s="476"/>
      <c r="AI23" s="477"/>
      <c r="AJ23" s="476"/>
    </row>
    <row r="24" s="119" customFormat="true" ht="21.75" hidden="false" customHeight="true" outlineLevel="0" collapsed="false">
      <c r="B24" s="475" t="s">
        <v>29</v>
      </c>
      <c r="C24" s="478"/>
      <c r="D24" s="479" t="e">
        <f aca="false">C24/$C$6</f>
        <v>#DIV/0!</v>
      </c>
      <c r="E24" s="468" t="n">
        <f aca="false">F24*$E$6</f>
        <v>20000</v>
      </c>
      <c r="F24" s="481" t="n">
        <v>0.05</v>
      </c>
      <c r="G24" s="479" t="n">
        <f aca="false">IF(C24&lt;0,(-C24-E24)/E24,(C24-E24)/E24)</f>
        <v>-1</v>
      </c>
      <c r="H24" s="202"/>
      <c r="I24" s="203"/>
      <c r="J24" s="475" t="s">
        <v>29</v>
      </c>
      <c r="K24" s="475"/>
      <c r="L24" s="372" t="n">
        <v>17430.9591666667</v>
      </c>
      <c r="M24" s="506" t="n">
        <v>0</v>
      </c>
      <c r="N24" s="372" t="n">
        <v>29436.8533333333</v>
      </c>
      <c r="O24" s="506" t="n">
        <v>0</v>
      </c>
      <c r="P24" s="372" t="n">
        <v>38011.135</v>
      </c>
      <c r="Q24" s="506" t="n">
        <v>0</v>
      </c>
      <c r="R24" s="372" t="n">
        <v>14287.88</v>
      </c>
      <c r="S24" s="372" t="n">
        <v>38609.99</v>
      </c>
      <c r="T24" s="372" t="n">
        <v>21549.37</v>
      </c>
      <c r="U24" s="372" t="n">
        <v>62527.25</v>
      </c>
      <c r="V24" s="372" t="n">
        <v>9432.97</v>
      </c>
      <c r="W24" s="372" t="n">
        <v>17392.18</v>
      </c>
      <c r="X24" s="372" t="n">
        <f aca="false">AVERAGE(R24:W24)</f>
        <v>27299.94</v>
      </c>
      <c r="Y24" s="506" t="n">
        <f aca="false">X24/$X$6</f>
        <v>0.0765297114011986</v>
      </c>
      <c r="Z24" s="372" t="n">
        <v>48794.88</v>
      </c>
      <c r="AA24" s="372" t="n">
        <v>98624.41</v>
      </c>
      <c r="AB24" s="372" t="n">
        <v>34355.74</v>
      </c>
      <c r="AC24" s="372" t="n">
        <v>92548.58</v>
      </c>
      <c r="AD24" s="372" t="n">
        <v>14420.59</v>
      </c>
      <c r="AE24" s="372" t="n">
        <v>131128.91</v>
      </c>
      <c r="AF24" s="476" t="n">
        <f aca="false">IF(Z24="",0,AVERAGE(Z24:AE24))</f>
        <v>69978.8516666667</v>
      </c>
      <c r="AG24" s="495" t="n">
        <f aca="false">AF24/$AF$6</f>
        <v>0.144281930914556</v>
      </c>
      <c r="AH24" s="476" t="n">
        <f aca="false">IF(AF24=0,X24,AVERAGE(X24,AF24))</f>
        <v>48639.3958333333</v>
      </c>
      <c r="AI24" s="495" t="n">
        <f aca="false">AH24/$AH$6</f>
        <v>0.115568957322819</v>
      </c>
      <c r="AJ24" s="495" t="n">
        <f aca="false">(AH24-P24)/P24</f>
        <v>0.279609141724743</v>
      </c>
      <c r="AL24" s="120" t="n">
        <v>38011.135</v>
      </c>
      <c r="AM24" s="121" t="n">
        <f aca="false">(AH24-AL24)/AL24</f>
        <v>0.279609141724743</v>
      </c>
    </row>
    <row r="25" s="119" customFormat="true" ht="21.75" hidden="false" customHeight="true" outlineLevel="0" collapsed="false">
      <c r="B25" s="475"/>
      <c r="C25" s="478"/>
      <c r="D25" s="479"/>
      <c r="E25" s="480"/>
      <c r="F25" s="481"/>
      <c r="G25" s="96"/>
      <c r="H25" s="203"/>
      <c r="I25" s="203"/>
      <c r="J25" s="475"/>
      <c r="K25" s="475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372"/>
      <c r="AB25" s="372"/>
      <c r="AC25" s="372"/>
      <c r="AD25" s="372"/>
      <c r="AE25" s="372"/>
      <c r="AF25" s="476"/>
      <c r="AG25" s="495"/>
      <c r="AH25" s="476"/>
      <c r="AI25" s="477"/>
      <c r="AJ25" s="476"/>
    </row>
    <row r="26" s="119" customFormat="true" ht="21.75" hidden="false" customHeight="true" outlineLevel="0" collapsed="false">
      <c r="B26" s="507" t="s">
        <v>92</v>
      </c>
      <c r="C26" s="508"/>
      <c r="D26" s="509" t="e">
        <f aca="false">C26/$C$6</f>
        <v>#DIV/0!</v>
      </c>
      <c r="E26" s="510" t="n">
        <f aca="false">E22-E24</f>
        <v>100000</v>
      </c>
      <c r="F26" s="511" t="n">
        <f aca="false">E26/$E$6</f>
        <v>0.25</v>
      </c>
      <c r="G26" s="509" t="n">
        <f aca="false">IF(C26&lt;0,(-C26-E26)/E26,(C26-E26)/E26)</f>
        <v>-1</v>
      </c>
      <c r="H26" s="202"/>
      <c r="I26" s="203"/>
      <c r="J26" s="507" t="s">
        <v>92</v>
      </c>
      <c r="K26" s="507"/>
      <c r="L26" s="512" t="n">
        <v>9900.93108333334</v>
      </c>
      <c r="M26" s="513" t="n">
        <v>0</v>
      </c>
      <c r="N26" s="512" t="n">
        <v>3128.71716666668</v>
      </c>
      <c r="O26" s="513" t="n">
        <v>0</v>
      </c>
      <c r="P26" s="512" t="n">
        <v>225.739166666676</v>
      </c>
      <c r="Q26" s="513" t="n">
        <v>0</v>
      </c>
      <c r="R26" s="512" t="n">
        <v>54347.45</v>
      </c>
      <c r="S26" s="512" t="n">
        <v>-31096.1499999999</v>
      </c>
      <c r="T26" s="512" t="n">
        <v>87702.8</v>
      </c>
      <c r="U26" s="512" t="n">
        <v>42906.66</v>
      </c>
      <c r="V26" s="512" t="n">
        <v>168269.39</v>
      </c>
      <c r="W26" s="512" t="n">
        <v>121239.05</v>
      </c>
      <c r="X26" s="512" t="n">
        <f aca="false">AVERAGE(R26:W26)</f>
        <v>73894.8666666667</v>
      </c>
      <c r="Y26" s="513" t="n">
        <f aca="false">X26/$X$6</f>
        <v>0.207148910218486</v>
      </c>
      <c r="Z26" s="512" t="n">
        <v>86809.28</v>
      </c>
      <c r="AA26" s="512" t="n">
        <v>7586.99000000011</v>
      </c>
      <c r="AB26" s="512" t="n">
        <v>47491.09</v>
      </c>
      <c r="AC26" s="512" t="n">
        <v>29297.7299999998</v>
      </c>
      <c r="AD26" s="512" t="n">
        <v>-5705.61999999992</v>
      </c>
      <c r="AE26" s="512" t="n">
        <v>32193.54</v>
      </c>
      <c r="AF26" s="514" t="n">
        <f aca="false">IF(Z26="",0,AVERAGE(Z26:AE26))</f>
        <v>32945.5016666667</v>
      </c>
      <c r="AG26" s="515" t="n">
        <f aca="false">AF26/$AF$6</f>
        <v>0.0679268162052394</v>
      </c>
      <c r="AH26" s="514" t="n">
        <f aca="false">IF(AF26=0,X26,AVERAGE(X26,AF26))</f>
        <v>53420.1841666667</v>
      </c>
      <c r="AI26" s="515" t="n">
        <f aca="false">AH26/$AH$6</f>
        <v>0.126928282688571</v>
      </c>
      <c r="AJ26" s="515" t="n">
        <f aca="false">(AH26-P26)/P26</f>
        <v>235.645616068683</v>
      </c>
      <c r="AL26" s="120" t="n">
        <v>225.739166666676</v>
      </c>
      <c r="AM26" s="121" t="n">
        <f aca="false">(AH26-AL26)/AL26</f>
        <v>235.645616068683</v>
      </c>
    </row>
    <row r="27" s="119" customFormat="true" ht="21.75" hidden="false" customHeight="true" outlineLevel="0" collapsed="false">
      <c r="B27" s="199"/>
      <c r="C27" s="200"/>
      <c r="D27" s="201"/>
      <c r="E27" s="200"/>
      <c r="F27" s="201"/>
      <c r="G27" s="201"/>
      <c r="H27" s="202"/>
      <c r="I27" s="203"/>
      <c r="J27" s="199"/>
      <c r="K27" s="199"/>
      <c r="L27" s="204"/>
      <c r="M27" s="205"/>
      <c r="N27" s="204"/>
      <c r="O27" s="205"/>
      <c r="P27" s="204"/>
      <c r="Q27" s="205"/>
      <c r="R27" s="204"/>
      <c r="S27" s="204"/>
      <c r="T27" s="204"/>
      <c r="U27" s="204"/>
      <c r="V27" s="204"/>
      <c r="W27" s="204"/>
      <c r="X27" s="204"/>
      <c r="Y27" s="205"/>
      <c r="Z27" s="204"/>
      <c r="AA27" s="204"/>
      <c r="AB27" s="204"/>
      <c r="AC27" s="204"/>
      <c r="AD27" s="204"/>
      <c r="AE27" s="204"/>
      <c r="AF27" s="204"/>
      <c r="AG27" s="205"/>
      <c r="AH27" s="204"/>
      <c r="AI27" s="205"/>
      <c r="AJ27" s="205"/>
    </row>
    <row r="28" s="119" customFormat="true" ht="21.75" hidden="false" customHeight="true" outlineLevel="0" collapsed="false">
      <c r="B28" s="199"/>
      <c r="C28" s="200"/>
      <c r="D28" s="201"/>
      <c r="E28" s="200"/>
      <c r="F28" s="201"/>
      <c r="G28" s="201"/>
      <c r="H28" s="202"/>
      <c r="I28" s="203"/>
      <c r="J28" s="199"/>
      <c r="K28" s="199"/>
      <c r="L28" s="204"/>
      <c r="M28" s="205"/>
      <c r="N28" s="204"/>
      <c r="O28" s="205"/>
      <c r="P28" s="204"/>
      <c r="Q28" s="205"/>
      <c r="R28" s="204"/>
      <c r="S28" s="204"/>
      <c r="T28" s="204"/>
      <c r="U28" s="204"/>
      <c r="V28" s="204"/>
      <c r="W28" s="204"/>
      <c r="X28" s="204"/>
      <c r="Y28" s="205"/>
      <c r="Z28" s="204"/>
      <c r="AA28" s="204"/>
      <c r="AB28" s="204"/>
      <c r="AC28" s="204"/>
      <c r="AD28" s="204"/>
      <c r="AE28" s="204"/>
      <c r="AF28" s="204"/>
      <c r="AG28" s="205"/>
      <c r="AH28" s="204"/>
      <c r="AI28" s="205"/>
      <c r="AJ28" s="205"/>
    </row>
    <row r="29" s="119" customFormat="true" ht="21.75" hidden="false" customHeight="true" outlineLevel="0" collapsed="false">
      <c r="B29" s="199"/>
      <c r="C29" s="200"/>
      <c r="D29" s="201"/>
      <c r="E29" s="200"/>
      <c r="F29" s="201"/>
      <c r="G29" s="201"/>
      <c r="H29" s="202"/>
      <c r="I29" s="203"/>
      <c r="J29" s="199"/>
      <c r="K29" s="199"/>
      <c r="L29" s="204"/>
      <c r="M29" s="205"/>
      <c r="N29" s="204"/>
      <c r="O29" s="205"/>
      <c r="P29" s="204"/>
      <c r="Q29" s="205"/>
      <c r="R29" s="204"/>
      <c r="S29" s="204"/>
      <c r="T29" s="204"/>
      <c r="U29" s="204"/>
      <c r="V29" s="204"/>
      <c r="W29" s="204"/>
      <c r="X29" s="204"/>
      <c r="Y29" s="205"/>
      <c r="Z29" s="204"/>
      <c r="AA29" s="204"/>
      <c r="AB29" s="204"/>
      <c r="AC29" s="204"/>
      <c r="AD29" s="204"/>
      <c r="AE29" s="204"/>
      <c r="AF29" s="204"/>
      <c r="AG29" s="205"/>
      <c r="AH29" s="204"/>
      <c r="AI29" s="205"/>
      <c r="AJ29" s="205"/>
    </row>
    <row r="30" customFormat="false" ht="16.8" hidden="false" customHeight="false" outlineLevel="0" collapsed="false">
      <c r="B30" s="206"/>
      <c r="C30" s="206"/>
      <c r="D30" s="207"/>
      <c r="H30" s="119"/>
      <c r="J30" s="206"/>
      <c r="K30" s="206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</row>
    <row r="31" customFormat="false" ht="20.25" hidden="false" customHeight="true" outlineLevel="0" collapsed="false">
      <c r="B31" s="209" t="s">
        <v>93</v>
      </c>
      <c r="C31" s="209"/>
      <c r="D31" s="209"/>
      <c r="G31" s="210"/>
      <c r="H31" s="211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</row>
    <row r="32" customFormat="false" ht="20.25" hidden="false" customHeight="true" outlineLevel="0" collapsed="false">
      <c r="B32" s="212" t="s">
        <v>94</v>
      </c>
      <c r="C32" s="213" t="n">
        <f aca="false">'R.T - Fluxo de Caixa'!F6</f>
        <v>18413.05</v>
      </c>
      <c r="D32" s="213"/>
      <c r="E32" s="119"/>
      <c r="G32" s="207"/>
      <c r="J32" s="206"/>
      <c r="K32" s="206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</row>
    <row r="33" customFormat="false" ht="20.25" hidden="false" customHeight="true" outlineLevel="0" collapsed="false">
      <c r="B33" s="212" t="s">
        <v>95</v>
      </c>
      <c r="C33" s="213" t="n">
        <f aca="false">'R.T - Fluxo de Caixa'!F122</f>
        <v>22761.98</v>
      </c>
      <c r="D33" s="213"/>
      <c r="E33" s="119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</row>
    <row r="34" customFormat="false" ht="20.25" hidden="false" customHeight="true" outlineLevel="0" collapsed="false">
      <c r="B34" s="215" t="str">
        <f aca="false">IF(C34&gt;=0.01,"Ganho de Caixa","Perda de Caixa")</f>
        <v>Ganho de Caixa</v>
      </c>
      <c r="C34" s="216" t="n">
        <f aca="false">C33-C32</f>
        <v>4348.93</v>
      </c>
      <c r="D34" s="216"/>
      <c r="E34" s="119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</row>
    <row r="35" customFormat="false" ht="20.25" hidden="false" customHeight="true" outlineLevel="0" collapsed="false">
      <c r="B35" s="206"/>
      <c r="C35" s="206"/>
      <c r="D35" s="206"/>
      <c r="J35" s="206"/>
      <c r="K35" s="206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</row>
    <row r="36" customFormat="false" ht="20.25" hidden="false" customHeight="true" outlineLevel="0" collapsed="false">
      <c r="B36" s="217" t="s">
        <v>96</v>
      </c>
      <c r="C36" s="217"/>
      <c r="D36" s="217"/>
      <c r="E36" s="217"/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</row>
    <row r="37" customFormat="false" ht="20.25" hidden="false" customHeight="true" outlineLevel="0" collapsed="false">
      <c r="B37" s="212" t="s">
        <v>98</v>
      </c>
      <c r="C37" s="219" t="e">
        <f aca="false">(C18*C6)/C16</f>
        <v>#DIV/0!</v>
      </c>
      <c r="D37" s="220" t="e">
        <f aca="false">C37/C6*30</f>
        <v>#DIV/0!</v>
      </c>
      <c r="E37" s="221" t="e">
        <f aca="false">C37/F37</f>
        <v>#DIV/0!</v>
      </c>
      <c r="F37" s="516" t="n">
        <v>60</v>
      </c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</row>
    <row r="38" customFormat="false" ht="20.25" hidden="false" customHeight="true" outlineLevel="0" collapsed="false">
      <c r="B38" s="212" t="s">
        <v>99</v>
      </c>
      <c r="C38" s="219" t="e">
        <f aca="false">(C24+C18)*C6/C16</f>
        <v>#DIV/0!</v>
      </c>
      <c r="D38" s="223" t="e">
        <f aca="false">C38/C6*30</f>
        <v>#DIV/0!</v>
      </c>
      <c r="E38" s="221" t="e">
        <f aca="false">C38/F38</f>
        <v>#DIV/0!</v>
      </c>
      <c r="F38" s="516" t="n">
        <v>60</v>
      </c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</row>
    <row r="39" customFormat="false" ht="16.8" hidden="false" customHeight="false" outlineLevel="0" collapsed="false">
      <c r="E39" s="206"/>
      <c r="F39" s="206"/>
      <c r="G39" s="225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</row>
    <row r="40" customFormat="false" ht="16.8" hidden="false" customHeight="false" outlineLevel="0" collapsed="false">
      <c r="C40" s="226"/>
      <c r="G40" s="225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</row>
    <row r="41" customFormat="false" ht="16.8" hidden="true" customHeight="false" outlineLevel="0" collapsed="false">
      <c r="A41" s="227" t="s">
        <v>100</v>
      </c>
      <c r="B41" s="88" t="s">
        <v>101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</row>
    <row r="42" customFormat="false" ht="16.8" hidden="true" customHeight="false" outlineLevel="0" collapsed="false">
      <c r="A42" s="227" t="s">
        <v>102</v>
      </c>
      <c r="B42" s="88" t="s">
        <v>103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</row>
    <row r="43" customFormat="false" ht="16.8" hidden="true" customHeight="false" outlineLevel="0" collapsed="false">
      <c r="A43" s="227" t="s">
        <v>104</v>
      </c>
      <c r="B43" s="88" t="s">
        <v>105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</row>
    <row r="44" customFormat="false" ht="16.8" hidden="true" customHeight="false" outlineLevel="0" collapsed="false">
      <c r="A44" s="227" t="s">
        <v>106</v>
      </c>
      <c r="B44" s="228" t="n">
        <f aca="false">C6</f>
        <v>0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</row>
    <row r="45" customFormat="false" ht="16.8" hidden="true" customHeight="false" outlineLevel="0" collapsed="false">
      <c r="A45" s="227" t="s">
        <v>107</v>
      </c>
      <c r="B45" s="228" t="s">
        <v>108</v>
      </c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</row>
    <row r="46" customFormat="false" ht="16.8" hidden="true" customHeight="false" outlineLevel="0" collapsed="false">
      <c r="A46" s="227" t="s">
        <v>109</v>
      </c>
      <c r="B46" s="229" t="e">
        <f aca="false">D10</f>
        <v>#DIV/0!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</row>
    <row r="47" customFormat="false" ht="16.8" hidden="true" customHeight="false" outlineLevel="0" collapsed="false">
      <c r="A47" s="227" t="s">
        <v>110</v>
      </c>
      <c r="B47" s="88" t="s">
        <v>111</v>
      </c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</row>
    <row r="48" customFormat="false" ht="16.8" hidden="true" customHeight="false" outlineLevel="0" collapsed="false">
      <c r="A48" s="227" t="s">
        <v>112</v>
      </c>
      <c r="B48" s="179" t="e">
        <f aca="false">D16</f>
        <v>#DIV/0!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</row>
    <row r="49" customFormat="false" ht="16.8" hidden="true" customHeight="false" outlineLevel="0" collapsed="false">
      <c r="A49" s="227" t="s">
        <v>113</v>
      </c>
      <c r="B49" s="88" t="s">
        <v>114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</row>
    <row r="50" customFormat="false" ht="16.8" hidden="true" customHeight="false" outlineLevel="0" collapsed="false">
      <c r="A50" s="227" t="s">
        <v>115</v>
      </c>
      <c r="B50" s="228" t="n">
        <f aca="false">C18</f>
        <v>0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</row>
    <row r="51" customFormat="false" ht="16.8" hidden="true" customHeight="false" outlineLevel="0" collapsed="false">
      <c r="A51" s="89" t="s">
        <v>116</v>
      </c>
      <c r="B51" s="88" t="s">
        <v>117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</row>
    <row r="52" customFormat="false" ht="16.8" hidden="true" customHeight="false" outlineLevel="0" collapsed="false">
      <c r="A52" s="88" t="s">
        <v>118</v>
      </c>
      <c r="B52" s="179" t="e">
        <f aca="false">D22</f>
        <v>#DIV/0!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</row>
    <row r="53" customFormat="false" ht="16.8" hidden="true" customHeight="false" outlineLevel="0" collapsed="false">
      <c r="A53" s="88" t="s">
        <v>119</v>
      </c>
      <c r="B53" s="88" t="s">
        <v>120</v>
      </c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</row>
    <row r="54" customFormat="false" ht="16.8" hidden="true" customHeight="false" outlineLevel="0" collapsed="false">
      <c r="A54" s="88" t="s">
        <v>121</v>
      </c>
      <c r="B54" s="228" t="n">
        <f aca="false">C24</f>
        <v>0</v>
      </c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</row>
    <row r="55" customFormat="false" ht="16.8" hidden="true" customHeight="false" outlineLevel="0" collapsed="false">
      <c r="A55" s="88" t="s">
        <v>122</v>
      </c>
      <c r="B55" s="88" t="s">
        <v>123</v>
      </c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</row>
    <row r="56" customFormat="false" ht="16.8" hidden="true" customHeight="false" outlineLevel="0" collapsed="false">
      <c r="A56" s="88" t="s">
        <v>124</v>
      </c>
      <c r="B56" s="88" t="e">
        <f aca="false">IF(D26&lt;0,"Prejuízo Líquido","Lucro Líquido")</f>
        <v>#DIV/0!</v>
      </c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</row>
    <row r="57" customFormat="false" ht="16.8" hidden="true" customHeight="false" outlineLevel="0" collapsed="false">
      <c r="A57" s="88" t="s">
        <v>125</v>
      </c>
      <c r="B57" s="179" t="e">
        <f aca="false">D26</f>
        <v>#DIV/0!</v>
      </c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</row>
    <row r="58" customFormat="false" ht="16.8" hidden="true" customHeight="false" outlineLevel="0" collapsed="false">
      <c r="A58" s="88" t="s">
        <v>126</v>
      </c>
      <c r="B58" s="88" t="s">
        <v>127</v>
      </c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</row>
    <row r="59" customFormat="false" ht="16.8" hidden="true" customHeight="false" outlineLevel="0" collapsed="false">
      <c r="A59" s="88" t="s">
        <v>128</v>
      </c>
      <c r="B59" s="88" t="e">
        <f aca="false">IF(D22&gt;=15%,"Excelente",IF(D22&lt;5%,"Ruim","Mediano"))</f>
        <v>#DIV/0!</v>
      </c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</row>
    <row r="60" customFormat="false" ht="16.8" hidden="true" customHeight="false" outlineLevel="0" collapsed="false">
      <c r="A60" s="88" t="s">
        <v>129</v>
      </c>
      <c r="B60" s="88" t="s">
        <v>130</v>
      </c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</row>
    <row r="61" customFormat="false" ht="16.8" hidden="true" customHeight="false" outlineLevel="0" collapsed="false">
      <c r="A61" s="88" t="s">
        <v>131</v>
      </c>
      <c r="B61" s="88" t="e">
        <f aca="false">IF(D26&gt;=13%,"Excelente",IF(D26&lt;5%,"Ruim","Mediano"))</f>
        <v>#DIV/0!</v>
      </c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</row>
    <row r="62" customFormat="false" ht="16.8" hidden="true" customHeight="false" outlineLevel="0" collapsed="false">
      <c r="A62" s="88" t="s">
        <v>132</v>
      </c>
      <c r="B62" s="88" t="s">
        <v>133</v>
      </c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</row>
    <row r="63" customFormat="false" ht="16.8" hidden="true" customHeight="false" outlineLevel="0" collapsed="false"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</row>
    <row r="64" customFormat="false" ht="16.8" hidden="true" customHeight="false" outlineLevel="0" collapsed="false">
      <c r="B64" s="230" t="e">
        <f aca="false">B41&amp;B42&amp;B43&amp;B44&amp;B45&amp;B46&amp;B47&amp;B48&amp;B49&amp;B50&amp;B51&amp;B52&amp;B53&amp;B54&amp;B55&amp;B56&amp;B57&amp;B58&amp;B59&amp;B60&amp;B61&amp;B62</f>
        <v>#DIV/0!</v>
      </c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</row>
    <row r="65" customFormat="false" ht="16.8" hidden="true" customHeight="false" outlineLevel="0" collapsed="false"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</row>
    <row r="66" customFormat="false" ht="16.8" hidden="true" customHeight="false" outlineLevel="0" collapsed="false"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</row>
    <row r="67" customFormat="false" ht="16.8" hidden="true" customHeight="false" outlineLevel="0" collapsed="false"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</row>
    <row r="68" customFormat="false" ht="16.8" hidden="true" customHeight="false" outlineLevel="0" collapsed="false"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</row>
    <row r="69" customFormat="false" ht="16.8" hidden="true" customHeight="false" outlineLevel="0" collapsed="false"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</row>
    <row r="70" customFormat="false" ht="16.8" hidden="false" customHeight="false" outlineLevel="0" collapsed="false"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</row>
    <row r="71" customFormat="false" ht="16.8" hidden="false" customHeight="false" outlineLevel="0" collapsed="false">
      <c r="B71" s="215" t="s">
        <v>134</v>
      </c>
      <c r="C71" s="231" t="s">
        <v>76</v>
      </c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</row>
    <row r="72" customFormat="false" ht="16.8" hidden="false" customHeight="false" outlineLevel="0" collapsed="false">
      <c r="B72" s="232" t="e">
        <f aca="false">C37</f>
        <v>#DIV/0!</v>
      </c>
      <c r="C72" s="231" t="n">
        <f aca="false">C6</f>
        <v>0</v>
      </c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</row>
    <row r="73" customFormat="false" ht="16.8" hidden="false" customHeight="false" outlineLevel="0" collapsed="false"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</row>
    <row r="74" customFormat="false" ht="16.8" hidden="false" customHeight="false" outlineLevel="0" collapsed="false"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</row>
    <row r="75" customFormat="false" ht="16.8" hidden="false" customHeight="false" outlineLevel="0" collapsed="false"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</row>
    <row r="76" customFormat="false" ht="16.8" hidden="false" customHeight="false" outlineLevel="0" collapsed="false"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</row>
    <row r="77" customFormat="false" ht="16.8" hidden="false" customHeight="false" outlineLevel="0" collapsed="false"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</row>
    <row r="78" customFormat="false" ht="16.8" hidden="false" customHeight="false" outlineLevel="0" collapsed="false"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</row>
    <row r="79" customFormat="false" ht="16.8" hidden="false" customHeight="false" outlineLevel="0" collapsed="false"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</row>
    <row r="80" customFormat="false" ht="16.8" hidden="false" customHeight="false" outlineLevel="0" collapsed="false"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</row>
    <row r="81" customFormat="false" ht="16.8" hidden="false" customHeight="false" outlineLevel="0" collapsed="false"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</row>
    <row r="82" customFormat="false" ht="16.8" hidden="false" customHeight="false" outlineLevel="0" collapsed="false"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</row>
    <row r="83" customFormat="false" ht="16.8" hidden="false" customHeight="false" outlineLevel="0" collapsed="false"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</row>
    <row r="84" customFormat="false" ht="16.8" hidden="false" customHeight="false" outlineLevel="0" collapsed="false"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</row>
    <row r="85" customFormat="false" ht="16.8" hidden="false" customHeight="false" outlineLevel="0" collapsed="false"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</row>
    <row r="86" customFormat="false" ht="16.8" hidden="false" customHeight="false" outlineLevel="0" collapsed="false"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</row>
    <row r="87" customFormat="false" ht="16.8" hidden="false" customHeight="false" outlineLevel="0" collapsed="false"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</row>
    <row r="88" customFormat="false" ht="16.8" hidden="false" customHeight="false" outlineLevel="0" collapsed="false"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</row>
    <row r="89" customFormat="false" ht="16.8" hidden="false" customHeight="false" outlineLevel="0" collapsed="false"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</row>
    <row r="90" customFormat="false" ht="16.8" hidden="false" customHeight="false" outlineLevel="0" collapsed="false"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</row>
    <row r="91" customFormat="false" ht="16.8" hidden="false" customHeight="false" outlineLevel="0" collapsed="false"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</row>
  </sheetData>
  <mergeCells count="9">
    <mergeCell ref="F1:G2"/>
    <mergeCell ref="B4:G4"/>
    <mergeCell ref="C5:D5"/>
    <mergeCell ref="E5:F5"/>
    <mergeCell ref="B31:D31"/>
    <mergeCell ref="C32:D32"/>
    <mergeCell ref="C33:D33"/>
    <mergeCell ref="C34:D34"/>
    <mergeCell ref="B36:E36"/>
  </mergeCells>
  <hyperlinks>
    <hyperlink ref="F1" location="Menu!A1" display="MENU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T150"/>
  <sheetViews>
    <sheetView showFormulas="false" showGridLines="true" showRowColHeaders="true" showZeros="true" rightToLeft="false" tabSelected="false" showOutlineSymbols="true" defaultGridColor="true" view="normal" topLeftCell="A116" colorId="64" zoomScale="80" zoomScaleNormal="80" zoomScalePageLayoutView="100" workbookViewId="0">
      <selection pane="topLeft" activeCell="F122" activeCellId="0" sqref="F122"/>
    </sheetView>
  </sheetViews>
  <sheetFormatPr defaultColWidth="9.34375" defaultRowHeight="13.8" zeroHeight="false" outlineLevelRow="1" outlineLevelCol="1"/>
  <cols>
    <col collapsed="false" customWidth="true" hidden="false" outlineLevel="0" max="1" min="1" style="15" width="0.67"/>
    <col collapsed="false" customWidth="true" hidden="false" outlineLevel="0" max="3" min="2" style="15" width="11.65"/>
    <col collapsed="false" customWidth="true" hidden="false" outlineLevel="0" max="4" min="4" style="15" width="75.67"/>
    <col collapsed="false" customWidth="true" hidden="false" outlineLevel="0" max="7" min="5" style="16" width="17.33"/>
    <col collapsed="false" customWidth="true" hidden="false" outlineLevel="0" max="10" min="8" style="15" width="17.33"/>
    <col collapsed="false" customWidth="false" hidden="false" outlineLevel="0" max="12" min="11" style="15" width="9.33"/>
    <col collapsed="false" customWidth="true" hidden="false" outlineLevel="0" max="13" min="13" style="15" width="10.57"/>
    <col collapsed="false" customWidth="true" hidden="false" outlineLevel="0" max="14" min="14" style="15" width="31.01"/>
    <col collapsed="false" customWidth="true" hidden="false" outlineLevel="0" max="16" min="15" style="15" width="8"/>
    <col collapsed="false" customWidth="true" hidden="false" outlineLevel="1" max="28" min="17" style="15" width="8"/>
    <col collapsed="false" customWidth="true" hidden="true" outlineLevel="0" max="30" min="29" style="15" width="7.56"/>
    <col collapsed="false" customWidth="true" hidden="false" outlineLevel="0" max="44" min="31" style="15" width="7.56"/>
    <col collapsed="false" customWidth="false" hidden="false" outlineLevel="0" max="1024" min="45" style="15" width="9.33"/>
  </cols>
  <sheetData>
    <row r="1" customFormat="false" ht="17.7" hidden="false" customHeight="true" outlineLevel="0" collapsed="false">
      <c r="G1" s="17" t="s">
        <v>0</v>
      </c>
    </row>
    <row r="2" customFormat="false" ht="13.8" hidden="false" customHeight="false" outlineLevel="0" collapsed="false">
      <c r="G2" s="17"/>
    </row>
    <row r="3" customFormat="false" ht="3.75" hidden="false" customHeight="true" outlineLevel="0" collapsed="false"/>
    <row r="4" customFormat="false" ht="13.8" hidden="false" customHeight="false" outlineLevel="0" collapsed="false">
      <c r="B4" s="18" t="s">
        <v>7</v>
      </c>
      <c r="C4" s="18"/>
      <c r="D4" s="19" t="s">
        <v>8</v>
      </c>
      <c r="E4" s="20" t="s">
        <v>9</v>
      </c>
      <c r="F4" s="20" t="s">
        <v>10</v>
      </c>
      <c r="G4" s="20" t="s">
        <v>11</v>
      </c>
    </row>
    <row r="5" customFormat="false" ht="13.8" hidden="false" customHeight="false" outlineLevel="0" collapsed="false">
      <c r="B5" s="21"/>
      <c r="C5" s="21"/>
      <c r="D5" s="22"/>
      <c r="E5" s="23"/>
      <c r="F5" s="24"/>
      <c r="G5" s="24"/>
    </row>
    <row r="6" customFormat="false" ht="13.8" hidden="false" customHeight="false" outlineLevel="0" collapsed="false">
      <c r="B6" s="25" t="s">
        <v>12</v>
      </c>
      <c r="C6" s="25"/>
      <c r="D6" s="26"/>
      <c r="E6" s="27"/>
      <c r="F6" s="28" t="n">
        <v>18413.05</v>
      </c>
      <c r="G6" s="29"/>
    </row>
    <row r="7" customFormat="false" ht="13.8" hidden="false" customHeight="false" outlineLevel="0" collapsed="false">
      <c r="B7" s="30"/>
      <c r="C7" s="30"/>
      <c r="D7" s="22"/>
      <c r="E7" s="31"/>
      <c r="F7" s="32"/>
      <c r="G7" s="24"/>
    </row>
    <row r="8" customFormat="false" ht="13.8" hidden="false" customHeight="false" outlineLevel="0" collapsed="false">
      <c r="B8" s="33" t="s">
        <v>13</v>
      </c>
      <c r="C8" s="33"/>
      <c r="D8" s="34"/>
      <c r="E8" s="35"/>
      <c r="F8" s="35" t="n">
        <v>95289.72</v>
      </c>
      <c r="G8" s="36"/>
    </row>
    <row r="9" customFormat="false" ht="13.8" hidden="false" customHeight="false" outlineLevel="0" collapsed="false">
      <c r="B9" s="37" t="n">
        <v>1</v>
      </c>
      <c r="C9" s="37"/>
      <c r="D9" s="38" t="s">
        <v>14</v>
      </c>
      <c r="E9" s="39"/>
      <c r="F9" s="39" t="n">
        <v>36683.95</v>
      </c>
      <c r="G9" s="29"/>
      <c r="H9" s="16"/>
    </row>
    <row r="10" customFormat="false" ht="13.8" hidden="false" customHeight="false" outlineLevel="0" collapsed="false">
      <c r="B10" s="37" t="n">
        <f aca="false">B9+1</f>
        <v>2</v>
      </c>
      <c r="C10" s="37"/>
      <c r="D10" s="38" t="s">
        <v>15</v>
      </c>
      <c r="E10" s="39"/>
      <c r="F10" s="39" t="n">
        <v>0</v>
      </c>
      <c r="G10" s="29"/>
    </row>
    <row r="11" customFormat="false" ht="13.8" hidden="false" customHeight="false" outlineLevel="0" collapsed="false">
      <c r="B11" s="37" t="n">
        <f aca="false">B10+1</f>
        <v>3</v>
      </c>
      <c r="C11" s="37"/>
      <c r="D11" s="38" t="s">
        <v>16</v>
      </c>
      <c r="E11" s="39"/>
      <c r="F11" s="39" t="n">
        <v>36883.15</v>
      </c>
      <c r="G11" s="29"/>
    </row>
    <row r="12" customFormat="false" ht="13.8" hidden="false" customHeight="false" outlineLevel="0" collapsed="false">
      <c r="B12" s="37" t="n">
        <f aca="false">B11+1</f>
        <v>4</v>
      </c>
      <c r="C12" s="37"/>
      <c r="D12" s="38" t="s">
        <v>17</v>
      </c>
      <c r="E12" s="39"/>
      <c r="F12" s="39" t="n">
        <v>3747.12</v>
      </c>
      <c r="G12" s="29"/>
    </row>
    <row r="13" customFormat="false" ht="13.8" hidden="false" customHeight="false" outlineLevel="0" collapsed="false">
      <c r="B13" s="37" t="n">
        <f aca="false">B12+1</f>
        <v>5</v>
      </c>
      <c r="C13" s="37" t="s">
        <v>18</v>
      </c>
      <c r="D13" s="38" t="s">
        <v>19</v>
      </c>
      <c r="E13" s="39"/>
      <c r="F13" s="39" t="n">
        <v>0</v>
      </c>
      <c r="G13" s="29"/>
    </row>
    <row r="14" customFormat="false" ht="13.8" hidden="false" customHeight="false" outlineLevel="0" collapsed="false">
      <c r="B14" s="37" t="n">
        <f aca="false">B13+1</f>
        <v>6</v>
      </c>
      <c r="C14" s="37"/>
      <c r="D14" s="38" t="s">
        <v>20</v>
      </c>
      <c r="E14" s="39"/>
      <c r="F14" s="39" t="n">
        <v>13975.5</v>
      </c>
      <c r="G14" s="29"/>
    </row>
    <row r="15" customFormat="false" ht="13.8" hidden="false" customHeight="false" outlineLevel="0" collapsed="false">
      <c r="B15" s="37" t="n">
        <f aca="false">B14+1</f>
        <v>7</v>
      </c>
      <c r="C15" s="37" t="s">
        <v>18</v>
      </c>
      <c r="D15" s="38" t="s">
        <v>21</v>
      </c>
      <c r="E15" s="39"/>
      <c r="F15" s="39" t="n">
        <v>4000</v>
      </c>
      <c r="G15" s="29"/>
    </row>
    <row r="16" customFormat="false" ht="13.8" hidden="false" customHeight="false" outlineLevel="0" collapsed="false">
      <c r="B16" s="37" t="n">
        <f aca="false">B15+1</f>
        <v>8</v>
      </c>
      <c r="C16" s="37"/>
      <c r="D16" s="38" t="s">
        <v>22</v>
      </c>
      <c r="E16" s="39"/>
      <c r="F16" s="39" t="n">
        <v>0</v>
      </c>
      <c r="G16" s="29"/>
    </row>
    <row r="17" customFormat="false" ht="13.8" hidden="false" customHeight="false" outlineLevel="0" collapsed="false">
      <c r="B17" s="37" t="n">
        <f aca="false">B16+1</f>
        <v>9</v>
      </c>
      <c r="C17" s="37"/>
      <c r="D17" s="38"/>
      <c r="E17" s="39"/>
      <c r="F17" s="39" t="n">
        <v>0</v>
      </c>
      <c r="G17" s="29"/>
    </row>
    <row r="18" customFormat="false" ht="13.8" hidden="false" customHeight="false" outlineLevel="0" collapsed="false">
      <c r="B18" s="37" t="n">
        <f aca="false">B17+1</f>
        <v>10</v>
      </c>
      <c r="C18" s="37"/>
      <c r="D18" s="38"/>
      <c r="E18" s="39"/>
      <c r="F18" s="39"/>
      <c r="G18" s="29"/>
    </row>
    <row r="19" customFormat="false" ht="13.8" hidden="false" customHeight="false" outlineLevel="0" collapsed="false">
      <c r="B19" s="37" t="n">
        <f aca="false">B18+1</f>
        <v>11</v>
      </c>
      <c r="C19" s="37"/>
      <c r="D19" s="38"/>
      <c r="E19" s="39"/>
      <c r="F19" s="39"/>
      <c r="G19" s="29"/>
    </row>
    <row r="20" customFormat="false" ht="13.8" hidden="false" customHeight="false" outlineLevel="0" collapsed="false">
      <c r="B20" s="37" t="n">
        <f aca="false">B19+1</f>
        <v>12</v>
      </c>
      <c r="C20" s="37"/>
      <c r="D20" s="38"/>
      <c r="E20" s="39"/>
      <c r="F20" s="39"/>
      <c r="G20" s="29"/>
    </row>
    <row r="21" customFormat="false" ht="13.8" hidden="false" customHeight="false" outlineLevel="0" collapsed="false">
      <c r="B21" s="37" t="n">
        <f aca="false">B20+1</f>
        <v>13</v>
      </c>
      <c r="C21" s="37"/>
      <c r="D21" s="38"/>
      <c r="E21" s="39"/>
      <c r="F21" s="39"/>
      <c r="G21" s="29"/>
    </row>
    <row r="22" customFormat="false" ht="13.8" hidden="false" customHeight="false" outlineLevel="0" collapsed="false">
      <c r="B22" s="37" t="n">
        <f aca="false">B21+1</f>
        <v>14</v>
      </c>
      <c r="C22" s="37"/>
      <c r="D22" s="38"/>
      <c r="E22" s="39"/>
      <c r="F22" s="39"/>
      <c r="G22" s="29"/>
    </row>
    <row r="23" customFormat="false" ht="13.8" hidden="false" customHeight="false" outlineLevel="0" collapsed="false">
      <c r="B23" s="37" t="n">
        <f aca="false">B22+1</f>
        <v>15</v>
      </c>
      <c r="C23" s="37"/>
      <c r="D23" s="38"/>
      <c r="E23" s="39"/>
      <c r="F23" s="39"/>
      <c r="G23" s="29"/>
    </row>
    <row r="24" customFormat="false" ht="13.8" hidden="false" customHeight="false" outlineLevel="0" collapsed="false">
      <c r="B24" s="40"/>
      <c r="C24" s="40"/>
      <c r="D24" s="41"/>
      <c r="E24" s="39"/>
      <c r="F24" s="39"/>
      <c r="G24" s="29"/>
    </row>
    <row r="25" customFormat="false" ht="13.8" hidden="false" customHeight="false" outlineLevel="0" collapsed="false">
      <c r="B25" s="33" t="s">
        <v>23</v>
      </c>
      <c r="C25" s="33"/>
      <c r="D25" s="34"/>
      <c r="E25" s="35"/>
      <c r="F25" s="35" t="n">
        <v>91161.62</v>
      </c>
      <c r="G25" s="36"/>
      <c r="H25" s="16"/>
    </row>
    <row r="26" customFormat="false" ht="13.8" hidden="false" customHeight="false" outlineLevel="0" collapsed="false">
      <c r="B26" s="42"/>
      <c r="C26" s="42"/>
      <c r="D26" s="43"/>
      <c r="E26" s="44"/>
      <c r="F26" s="45"/>
      <c r="G26" s="46"/>
    </row>
    <row r="27" customFormat="false" ht="13.8" hidden="false" customHeight="false" outlineLevel="0" collapsed="false">
      <c r="B27" s="33"/>
      <c r="C27" s="33"/>
      <c r="D27" s="34"/>
      <c r="E27" s="35"/>
      <c r="F27" s="35" t="n">
        <v>55166.83</v>
      </c>
      <c r="G27" s="36"/>
    </row>
    <row r="28" customFormat="false" ht="13.8" hidden="false" customHeight="false" outlineLevel="0" collapsed="false">
      <c r="B28" s="37" t="n">
        <v>20</v>
      </c>
      <c r="C28" s="37" t="s">
        <v>24</v>
      </c>
      <c r="D28" s="38"/>
      <c r="E28" s="39"/>
      <c r="F28" s="39" t="n">
        <v>1070</v>
      </c>
      <c r="G28" s="29"/>
    </row>
    <row r="29" customFormat="false" ht="13.8" hidden="false" customHeight="false" outlineLevel="0" collapsed="false">
      <c r="B29" s="47" t="n">
        <f aca="false">B28+1</f>
        <v>21</v>
      </c>
      <c r="C29" s="48" t="s">
        <v>25</v>
      </c>
      <c r="D29" s="49"/>
      <c r="E29" s="50"/>
      <c r="F29" s="50" t="n">
        <v>19423.52</v>
      </c>
      <c r="G29" s="51"/>
    </row>
    <row r="30" customFormat="false" ht="13.8" hidden="false" customHeight="false" outlineLevel="0" collapsed="false">
      <c r="B30" s="47" t="n">
        <f aca="false">B29+1</f>
        <v>22</v>
      </c>
      <c r="C30" s="48" t="s">
        <v>25</v>
      </c>
      <c r="D30" s="49"/>
      <c r="E30" s="50"/>
      <c r="F30" s="50" t="n">
        <v>3068.06</v>
      </c>
      <c r="G30" s="51"/>
    </row>
    <row r="31" customFormat="false" ht="13.8" hidden="false" customHeight="false" outlineLevel="0" collapsed="false">
      <c r="B31" s="47" t="n">
        <f aca="false">B30+1</f>
        <v>23</v>
      </c>
      <c r="C31" s="48" t="s">
        <v>25</v>
      </c>
      <c r="D31" s="49"/>
      <c r="E31" s="50"/>
      <c r="F31" s="50" t="n">
        <v>7028.58</v>
      </c>
      <c r="G31" s="51"/>
    </row>
    <row r="32" customFormat="false" ht="13.8" hidden="false" customHeight="false" outlineLevel="0" collapsed="false">
      <c r="B32" s="37" t="n">
        <f aca="false">B31+1</f>
        <v>24</v>
      </c>
      <c r="C32" s="37" t="s">
        <v>24</v>
      </c>
      <c r="D32" s="38"/>
      <c r="E32" s="39"/>
      <c r="F32" s="39" t="n">
        <v>351.23</v>
      </c>
      <c r="G32" s="29"/>
    </row>
    <row r="33" customFormat="false" ht="13.8" hidden="false" customHeight="false" outlineLevel="0" collapsed="false">
      <c r="B33" s="37" t="n">
        <f aca="false">B32+1</f>
        <v>25</v>
      </c>
      <c r="C33" s="37" t="s">
        <v>26</v>
      </c>
      <c r="D33" s="38"/>
      <c r="E33" s="39"/>
      <c r="F33" s="39" t="n">
        <v>14959.22</v>
      </c>
      <c r="G33" s="29"/>
    </row>
    <row r="34" customFormat="false" ht="13.8" hidden="false" customHeight="false" outlineLevel="0" collapsed="false">
      <c r="B34" s="37" t="n">
        <f aca="false">B33+1</f>
        <v>26</v>
      </c>
      <c r="C34" s="37" t="s">
        <v>26</v>
      </c>
      <c r="D34" s="38"/>
      <c r="E34" s="39"/>
      <c r="F34" s="39" t="n">
        <v>3407.39</v>
      </c>
      <c r="G34" s="29"/>
    </row>
    <row r="35" customFormat="false" ht="13.8" hidden="false" customHeight="false" outlineLevel="0" collapsed="false">
      <c r="B35" s="37" t="n">
        <f aca="false">B34+1</f>
        <v>27</v>
      </c>
      <c r="C35" s="37" t="s">
        <v>26</v>
      </c>
      <c r="D35" s="38"/>
      <c r="E35" s="39"/>
      <c r="F35" s="39" t="n">
        <v>0</v>
      </c>
      <c r="G35" s="29"/>
    </row>
    <row r="36" customFormat="false" ht="13.8" hidden="false" customHeight="false" outlineLevel="0" collapsed="false">
      <c r="B36" s="37" t="n">
        <f aca="false">B35+1</f>
        <v>28</v>
      </c>
      <c r="C36" s="37" t="s">
        <v>26</v>
      </c>
      <c r="D36" s="38"/>
      <c r="E36" s="39"/>
      <c r="F36" s="39" t="n">
        <v>0</v>
      </c>
      <c r="G36" s="29"/>
    </row>
    <row r="37" customFormat="false" ht="13.8" hidden="false" customHeight="false" outlineLevel="0" collapsed="false">
      <c r="B37" s="37" t="n">
        <f aca="false">B36+1</f>
        <v>29</v>
      </c>
      <c r="C37" s="37" t="s">
        <v>26</v>
      </c>
      <c r="D37" s="38"/>
      <c r="E37" s="39"/>
      <c r="F37" s="39" t="n">
        <v>227.64</v>
      </c>
      <c r="G37" s="29"/>
    </row>
    <row r="38" customFormat="false" ht="13.8" hidden="false" customHeight="false" outlineLevel="0" collapsed="false">
      <c r="B38" s="37" t="n">
        <f aca="false">B37+1</f>
        <v>30</v>
      </c>
      <c r="C38" s="37" t="s">
        <v>26</v>
      </c>
      <c r="D38" s="38"/>
      <c r="E38" s="39"/>
      <c r="F38" s="39" t="n">
        <v>0</v>
      </c>
      <c r="G38" s="29"/>
    </row>
    <row r="39" customFormat="false" ht="13.8" hidden="false" customHeight="false" outlineLevel="0" collapsed="false">
      <c r="B39" s="37" t="n">
        <f aca="false">B38+1</f>
        <v>31</v>
      </c>
      <c r="C39" s="37" t="s">
        <v>26</v>
      </c>
      <c r="D39" s="38"/>
      <c r="E39" s="39"/>
      <c r="F39" s="39" t="n">
        <v>0</v>
      </c>
      <c r="G39" s="29"/>
    </row>
    <row r="40" customFormat="false" ht="13.8" hidden="false" customHeight="false" outlineLevel="1" collapsed="false">
      <c r="B40" s="37" t="n">
        <f aca="false">B39+1</f>
        <v>32</v>
      </c>
      <c r="C40" s="37" t="s">
        <v>26</v>
      </c>
      <c r="D40" s="38"/>
      <c r="E40" s="39"/>
      <c r="F40" s="39" t="n">
        <v>40.48</v>
      </c>
      <c r="G40" s="29"/>
    </row>
    <row r="41" customFormat="false" ht="13.8" hidden="false" customHeight="false" outlineLevel="1" collapsed="false">
      <c r="B41" s="37" t="n">
        <f aca="false">B40+1</f>
        <v>33</v>
      </c>
      <c r="C41" s="37" t="s">
        <v>24</v>
      </c>
      <c r="D41" s="38"/>
      <c r="E41" s="39"/>
      <c r="F41" s="39" t="n">
        <v>4792.04</v>
      </c>
      <c r="G41" s="29"/>
    </row>
    <row r="42" customFormat="false" ht="13.8" hidden="false" customHeight="false" outlineLevel="1" collapsed="false">
      <c r="B42" s="37" t="n">
        <f aca="false">B41+1</f>
        <v>34</v>
      </c>
      <c r="C42" s="37" t="s">
        <v>24</v>
      </c>
      <c r="D42" s="38"/>
      <c r="E42" s="39"/>
      <c r="F42" s="39" t="n">
        <v>798.67</v>
      </c>
      <c r="G42" s="29"/>
    </row>
    <row r="43" customFormat="false" ht="13.8" hidden="false" customHeight="false" outlineLevel="1" collapsed="false">
      <c r="B43" s="37" t="n">
        <f aca="false">B42+1</f>
        <v>35</v>
      </c>
      <c r="C43" s="37" t="s">
        <v>24</v>
      </c>
      <c r="D43" s="38"/>
      <c r="E43" s="39"/>
      <c r="F43" s="39" t="n">
        <v>0</v>
      </c>
      <c r="G43" s="29"/>
    </row>
    <row r="44" customFormat="false" ht="13.8" hidden="false" customHeight="false" outlineLevel="1" collapsed="false">
      <c r="B44" s="37" t="n">
        <f aca="false">B43+1</f>
        <v>36</v>
      </c>
      <c r="C44" s="37" t="s">
        <v>26</v>
      </c>
      <c r="D44" s="38"/>
      <c r="E44" s="39"/>
      <c r="F44" s="39" t="n">
        <v>0</v>
      </c>
      <c r="G44" s="29"/>
    </row>
    <row r="45" customFormat="false" ht="13.8" hidden="false" customHeight="false" outlineLevel="1" collapsed="false">
      <c r="B45" s="37" t="n">
        <f aca="false">B44+1</f>
        <v>37</v>
      </c>
      <c r="C45" s="37" t="s">
        <v>24</v>
      </c>
      <c r="D45" s="38"/>
      <c r="E45" s="39"/>
      <c r="F45" s="39" t="n">
        <v>0</v>
      </c>
      <c r="G45" s="29"/>
    </row>
    <row r="46" customFormat="false" ht="13.8" hidden="false" customHeight="false" outlineLevel="1" collapsed="false">
      <c r="B46" s="37" t="n">
        <f aca="false">B45+1</f>
        <v>38</v>
      </c>
      <c r="C46" s="37" t="s">
        <v>24</v>
      </c>
      <c r="D46" s="38"/>
      <c r="E46" s="39"/>
      <c r="F46" s="39" t="n">
        <v>0</v>
      </c>
      <c r="G46" s="29"/>
    </row>
    <row r="47" customFormat="false" ht="13.8" hidden="false" customHeight="false" outlineLevel="0" collapsed="false">
      <c r="B47" s="40"/>
      <c r="C47" s="40"/>
      <c r="D47" s="41"/>
      <c r="E47" s="39"/>
      <c r="F47" s="39"/>
      <c r="G47" s="29"/>
    </row>
    <row r="48" customFormat="false" ht="13.8" hidden="false" customHeight="false" outlineLevel="0" collapsed="false">
      <c r="B48" s="52"/>
      <c r="C48" s="52"/>
      <c r="D48" s="34"/>
      <c r="E48" s="35"/>
      <c r="F48" s="35" t="n">
        <v>29969.37</v>
      </c>
      <c r="G48" s="36"/>
    </row>
    <row r="49" customFormat="false" ht="13.8" hidden="false" customHeight="false" outlineLevel="0" collapsed="false">
      <c r="B49" s="53" t="n">
        <v>40</v>
      </c>
      <c r="C49" s="53" t="s">
        <v>27</v>
      </c>
      <c r="D49" s="54"/>
      <c r="E49" s="55"/>
      <c r="F49" s="55" t="n">
        <v>7639.25</v>
      </c>
      <c r="G49" s="56"/>
    </row>
    <row r="50" customFormat="false" ht="13.8" hidden="false" customHeight="false" outlineLevel="0" collapsed="false">
      <c r="B50" s="53" t="n">
        <f aca="false">B49+1</f>
        <v>41</v>
      </c>
      <c r="C50" s="53" t="s">
        <v>27</v>
      </c>
      <c r="D50" s="54"/>
      <c r="E50" s="55"/>
      <c r="F50" s="55" t="n">
        <v>1664.5</v>
      </c>
      <c r="G50" s="56"/>
    </row>
    <row r="51" customFormat="false" ht="13.8" hidden="false" customHeight="false" outlineLevel="0" collapsed="false">
      <c r="B51" s="53" t="n">
        <f aca="false">B50+1</f>
        <v>42</v>
      </c>
      <c r="C51" s="53" t="s">
        <v>27</v>
      </c>
      <c r="D51" s="54"/>
      <c r="E51" s="55"/>
      <c r="F51" s="55" t="n">
        <v>875.57</v>
      </c>
      <c r="G51" s="56"/>
    </row>
    <row r="52" customFormat="false" ht="13.8" hidden="false" customHeight="false" outlineLevel="0" collapsed="false">
      <c r="B52" s="53" t="n">
        <f aca="false">B51+1</f>
        <v>43</v>
      </c>
      <c r="C52" s="53" t="s">
        <v>27</v>
      </c>
      <c r="D52" s="54"/>
      <c r="E52" s="55"/>
      <c r="F52" s="55" t="n">
        <v>0</v>
      </c>
      <c r="G52" s="56"/>
    </row>
    <row r="53" customFormat="false" ht="13.8" hidden="false" customHeight="false" outlineLevel="0" collapsed="false">
      <c r="B53" s="53" t="n">
        <f aca="false">B52+1</f>
        <v>44</v>
      </c>
      <c r="C53" s="53" t="s">
        <v>27</v>
      </c>
      <c r="D53" s="54"/>
      <c r="E53" s="55"/>
      <c r="F53" s="55" t="n">
        <v>0</v>
      </c>
      <c r="G53" s="56"/>
    </row>
    <row r="54" customFormat="false" ht="13.8" hidden="false" customHeight="false" outlineLevel="0" collapsed="false">
      <c r="B54" s="53" t="n">
        <f aca="false">B53+1</f>
        <v>45</v>
      </c>
      <c r="C54" s="53" t="s">
        <v>27</v>
      </c>
      <c r="D54" s="54"/>
      <c r="E54" s="55"/>
      <c r="F54" s="55" t="n">
        <v>0</v>
      </c>
      <c r="G54" s="56"/>
    </row>
    <row r="55" customFormat="false" ht="13.8" hidden="false" customHeight="false" outlineLevel="0" collapsed="false">
      <c r="B55" s="53" t="n">
        <f aca="false">B54+1</f>
        <v>46</v>
      </c>
      <c r="C55" s="53" t="s">
        <v>27</v>
      </c>
      <c r="D55" s="54"/>
      <c r="E55" s="55"/>
      <c r="F55" s="55" t="n">
        <v>0</v>
      </c>
      <c r="G55" s="56"/>
    </row>
    <row r="56" customFormat="false" ht="13.8" hidden="false" customHeight="false" outlineLevel="0" collapsed="false">
      <c r="B56" s="53" t="n">
        <f aca="false">B55+1</f>
        <v>47</v>
      </c>
      <c r="C56" s="53" t="s">
        <v>27</v>
      </c>
      <c r="D56" s="54"/>
      <c r="E56" s="55"/>
      <c r="F56" s="55" t="n">
        <v>0</v>
      </c>
      <c r="G56" s="56"/>
    </row>
    <row r="57" customFormat="false" ht="13.8" hidden="false" customHeight="false" outlineLevel="0" collapsed="false">
      <c r="B57" s="53" t="n">
        <f aca="false">B56+1</f>
        <v>48</v>
      </c>
      <c r="C57" s="53" t="s">
        <v>27</v>
      </c>
      <c r="D57" s="54"/>
      <c r="E57" s="55"/>
      <c r="F57" s="55" t="n">
        <v>3000</v>
      </c>
      <c r="G57" s="56"/>
    </row>
    <row r="58" customFormat="false" ht="13.8" hidden="false" customHeight="false" outlineLevel="0" collapsed="false">
      <c r="B58" s="53" t="n">
        <f aca="false">B57+1</f>
        <v>49</v>
      </c>
      <c r="C58" s="53" t="s">
        <v>27</v>
      </c>
      <c r="D58" s="54"/>
      <c r="E58" s="55"/>
      <c r="F58" s="55" t="n">
        <v>150</v>
      </c>
      <c r="G58" s="56"/>
    </row>
    <row r="59" customFormat="false" ht="13.8" hidden="false" customHeight="false" outlineLevel="0" collapsed="false">
      <c r="B59" s="53" t="n">
        <f aca="false">B58+1</f>
        <v>50</v>
      </c>
      <c r="C59" s="53" t="s">
        <v>27</v>
      </c>
      <c r="D59" s="54"/>
      <c r="E59" s="55"/>
      <c r="F59" s="55" t="n">
        <v>152</v>
      </c>
      <c r="G59" s="56"/>
    </row>
    <row r="60" customFormat="false" ht="13.8" hidden="false" customHeight="false" outlineLevel="0" collapsed="false">
      <c r="B60" s="37" t="n">
        <f aca="false">B59+1</f>
        <v>51</v>
      </c>
      <c r="C60" s="37" t="s">
        <v>28</v>
      </c>
      <c r="D60" s="38"/>
      <c r="E60" s="39"/>
      <c r="F60" s="39" t="n">
        <v>0</v>
      </c>
      <c r="G60" s="29"/>
    </row>
    <row r="61" customFormat="false" ht="13.8" hidden="false" customHeight="false" outlineLevel="0" collapsed="false">
      <c r="B61" s="37" t="n">
        <f aca="false">B60+1</f>
        <v>52</v>
      </c>
      <c r="C61" s="37" t="s">
        <v>28</v>
      </c>
      <c r="D61" s="38"/>
      <c r="E61" s="39"/>
      <c r="F61" s="39" t="n">
        <v>1391</v>
      </c>
      <c r="G61" s="29"/>
    </row>
    <row r="62" customFormat="false" ht="13.8" hidden="false" customHeight="false" outlineLevel="0" collapsed="false">
      <c r="B62" s="37" t="n">
        <f aca="false">B61+1</f>
        <v>53</v>
      </c>
      <c r="C62" s="37" t="s">
        <v>28</v>
      </c>
      <c r="D62" s="38"/>
      <c r="E62" s="39"/>
      <c r="F62" s="39" t="n">
        <v>5200</v>
      </c>
      <c r="G62" s="29"/>
    </row>
    <row r="63" customFormat="false" ht="13.8" hidden="false" customHeight="false" outlineLevel="0" collapsed="false">
      <c r="B63" s="37" t="n">
        <f aca="false">B62+1</f>
        <v>54</v>
      </c>
      <c r="C63" s="37" t="s">
        <v>28</v>
      </c>
      <c r="D63" s="38"/>
      <c r="E63" s="39"/>
      <c r="F63" s="39" t="n">
        <v>0</v>
      </c>
      <c r="G63" s="29"/>
    </row>
    <row r="64" customFormat="false" ht="13.8" hidden="false" customHeight="false" outlineLevel="0" collapsed="false">
      <c r="B64" s="37" t="n">
        <f aca="false">B63+1</f>
        <v>55</v>
      </c>
      <c r="C64" s="37" t="s">
        <v>28</v>
      </c>
      <c r="D64" s="38"/>
      <c r="E64" s="39"/>
      <c r="F64" s="39" t="n">
        <v>310</v>
      </c>
      <c r="G64" s="29"/>
    </row>
    <row r="65" customFormat="false" ht="13.8" hidden="false" customHeight="false" outlineLevel="0" collapsed="false">
      <c r="B65" s="37" t="n">
        <f aca="false">B64+1</f>
        <v>56</v>
      </c>
      <c r="C65" s="37" t="s">
        <v>28</v>
      </c>
      <c r="D65" s="38"/>
      <c r="E65" s="39"/>
      <c r="F65" s="39" t="n">
        <v>0</v>
      </c>
      <c r="G65" s="29"/>
    </row>
    <row r="66" customFormat="false" ht="13.8" hidden="false" customHeight="false" outlineLevel="0" collapsed="false">
      <c r="B66" s="37" t="n">
        <f aca="false">B65+1</f>
        <v>57</v>
      </c>
      <c r="C66" s="37" t="s">
        <v>28</v>
      </c>
      <c r="D66" s="38"/>
      <c r="E66" s="39"/>
      <c r="F66" s="39" t="n">
        <v>58.4</v>
      </c>
      <c r="G66" s="29"/>
    </row>
    <row r="67" customFormat="false" ht="13.8" hidden="false" customHeight="false" outlineLevel="0" collapsed="false">
      <c r="B67" s="37" t="n">
        <f aca="false">B66+1</f>
        <v>58</v>
      </c>
      <c r="C67" s="37" t="s">
        <v>28</v>
      </c>
      <c r="D67" s="38"/>
      <c r="E67" s="39"/>
      <c r="F67" s="39" t="n">
        <v>365.47</v>
      </c>
      <c r="G67" s="29"/>
    </row>
    <row r="68" customFormat="false" ht="13.8" hidden="false" customHeight="false" outlineLevel="0" collapsed="false">
      <c r="B68" s="37" t="n">
        <f aca="false">B67+1</f>
        <v>59</v>
      </c>
      <c r="C68" s="37" t="s">
        <v>28</v>
      </c>
      <c r="D68" s="38"/>
      <c r="E68" s="39"/>
      <c r="F68" s="39" t="n">
        <v>1166.18</v>
      </c>
      <c r="G68" s="29"/>
    </row>
    <row r="69" customFormat="false" ht="13.8" hidden="false" customHeight="false" outlineLevel="0" collapsed="false">
      <c r="B69" s="37" t="n">
        <f aca="false">B68+1</f>
        <v>60</v>
      </c>
      <c r="C69" s="37" t="s">
        <v>28</v>
      </c>
      <c r="D69" s="38"/>
      <c r="E69" s="39"/>
      <c r="F69" s="39" t="n">
        <v>0</v>
      </c>
      <c r="G69" s="29"/>
    </row>
    <row r="70" customFormat="false" ht="13.8" hidden="false" customHeight="false" outlineLevel="0" collapsed="false">
      <c r="B70" s="37" t="n">
        <f aca="false">B69+1</f>
        <v>61</v>
      </c>
      <c r="C70" s="37" t="s">
        <v>28</v>
      </c>
      <c r="D70" s="38"/>
      <c r="E70" s="39"/>
      <c r="F70" s="39" t="n">
        <v>0</v>
      </c>
      <c r="G70" s="29"/>
    </row>
    <row r="71" customFormat="false" ht="13.8" hidden="false" customHeight="false" outlineLevel="0" collapsed="false">
      <c r="B71" s="37" t="n">
        <f aca="false">B70+1</f>
        <v>62</v>
      </c>
      <c r="C71" s="37" t="s">
        <v>28</v>
      </c>
      <c r="D71" s="38"/>
      <c r="E71" s="39"/>
      <c r="F71" s="39" t="n">
        <v>300</v>
      </c>
      <c r="G71" s="29"/>
    </row>
    <row r="72" customFormat="false" ht="13.8" hidden="false" customHeight="false" outlineLevel="0" collapsed="false">
      <c r="B72" s="37" t="n">
        <f aca="false">B71+1</f>
        <v>63</v>
      </c>
      <c r="C72" s="37" t="s">
        <v>28</v>
      </c>
      <c r="D72" s="38"/>
      <c r="E72" s="39"/>
      <c r="F72" s="39" t="n">
        <v>1032.88</v>
      </c>
      <c r="G72" s="29"/>
    </row>
    <row r="73" customFormat="false" ht="13.8" hidden="false" customHeight="false" outlineLevel="0" collapsed="false">
      <c r="B73" s="37" t="n">
        <f aca="false">B72+1</f>
        <v>64</v>
      </c>
      <c r="C73" s="37" t="s">
        <v>28</v>
      </c>
      <c r="D73" s="38"/>
      <c r="E73" s="39"/>
      <c r="F73" s="39" t="n">
        <v>376.99</v>
      </c>
      <c r="G73" s="29"/>
    </row>
    <row r="74" customFormat="false" ht="13.8" hidden="false" customHeight="false" outlineLevel="0" collapsed="false">
      <c r="B74" s="37" t="n">
        <f aca="false">B73+1</f>
        <v>65</v>
      </c>
      <c r="C74" s="37" t="s">
        <v>28</v>
      </c>
      <c r="D74" s="38"/>
      <c r="E74" s="39"/>
      <c r="F74" s="39" t="n">
        <v>19.65</v>
      </c>
      <c r="G74" s="29"/>
    </row>
    <row r="75" customFormat="false" ht="13.8" hidden="false" customHeight="false" outlineLevel="0" collapsed="false">
      <c r="B75" s="37" t="n">
        <f aca="false">B74+1</f>
        <v>66</v>
      </c>
      <c r="C75" s="37" t="s">
        <v>28</v>
      </c>
      <c r="D75" s="38"/>
      <c r="E75" s="39"/>
      <c r="F75" s="39" t="n">
        <v>0</v>
      </c>
      <c r="G75" s="29"/>
    </row>
    <row r="76" customFormat="false" ht="13.8" hidden="false" customHeight="false" outlineLevel="0" collapsed="false">
      <c r="B76" s="37" t="n">
        <f aca="false">B75+1</f>
        <v>67</v>
      </c>
      <c r="C76" s="37" t="s">
        <v>28</v>
      </c>
      <c r="D76" s="38"/>
      <c r="E76" s="39"/>
      <c r="F76" s="39" t="n">
        <v>350</v>
      </c>
      <c r="G76" s="29"/>
    </row>
    <row r="77" customFormat="false" ht="13.8" hidden="false" customHeight="false" outlineLevel="0" collapsed="false">
      <c r="B77" s="37" t="n">
        <f aca="false">B76+1</f>
        <v>68</v>
      </c>
      <c r="C77" s="37" t="s">
        <v>28</v>
      </c>
      <c r="D77" s="38"/>
      <c r="E77" s="39"/>
      <c r="F77" s="39" t="n">
        <v>750</v>
      </c>
      <c r="G77" s="29"/>
    </row>
    <row r="78" customFormat="false" ht="13.8" hidden="false" customHeight="false" outlineLevel="0" collapsed="false">
      <c r="B78" s="37" t="n">
        <f aca="false">B77+1</f>
        <v>69</v>
      </c>
      <c r="C78" s="37" t="s">
        <v>28</v>
      </c>
      <c r="D78" s="38"/>
      <c r="E78" s="39"/>
      <c r="F78" s="39" t="n">
        <v>0</v>
      </c>
      <c r="G78" s="29"/>
    </row>
    <row r="79" customFormat="false" ht="13.8" hidden="false" customHeight="false" outlineLevel="0" collapsed="false">
      <c r="B79" s="37" t="n">
        <f aca="false">B78+1</f>
        <v>70</v>
      </c>
      <c r="C79" s="37" t="s">
        <v>28</v>
      </c>
      <c r="D79" s="38"/>
      <c r="E79" s="39"/>
      <c r="F79" s="39" t="n">
        <v>0</v>
      </c>
      <c r="G79" s="29"/>
    </row>
    <row r="80" customFormat="false" ht="13.8" hidden="false" customHeight="false" outlineLevel="0" collapsed="false">
      <c r="B80" s="37" t="n">
        <f aca="false">B79+1</f>
        <v>71</v>
      </c>
      <c r="C80" s="37" t="s">
        <v>28</v>
      </c>
      <c r="D80" s="38"/>
      <c r="E80" s="39"/>
      <c r="F80" s="39" t="n">
        <v>716</v>
      </c>
      <c r="G80" s="29"/>
    </row>
    <row r="81" customFormat="false" ht="13.8" hidden="false" customHeight="false" outlineLevel="0" collapsed="false">
      <c r="B81" s="37" t="n">
        <f aca="false">B80+1</f>
        <v>72</v>
      </c>
      <c r="C81" s="37" t="s">
        <v>28</v>
      </c>
      <c r="D81" s="38"/>
      <c r="E81" s="39"/>
      <c r="F81" s="39" t="n">
        <v>0</v>
      </c>
      <c r="G81" s="29"/>
    </row>
    <row r="82" customFormat="false" ht="13.8" hidden="false" customHeight="false" outlineLevel="0" collapsed="false">
      <c r="B82" s="37" t="n">
        <f aca="false">B81+1</f>
        <v>73</v>
      </c>
      <c r="C82" s="37" t="s">
        <v>28</v>
      </c>
      <c r="D82" s="38"/>
      <c r="E82" s="39"/>
      <c r="F82" s="39" t="n">
        <v>1006.95</v>
      </c>
      <c r="G82" s="29"/>
    </row>
    <row r="83" customFormat="false" ht="13.8" hidden="false" customHeight="false" outlineLevel="0" collapsed="false">
      <c r="B83" s="37" t="n">
        <f aca="false">B82+1</f>
        <v>74</v>
      </c>
      <c r="C83" s="37" t="s">
        <v>28</v>
      </c>
      <c r="D83" s="38"/>
      <c r="E83" s="39"/>
      <c r="F83" s="39" t="n">
        <v>0</v>
      </c>
      <c r="G83" s="29"/>
    </row>
    <row r="84" customFormat="false" ht="13.8" hidden="false" customHeight="false" outlineLevel="0" collapsed="false">
      <c r="B84" s="37" t="n">
        <f aca="false">B83+1</f>
        <v>75</v>
      </c>
      <c r="C84" s="37" t="s">
        <v>28</v>
      </c>
      <c r="D84" s="38"/>
      <c r="E84" s="39"/>
      <c r="F84" s="39" t="n">
        <v>0</v>
      </c>
      <c r="G84" s="29"/>
    </row>
    <row r="85" customFormat="false" ht="13.8" hidden="false" customHeight="false" outlineLevel="0" collapsed="false">
      <c r="B85" s="37" t="n">
        <f aca="false">B84+1</f>
        <v>76</v>
      </c>
      <c r="C85" s="37" t="s">
        <v>28</v>
      </c>
      <c r="D85" s="38"/>
      <c r="E85" s="39"/>
      <c r="F85" s="39" t="n">
        <v>0</v>
      </c>
      <c r="G85" s="29"/>
    </row>
    <row r="86" customFormat="false" ht="13.8" hidden="false" customHeight="false" outlineLevel="0" collapsed="false">
      <c r="B86" s="37" t="n">
        <f aca="false">B85+1</f>
        <v>77</v>
      </c>
      <c r="C86" s="37" t="s">
        <v>28</v>
      </c>
      <c r="D86" s="38"/>
      <c r="E86" s="39"/>
      <c r="F86" s="39" t="n">
        <v>0</v>
      </c>
      <c r="G86" s="29"/>
    </row>
    <row r="87" customFormat="false" ht="13.8" hidden="false" customHeight="false" outlineLevel="0" collapsed="false">
      <c r="B87" s="37" t="n">
        <f aca="false">B86+1</f>
        <v>78</v>
      </c>
      <c r="C87" s="37" t="s">
        <v>28</v>
      </c>
      <c r="D87" s="38"/>
      <c r="E87" s="39"/>
      <c r="F87" s="39" t="n">
        <v>2030.63</v>
      </c>
      <c r="G87" s="29"/>
    </row>
    <row r="88" customFormat="false" ht="13.8" hidden="false" customHeight="false" outlineLevel="0" collapsed="false">
      <c r="B88" s="37" t="n">
        <f aca="false">B87+1</f>
        <v>79</v>
      </c>
      <c r="C88" s="37" t="s">
        <v>28</v>
      </c>
      <c r="D88" s="38"/>
      <c r="E88" s="39"/>
      <c r="F88" s="39" t="n">
        <v>0</v>
      </c>
      <c r="G88" s="29"/>
    </row>
    <row r="89" customFormat="false" ht="13.8" hidden="false" customHeight="false" outlineLevel="0" collapsed="false">
      <c r="B89" s="37" t="n">
        <f aca="false">B88+1</f>
        <v>80</v>
      </c>
      <c r="C89" s="37" t="s">
        <v>28</v>
      </c>
      <c r="D89" s="38"/>
      <c r="E89" s="39"/>
      <c r="F89" s="39" t="n">
        <v>134</v>
      </c>
      <c r="G89" s="29"/>
    </row>
    <row r="90" customFormat="false" ht="13.8" hidden="false" customHeight="false" outlineLevel="0" collapsed="false">
      <c r="B90" s="37" t="n">
        <f aca="false">B89+1</f>
        <v>81</v>
      </c>
      <c r="C90" s="37" t="s">
        <v>28</v>
      </c>
      <c r="D90" s="38"/>
      <c r="E90" s="39"/>
      <c r="F90" s="39" t="n">
        <v>210</v>
      </c>
      <c r="G90" s="29"/>
    </row>
    <row r="91" customFormat="false" ht="13.8" hidden="false" customHeight="false" outlineLevel="0" collapsed="false">
      <c r="B91" s="37" t="n">
        <f aca="false">B90+1</f>
        <v>82</v>
      </c>
      <c r="C91" s="37" t="s">
        <v>28</v>
      </c>
      <c r="D91" s="38"/>
      <c r="E91" s="39"/>
      <c r="F91" s="39" t="n">
        <v>0</v>
      </c>
      <c r="G91" s="29"/>
    </row>
    <row r="92" customFormat="false" ht="13.8" hidden="false" customHeight="false" outlineLevel="1" collapsed="false">
      <c r="B92" s="37" t="n">
        <f aca="false">B91+1</f>
        <v>83</v>
      </c>
      <c r="C92" s="37" t="s">
        <v>28</v>
      </c>
      <c r="D92" s="38"/>
      <c r="E92" s="39"/>
      <c r="F92" s="39" t="n">
        <v>0</v>
      </c>
      <c r="G92" s="29"/>
    </row>
    <row r="93" customFormat="false" ht="13.8" hidden="false" customHeight="false" outlineLevel="1" collapsed="false">
      <c r="B93" s="37" t="n">
        <f aca="false">B92+1</f>
        <v>84</v>
      </c>
      <c r="C93" s="37" t="s">
        <v>28</v>
      </c>
      <c r="D93" s="38"/>
      <c r="E93" s="39"/>
      <c r="F93" s="39" t="n">
        <v>250</v>
      </c>
      <c r="G93" s="29"/>
    </row>
    <row r="94" customFormat="false" ht="13.8" hidden="false" customHeight="false" outlineLevel="1" collapsed="false">
      <c r="B94" s="37" t="n">
        <f aca="false">B93+1</f>
        <v>85</v>
      </c>
      <c r="C94" s="37" t="s">
        <v>28</v>
      </c>
      <c r="D94" s="38"/>
      <c r="E94" s="39"/>
      <c r="F94" s="39" t="n">
        <v>770</v>
      </c>
      <c r="G94" s="29"/>
    </row>
    <row r="95" customFormat="false" ht="13.8" hidden="false" customHeight="false" outlineLevel="1" collapsed="false">
      <c r="B95" s="37" t="n">
        <f aca="false">B94+1</f>
        <v>86</v>
      </c>
      <c r="C95" s="37" t="s">
        <v>28</v>
      </c>
      <c r="D95" s="38"/>
      <c r="E95" s="39"/>
      <c r="F95" s="39" t="n">
        <v>49.9</v>
      </c>
      <c r="G95" s="29"/>
    </row>
    <row r="96" customFormat="false" ht="13.8" hidden="false" customHeight="false" outlineLevel="1" collapsed="false">
      <c r="B96" s="37" t="n">
        <f aca="false">B95+1</f>
        <v>87</v>
      </c>
      <c r="C96" s="37" t="s">
        <v>28</v>
      </c>
      <c r="D96" s="38"/>
      <c r="E96" s="39"/>
      <c r="F96" s="39"/>
      <c r="G96" s="29"/>
    </row>
    <row r="97" customFormat="false" ht="13.8" hidden="false" customHeight="false" outlineLevel="1" collapsed="false">
      <c r="B97" s="37" t="n">
        <f aca="false">B96+1</f>
        <v>88</v>
      </c>
      <c r="C97" s="37" t="s">
        <v>28</v>
      </c>
      <c r="D97" s="38"/>
      <c r="E97" s="39"/>
      <c r="F97" s="39"/>
      <c r="G97" s="29"/>
    </row>
    <row r="98" customFormat="false" ht="13.8" hidden="false" customHeight="false" outlineLevel="1" collapsed="false">
      <c r="B98" s="37" t="n">
        <f aca="false">B97+1</f>
        <v>89</v>
      </c>
      <c r="C98" s="37" t="s">
        <v>28</v>
      </c>
      <c r="D98" s="38"/>
      <c r="E98" s="39"/>
      <c r="F98" s="39"/>
      <c r="G98" s="29"/>
    </row>
    <row r="99" customFormat="false" ht="13.8" hidden="false" customHeight="false" outlineLevel="1" collapsed="false">
      <c r="B99" s="37" t="n">
        <f aca="false">B98+1</f>
        <v>90</v>
      </c>
      <c r="C99" s="37" t="s">
        <v>28</v>
      </c>
      <c r="D99" s="38"/>
      <c r="E99" s="39"/>
      <c r="F99" s="39"/>
      <c r="G99" s="29"/>
    </row>
    <row r="100" customFormat="false" ht="13.8" hidden="false" customHeight="false" outlineLevel="1" collapsed="false">
      <c r="B100" s="37" t="n">
        <f aca="false">B99+1</f>
        <v>91</v>
      </c>
      <c r="C100" s="37" t="s">
        <v>28</v>
      </c>
      <c r="D100" s="38"/>
      <c r="E100" s="39"/>
      <c r="F100" s="39"/>
      <c r="G100" s="29"/>
    </row>
    <row r="101" customFormat="false" ht="13.8" hidden="false" customHeight="false" outlineLevel="1" collapsed="false">
      <c r="B101" s="37" t="n">
        <f aca="false">B100+1</f>
        <v>92</v>
      </c>
      <c r="C101" s="37" t="s">
        <v>28</v>
      </c>
      <c r="D101" s="38"/>
      <c r="E101" s="39"/>
      <c r="F101" s="39"/>
      <c r="G101" s="29"/>
    </row>
    <row r="102" customFormat="false" ht="13.8" hidden="false" customHeight="false" outlineLevel="1" collapsed="false">
      <c r="B102" s="37" t="n">
        <f aca="false">B101+1</f>
        <v>93</v>
      </c>
      <c r="C102" s="37" t="s">
        <v>28</v>
      </c>
      <c r="D102" s="38"/>
      <c r="E102" s="39"/>
      <c r="F102" s="39"/>
      <c r="G102" s="29"/>
    </row>
    <row r="103" customFormat="false" ht="13.8" hidden="false" customHeight="false" outlineLevel="1" collapsed="false">
      <c r="B103" s="37" t="n">
        <f aca="false">B102+1</f>
        <v>94</v>
      </c>
      <c r="C103" s="37" t="s">
        <v>28</v>
      </c>
      <c r="D103" s="38"/>
      <c r="E103" s="39"/>
      <c r="F103" s="39"/>
      <c r="G103" s="29"/>
    </row>
    <row r="104" customFormat="false" ht="13.8" hidden="false" customHeight="false" outlineLevel="1" collapsed="false">
      <c r="B104" s="37" t="n">
        <f aca="false">B103+1</f>
        <v>95</v>
      </c>
      <c r="C104" s="37" t="s">
        <v>28</v>
      </c>
      <c r="D104" s="38"/>
      <c r="E104" s="39"/>
      <c r="F104" s="39"/>
      <c r="G104" s="29"/>
    </row>
    <row r="105" customFormat="false" ht="13.8" hidden="false" customHeight="false" outlineLevel="0" collapsed="false">
      <c r="B105" s="40"/>
      <c r="C105" s="40"/>
      <c r="D105" s="41"/>
      <c r="E105" s="39"/>
      <c r="F105" s="39"/>
      <c r="G105" s="29"/>
    </row>
    <row r="106" customFormat="false" ht="13.8" hidden="false" customHeight="false" outlineLevel="0" collapsed="false">
      <c r="B106" s="52"/>
      <c r="C106" s="52"/>
      <c r="D106" s="34"/>
      <c r="E106" s="35"/>
      <c r="F106" s="35" t="n">
        <v>6025.42</v>
      </c>
      <c r="G106" s="36"/>
      <c r="I106" s="16"/>
    </row>
    <row r="107" customFormat="false" ht="13.8" hidden="false" customHeight="false" outlineLevel="0" collapsed="false">
      <c r="B107" s="37" t="n">
        <v>100</v>
      </c>
      <c r="C107" s="37" t="s">
        <v>29</v>
      </c>
      <c r="D107" s="38" t="s">
        <v>30</v>
      </c>
      <c r="E107" s="39"/>
      <c r="F107" s="39" t="n">
        <v>0</v>
      </c>
      <c r="G107" s="29"/>
      <c r="H107" s="57"/>
    </row>
    <row r="108" customFormat="false" ht="13.8" hidden="false" customHeight="false" outlineLevel="0" collapsed="false">
      <c r="B108" s="37" t="n">
        <f aca="false">B107+1</f>
        <v>101</v>
      </c>
      <c r="C108" s="37" t="s">
        <v>29</v>
      </c>
      <c r="D108" s="38" t="s">
        <v>31</v>
      </c>
      <c r="E108" s="39"/>
      <c r="F108" s="39" t="n">
        <v>0</v>
      </c>
      <c r="G108" s="29"/>
      <c r="H108" s="57"/>
    </row>
    <row r="109" customFormat="false" ht="13.8" hidden="false" customHeight="false" outlineLevel="0" collapsed="false">
      <c r="B109" s="37" t="n">
        <f aca="false">B108+1</f>
        <v>102</v>
      </c>
      <c r="C109" s="37" t="s">
        <v>29</v>
      </c>
      <c r="D109" s="38" t="s">
        <v>32</v>
      </c>
      <c r="E109" s="39"/>
      <c r="F109" s="39" t="n">
        <v>5729.49</v>
      </c>
      <c r="G109" s="29"/>
      <c r="H109" s="57"/>
    </row>
    <row r="110" customFormat="false" ht="13.8" hidden="false" customHeight="false" outlineLevel="0" collapsed="false">
      <c r="B110" s="37" t="n">
        <f aca="false">B109+1</f>
        <v>103</v>
      </c>
      <c r="C110" s="37" t="s">
        <v>29</v>
      </c>
      <c r="D110" s="38" t="s">
        <v>33</v>
      </c>
      <c r="E110" s="39"/>
      <c r="F110" s="39" t="n">
        <v>0</v>
      </c>
      <c r="G110" s="29"/>
      <c r="H110" s="57"/>
    </row>
    <row r="111" customFormat="false" ht="13.8" hidden="false" customHeight="false" outlineLevel="0" collapsed="false">
      <c r="B111" s="37" t="n">
        <f aca="false">B110+1</f>
        <v>104</v>
      </c>
      <c r="C111" s="37" t="s">
        <v>29</v>
      </c>
      <c r="D111" s="38" t="s">
        <v>34</v>
      </c>
      <c r="E111" s="39"/>
      <c r="F111" s="39" t="n">
        <v>0</v>
      </c>
      <c r="G111" s="29"/>
      <c r="H111" s="57"/>
    </row>
    <row r="112" customFormat="false" ht="13.8" hidden="false" customHeight="false" outlineLevel="0" collapsed="false">
      <c r="B112" s="37" t="n">
        <f aca="false">B111+1</f>
        <v>105</v>
      </c>
      <c r="C112" s="37" t="s">
        <v>29</v>
      </c>
      <c r="D112" s="38" t="s">
        <v>35</v>
      </c>
      <c r="E112" s="39"/>
      <c r="F112" s="39" t="n">
        <v>0</v>
      </c>
      <c r="G112" s="29"/>
      <c r="H112" s="57"/>
    </row>
    <row r="113" customFormat="false" ht="13.8" hidden="false" customHeight="false" outlineLevel="0" collapsed="false">
      <c r="B113" s="37" t="n">
        <f aca="false">B112+1</f>
        <v>106</v>
      </c>
      <c r="C113" s="37" t="s">
        <v>29</v>
      </c>
      <c r="D113" s="38" t="s">
        <v>36</v>
      </c>
      <c r="E113" s="39"/>
      <c r="F113" s="39" t="n">
        <v>0</v>
      </c>
      <c r="G113" s="29"/>
      <c r="H113" s="57"/>
    </row>
    <row r="114" customFormat="false" ht="13.8" hidden="false" customHeight="false" outlineLevel="1" collapsed="false">
      <c r="B114" s="37" t="n">
        <f aca="false">B113+1</f>
        <v>107</v>
      </c>
      <c r="C114" s="37" t="s">
        <v>29</v>
      </c>
      <c r="D114" s="38" t="s">
        <v>37</v>
      </c>
      <c r="E114" s="39"/>
      <c r="F114" s="39" t="n">
        <v>0</v>
      </c>
      <c r="G114" s="29"/>
      <c r="H114" s="57"/>
    </row>
    <row r="115" customFormat="false" ht="13.8" hidden="false" customHeight="false" outlineLevel="1" collapsed="false">
      <c r="B115" s="37" t="n">
        <f aca="false">B114+1</f>
        <v>108</v>
      </c>
      <c r="C115" s="37" t="s">
        <v>29</v>
      </c>
      <c r="D115" s="38" t="s">
        <v>38</v>
      </c>
      <c r="E115" s="39"/>
      <c r="F115" s="39" t="n">
        <v>0</v>
      </c>
      <c r="G115" s="29"/>
      <c r="H115" s="57"/>
    </row>
    <row r="116" customFormat="false" ht="13.8" hidden="false" customHeight="false" outlineLevel="1" collapsed="false">
      <c r="B116" s="37" t="n">
        <f aca="false">B115+1</f>
        <v>109</v>
      </c>
      <c r="C116" s="37" t="s">
        <v>29</v>
      </c>
      <c r="D116" s="38" t="s">
        <v>39</v>
      </c>
      <c r="E116" s="39"/>
      <c r="F116" s="39" t="n">
        <v>295.93</v>
      </c>
      <c r="G116" s="29"/>
      <c r="H116" s="57"/>
    </row>
    <row r="117" customFormat="false" ht="13.8" hidden="false" customHeight="false" outlineLevel="1" collapsed="false">
      <c r="B117" s="37" t="n">
        <f aca="false">B116+1</f>
        <v>110</v>
      </c>
      <c r="C117" s="37" t="s">
        <v>29</v>
      </c>
      <c r="D117" s="38" t="s">
        <v>40</v>
      </c>
      <c r="E117" s="39"/>
      <c r="F117" s="39" t="n">
        <v>0</v>
      </c>
      <c r="G117" s="29"/>
      <c r="H117" s="57"/>
    </row>
    <row r="118" customFormat="false" ht="13.8" hidden="false" customHeight="false" outlineLevel="1" collapsed="false">
      <c r="B118" s="37" t="n">
        <f aca="false">B117+1</f>
        <v>111</v>
      </c>
      <c r="C118" s="37" t="s">
        <v>29</v>
      </c>
      <c r="D118" s="38" t="s">
        <v>41</v>
      </c>
      <c r="E118" s="39"/>
      <c r="F118" s="39"/>
      <c r="G118" s="29"/>
      <c r="H118" s="57"/>
    </row>
    <row r="119" customFormat="false" ht="13.8" hidden="false" customHeight="false" outlineLevel="1" collapsed="false">
      <c r="B119" s="37" t="n">
        <f aca="false">B118+1</f>
        <v>112</v>
      </c>
      <c r="C119" s="37" t="s">
        <v>29</v>
      </c>
      <c r="D119" s="38" t="s">
        <v>42</v>
      </c>
      <c r="E119" s="39"/>
      <c r="F119" s="39"/>
      <c r="G119" s="29"/>
      <c r="H119" s="57"/>
    </row>
    <row r="120" customFormat="false" ht="13.8" hidden="false" customHeight="false" outlineLevel="1" collapsed="false">
      <c r="B120" s="37" t="n">
        <f aca="false">B119+1</f>
        <v>113</v>
      </c>
      <c r="C120" s="37" t="s">
        <v>29</v>
      </c>
      <c r="D120" s="38"/>
      <c r="E120" s="39"/>
      <c r="F120" s="39"/>
      <c r="G120" s="29"/>
      <c r="H120" s="57"/>
    </row>
    <row r="121" customFormat="false" ht="13.8" hidden="false" customHeight="false" outlineLevel="0" collapsed="false">
      <c r="B121" s="30"/>
      <c r="C121" s="30"/>
      <c r="D121" s="58"/>
      <c r="E121" s="32"/>
      <c r="F121" s="32"/>
      <c r="G121" s="59"/>
    </row>
    <row r="122" customFormat="false" ht="13.8" hidden="false" customHeight="false" outlineLevel="0" collapsed="false">
      <c r="B122" s="33" t="n">
        <v>6</v>
      </c>
      <c r="C122" s="33"/>
      <c r="D122" s="34"/>
      <c r="E122" s="35"/>
      <c r="F122" s="35" t="n">
        <v>22761.98</v>
      </c>
      <c r="G122" s="36"/>
    </row>
    <row r="123" customFormat="false" ht="13.8" hidden="false" customHeight="false" outlineLevel="0" collapsed="false">
      <c r="B123" s="37" t="n">
        <v>200</v>
      </c>
      <c r="C123" s="37"/>
      <c r="D123" s="38"/>
      <c r="E123" s="39"/>
      <c r="F123" s="39" t="n">
        <v>22035.59</v>
      </c>
      <c r="G123" s="29"/>
      <c r="H123" s="57"/>
    </row>
    <row r="124" customFormat="false" ht="13.8" hidden="false" customHeight="false" outlineLevel="0" collapsed="false">
      <c r="B124" s="37" t="n">
        <f aca="false">B123+1</f>
        <v>201</v>
      </c>
      <c r="C124" s="37"/>
      <c r="D124" s="38"/>
      <c r="E124" s="39"/>
      <c r="F124" s="39" t="n">
        <v>0</v>
      </c>
      <c r="G124" s="29"/>
      <c r="H124" s="57"/>
    </row>
    <row r="125" customFormat="false" ht="13.8" hidden="false" customHeight="false" outlineLevel="0" collapsed="false">
      <c r="B125" s="37" t="n">
        <f aca="false">B124+1</f>
        <v>202</v>
      </c>
      <c r="C125" s="37"/>
      <c r="D125" s="38"/>
      <c r="E125" s="39"/>
      <c r="F125" s="39" t="n">
        <v>0</v>
      </c>
      <c r="G125" s="29"/>
      <c r="H125" s="57"/>
    </row>
    <row r="126" customFormat="false" ht="13.8" hidden="false" customHeight="false" outlineLevel="0" collapsed="false">
      <c r="B126" s="37" t="n">
        <f aca="false">B125+1</f>
        <v>203</v>
      </c>
      <c r="C126" s="37"/>
      <c r="D126" s="38"/>
      <c r="E126" s="39"/>
      <c r="F126" s="39" t="n">
        <v>0</v>
      </c>
      <c r="G126" s="29"/>
      <c r="H126" s="57"/>
    </row>
    <row r="127" customFormat="false" ht="13.8" hidden="false" customHeight="false" outlineLevel="0" collapsed="false">
      <c r="B127" s="37" t="n">
        <f aca="false">B126+1</f>
        <v>204</v>
      </c>
      <c r="C127" s="37"/>
      <c r="D127" s="38"/>
      <c r="E127" s="39"/>
      <c r="F127" s="39" t="n">
        <v>726.39</v>
      </c>
      <c r="G127" s="29"/>
      <c r="H127" s="57"/>
    </row>
    <row r="128" customFormat="false" ht="13.8" hidden="false" customHeight="false" outlineLevel="1" collapsed="false">
      <c r="B128" s="37" t="n">
        <f aca="false">B127+1</f>
        <v>205</v>
      </c>
      <c r="C128" s="37"/>
      <c r="D128" s="38"/>
      <c r="E128" s="39"/>
      <c r="F128" s="39" t="n">
        <v>0</v>
      </c>
      <c r="G128" s="29"/>
      <c r="H128" s="57"/>
    </row>
    <row r="129" customFormat="false" ht="13.8" hidden="false" customHeight="false" outlineLevel="1" collapsed="false">
      <c r="B129" s="37" t="n">
        <f aca="false">B128+1</f>
        <v>206</v>
      </c>
      <c r="C129" s="37"/>
      <c r="D129" s="38"/>
      <c r="E129" s="39"/>
      <c r="F129" s="39" t="n">
        <v>0</v>
      </c>
      <c r="G129" s="29"/>
      <c r="H129" s="57"/>
    </row>
    <row r="130" customFormat="false" ht="13.8" hidden="false" customHeight="false" outlineLevel="1" collapsed="false">
      <c r="B130" s="37" t="n">
        <f aca="false">B129+1</f>
        <v>207</v>
      </c>
      <c r="C130" s="37"/>
      <c r="D130" s="38" t="s">
        <v>43</v>
      </c>
      <c r="E130" s="39"/>
      <c r="F130" s="39" t="n">
        <v>0</v>
      </c>
      <c r="G130" s="29"/>
      <c r="H130" s="57"/>
    </row>
    <row r="131" customFormat="false" ht="13.8" hidden="false" customHeight="false" outlineLevel="1" collapsed="false">
      <c r="B131" s="37" t="n">
        <f aca="false">B130+1</f>
        <v>208</v>
      </c>
      <c r="C131" s="37"/>
      <c r="D131" s="38" t="n">
        <v>0</v>
      </c>
      <c r="E131" s="39"/>
      <c r="F131" s="39" t="n">
        <v>0</v>
      </c>
      <c r="G131" s="29"/>
      <c r="H131" s="57"/>
    </row>
    <row r="132" customFormat="false" ht="13.8" hidden="false" customHeight="false" outlineLevel="1" collapsed="false">
      <c r="B132" s="37" t="n">
        <f aca="false">B131+1</f>
        <v>209</v>
      </c>
      <c r="C132" s="37"/>
      <c r="D132" s="38" t="s">
        <v>44</v>
      </c>
      <c r="E132" s="39"/>
      <c r="F132" s="39" t="n">
        <v>0</v>
      </c>
      <c r="G132" s="29"/>
      <c r="H132" s="57"/>
    </row>
    <row r="133" customFormat="false" ht="13.8" hidden="false" customHeight="false" outlineLevel="0" collapsed="false">
      <c r="B133" s="30"/>
      <c r="C133" s="30"/>
      <c r="D133" s="22"/>
      <c r="E133" s="32"/>
      <c r="F133" s="32"/>
      <c r="G133" s="59"/>
    </row>
    <row r="134" customFormat="false" ht="13.8" hidden="false" customHeight="false" outlineLevel="0" collapsed="false">
      <c r="B134" s="33" t="n">
        <v>7</v>
      </c>
      <c r="C134" s="33"/>
      <c r="D134" s="34" t="s">
        <v>45</v>
      </c>
      <c r="E134" s="60"/>
      <c r="F134" s="60" t="n">
        <v>22541.15</v>
      </c>
      <c r="G134" s="36"/>
    </row>
    <row r="138" customFormat="false" ht="13.8" hidden="false" customHeight="false" outlineLevel="0" collapsed="false">
      <c r="Q138" s="61" t="str">
        <f aca="false">MID(O139,7,55)</f>
        <v>2021</v>
      </c>
      <c r="R138" s="61" t="n">
        <f aca="false">Q138+1</f>
        <v>2022</v>
      </c>
      <c r="S138" s="61" t="s">
        <v>46</v>
      </c>
      <c r="T138" s="61"/>
    </row>
    <row r="139" customFormat="false" ht="19.5" hidden="false" customHeight="true" outlineLevel="0" collapsed="false">
      <c r="B139" s="62" t="s">
        <v>47</v>
      </c>
      <c r="C139" s="62"/>
      <c r="D139" s="62"/>
      <c r="E139" s="62"/>
      <c r="F139" s="62"/>
      <c r="G139" s="62"/>
      <c r="H139" s="62"/>
      <c r="I139" s="62"/>
      <c r="J139" s="62"/>
      <c r="N139" s="63" t="s">
        <v>48</v>
      </c>
      <c r="O139" s="64" t="s">
        <v>49</v>
      </c>
      <c r="P139" s="64"/>
      <c r="Q139" s="65" t="str">
        <f aca="false">"JAN"&amp;$S$138&amp;MID($R$138,3,4)</f>
        <v>JAN.22</v>
      </c>
      <c r="R139" s="65"/>
      <c r="S139" s="65" t="str">
        <f aca="false">"FEV"&amp;$S$138&amp;MID($R$138,3,4)</f>
        <v>FEV.22</v>
      </c>
      <c r="T139" s="65"/>
      <c r="U139" s="65" t="str">
        <f aca="false">"MAR"&amp;$S$138&amp;MID($R$138,3,4)</f>
        <v>MAR.22</v>
      </c>
      <c r="V139" s="65"/>
      <c r="W139" s="65" t="str">
        <f aca="false">"ABR"&amp;$S$138&amp;MID($R$138,3,4)</f>
        <v>ABR.22</v>
      </c>
      <c r="X139" s="65"/>
      <c r="Y139" s="65" t="str">
        <f aca="false">"MAI"&amp;$S$138&amp;MID($R$138,3,4)</f>
        <v>MAI.22</v>
      </c>
      <c r="Z139" s="65"/>
      <c r="AA139" s="65" t="str">
        <f aca="false">"JUN"&amp;$S$138&amp;MID($R$138,3,4)</f>
        <v>JUN.22</v>
      </c>
      <c r="AB139" s="65"/>
      <c r="AC139" s="65" t="s">
        <v>50</v>
      </c>
      <c r="AD139" s="65"/>
      <c r="AE139" s="65" t="str">
        <f aca="false">"JUL"&amp;$S$138&amp;MID($R$138,3,4)</f>
        <v>JUL.22</v>
      </c>
      <c r="AF139" s="65"/>
      <c r="AG139" s="65" t="str">
        <f aca="false">"AGO"&amp;$S$138&amp;MID($R$138,3,4)</f>
        <v>AGO.22</v>
      </c>
      <c r="AH139" s="65"/>
      <c r="AI139" s="65" t="str">
        <f aca="false">"SET"&amp;$S$138&amp;MID($R$138,3,4)</f>
        <v>SET.22</v>
      </c>
      <c r="AJ139" s="65"/>
      <c r="AK139" s="65" t="str">
        <f aca="false">"OUT"&amp;$S$138&amp;MID($R$138,3,4)</f>
        <v>OUT.22</v>
      </c>
      <c r="AL139" s="65"/>
      <c r="AM139" s="65" t="str">
        <f aca="false">"NOV"&amp;$S$138&amp;MID($R$138,3,4)</f>
        <v>NOV.22</v>
      </c>
      <c r="AN139" s="65"/>
      <c r="AO139" s="65" t="str">
        <f aca="false">"DEZ"&amp;$S$138&amp;MID($R$138,3,4)</f>
        <v>DEZ.22</v>
      </c>
      <c r="AP139" s="65"/>
      <c r="AQ139" s="65" t="s">
        <v>51</v>
      </c>
      <c r="AR139" s="65"/>
    </row>
    <row r="140" customFormat="false" ht="19.5" hidden="false" customHeight="true" outlineLevel="0" collapsed="false">
      <c r="B140" s="66" t="s">
        <v>52</v>
      </c>
      <c r="C140" s="66"/>
      <c r="D140" s="66"/>
      <c r="E140" s="66" t="s">
        <v>53</v>
      </c>
      <c r="F140" s="66"/>
      <c r="G140" s="66"/>
      <c r="H140" s="66" t="s">
        <v>54</v>
      </c>
      <c r="I140" s="66"/>
      <c r="J140" s="66"/>
    </row>
    <row r="141" customFormat="false" ht="19.5" hidden="false" customHeight="true" outlineLevel="0" collapsed="false">
      <c r="B141" s="66" t="n">
        <v>1</v>
      </c>
      <c r="C141" s="66" t="s">
        <v>25</v>
      </c>
      <c r="D141" s="67" t="s">
        <v>55</v>
      </c>
      <c r="E141" s="68" t="n">
        <f aca="false">SUMIF($C$28:$C$121,C141,$F$28:$F$121)</f>
        <v>29520.16</v>
      </c>
      <c r="F141" s="68"/>
      <c r="G141" s="69" t="n">
        <f aca="false">E141/$F$8</f>
        <v>0.309793753198141</v>
      </c>
      <c r="H141" s="68" t="n">
        <f aca="false">J141*$F$8</f>
        <v>23822.43</v>
      </c>
      <c r="I141" s="68"/>
      <c r="J141" s="70" t="n">
        <f aca="false">Consolidado!F11</f>
        <v>0.25</v>
      </c>
      <c r="K141" s="61" t="s">
        <v>56</v>
      </c>
      <c r="L141" s="71" t="n">
        <f aca="false">G141</f>
        <v>0.309793753198141</v>
      </c>
      <c r="N141" s="72" t="s">
        <v>56</v>
      </c>
      <c r="O141" s="73" t="n">
        <v>124894.53</v>
      </c>
      <c r="P141" s="73"/>
      <c r="Q141" s="73" t="n">
        <v>137171.97</v>
      </c>
      <c r="R141" s="73"/>
      <c r="S141" s="73" t="n">
        <v>110105.33</v>
      </c>
      <c r="T141" s="73"/>
      <c r="U141" s="73" t="n">
        <v>152812.14</v>
      </c>
      <c r="V141" s="73"/>
      <c r="W141" s="73" t="n">
        <v>112835.19</v>
      </c>
      <c r="X141" s="73"/>
      <c r="Y141" s="73" t="n">
        <v>129326.46</v>
      </c>
      <c r="Z141" s="73"/>
      <c r="AA141" s="73" t="n">
        <v>129725.74</v>
      </c>
      <c r="AB141" s="73"/>
      <c r="AC141" s="73"/>
      <c r="AD141" s="73"/>
      <c r="AE141" s="73" t="n">
        <v>123684.16</v>
      </c>
      <c r="AF141" s="73"/>
      <c r="AG141" s="73" t="n">
        <v>168957.18</v>
      </c>
      <c r="AH141" s="73"/>
      <c r="AI141" s="73" t="n">
        <v>150013.33</v>
      </c>
      <c r="AJ141" s="73"/>
      <c r="AK141" s="73" t="n">
        <v>150269.91</v>
      </c>
      <c r="AL141" s="73"/>
      <c r="AM141" s="73" t="n">
        <v>132646.08</v>
      </c>
      <c r="AN141" s="73"/>
      <c r="AO141" s="73" t="n">
        <v>114967.89</v>
      </c>
      <c r="AP141" s="73"/>
      <c r="AQ141" s="73" t="n">
        <f aca="false">IF(SUM(AE141:AP141)=0,0,AVERAGE(AE141:AP141))</f>
        <v>140089.758333333</v>
      </c>
      <c r="AR141" s="73"/>
      <c r="AS141" s="57"/>
      <c r="AT141" s="57"/>
    </row>
    <row r="142" customFormat="false" ht="19.5" hidden="false" customHeight="true" outlineLevel="0" collapsed="false">
      <c r="B142" s="66" t="n">
        <v>2</v>
      </c>
      <c r="C142" s="66" t="s">
        <v>26</v>
      </c>
      <c r="D142" s="67" t="s">
        <v>57</v>
      </c>
      <c r="E142" s="68" t="n">
        <f aca="false">SUMIF($C$28:$C$121,C142,$F$28:$F$121)</f>
        <v>18634.73</v>
      </c>
      <c r="F142" s="68"/>
      <c r="G142" s="69" t="n">
        <f aca="false">E142/$F$8</f>
        <v>0.195558660472504</v>
      </c>
      <c r="H142" s="68" t="n">
        <f aca="false">J142*$F$8</f>
        <v>15246.3552</v>
      </c>
      <c r="I142" s="68"/>
      <c r="J142" s="70" t="n">
        <v>0.16</v>
      </c>
      <c r="K142" s="61" t="s">
        <v>58</v>
      </c>
      <c r="L142" s="71" t="n">
        <f aca="false">G142</f>
        <v>0.195558660472504</v>
      </c>
      <c r="N142" s="72" t="s">
        <v>58</v>
      </c>
      <c r="O142" s="73" t="n">
        <v>86844.1366666667</v>
      </c>
      <c r="P142" s="73"/>
      <c r="Q142" s="73" t="n">
        <v>64180.85</v>
      </c>
      <c r="R142" s="73"/>
      <c r="S142" s="73" t="n">
        <v>27409.23</v>
      </c>
      <c r="T142" s="73"/>
      <c r="U142" s="73" t="n">
        <v>71844.75</v>
      </c>
      <c r="V142" s="73"/>
      <c r="W142" s="73" t="n">
        <v>115371.7</v>
      </c>
      <c r="X142" s="73"/>
      <c r="Y142" s="73" t="n">
        <v>85295.83</v>
      </c>
      <c r="Z142" s="73"/>
      <c r="AA142" s="73" t="n">
        <v>88959.48</v>
      </c>
      <c r="AB142" s="73"/>
      <c r="AC142" s="73"/>
      <c r="AD142" s="73"/>
      <c r="AE142" s="73" t="n">
        <v>79214.89</v>
      </c>
      <c r="AF142" s="73"/>
      <c r="AG142" s="73" t="n">
        <v>87427.34</v>
      </c>
      <c r="AH142" s="73"/>
      <c r="AI142" s="73" t="n">
        <v>90863.62</v>
      </c>
      <c r="AJ142" s="73"/>
      <c r="AK142" s="73" t="n">
        <v>110371.09</v>
      </c>
      <c r="AL142" s="73"/>
      <c r="AM142" s="73" t="n">
        <v>95737.84</v>
      </c>
      <c r="AN142" s="73"/>
      <c r="AO142" s="73" t="n">
        <v>98753.21</v>
      </c>
      <c r="AP142" s="73"/>
      <c r="AQ142" s="73" t="n">
        <f aca="false">IF(SUM(AE142:AP142)=0,0,AVERAGE(AE142:AP142))</f>
        <v>93727.9983333333</v>
      </c>
      <c r="AR142" s="73"/>
      <c r="AS142" s="57"/>
      <c r="AT142" s="57"/>
    </row>
    <row r="143" customFormat="false" ht="19.5" hidden="false" customHeight="true" outlineLevel="0" collapsed="false">
      <c r="B143" s="66" t="n">
        <v>3</v>
      </c>
      <c r="C143" s="66" t="s">
        <v>24</v>
      </c>
      <c r="D143" s="67" t="s">
        <v>59</v>
      </c>
      <c r="E143" s="68" t="n">
        <f aca="false">SUMIF($C$28:$C$121,C143,$F$28:$F$121)</f>
        <v>7011.94</v>
      </c>
      <c r="F143" s="68"/>
      <c r="G143" s="69" t="n">
        <f aca="false">E143/$F$8</f>
        <v>0.0735854822534897</v>
      </c>
      <c r="H143" s="68" t="n">
        <f aca="false">J143*$F$8</f>
        <v>11434.7664</v>
      </c>
      <c r="I143" s="68"/>
      <c r="J143" s="70" t="n">
        <v>0.12</v>
      </c>
      <c r="K143" s="61" t="s">
        <v>60</v>
      </c>
      <c r="L143" s="71" t="n">
        <f aca="false">G143</f>
        <v>0.0735854822534897</v>
      </c>
      <c r="N143" s="72" t="s">
        <v>60</v>
      </c>
      <c r="O143" s="73" t="n">
        <v>63804.0116666667</v>
      </c>
      <c r="P143" s="73"/>
      <c r="Q143" s="73" t="n">
        <v>64406.81</v>
      </c>
      <c r="R143" s="73"/>
      <c r="S143" s="73" t="n">
        <v>45391.96</v>
      </c>
      <c r="T143" s="73"/>
      <c r="U143" s="73" t="n">
        <v>69106.69</v>
      </c>
      <c r="V143" s="73"/>
      <c r="W143" s="73" t="n">
        <v>80111.95</v>
      </c>
      <c r="X143" s="73"/>
      <c r="Y143" s="73" t="n">
        <v>70150.96</v>
      </c>
      <c r="Z143" s="73"/>
      <c r="AA143" s="73" t="n">
        <v>72224.9</v>
      </c>
      <c r="AB143" s="73"/>
      <c r="AC143" s="73"/>
      <c r="AD143" s="73"/>
      <c r="AE143" s="73" t="n">
        <v>68161.36</v>
      </c>
      <c r="AF143" s="73"/>
      <c r="AG143" s="73" t="n">
        <v>72541.16</v>
      </c>
      <c r="AH143" s="73"/>
      <c r="AI143" s="73" t="n">
        <v>81154.51</v>
      </c>
      <c r="AJ143" s="73"/>
      <c r="AK143" s="73" t="n">
        <v>68384.59</v>
      </c>
      <c r="AL143" s="73"/>
      <c r="AM143" s="73" t="n">
        <v>74635.24</v>
      </c>
      <c r="AN143" s="73"/>
      <c r="AO143" s="73" t="n">
        <v>70787.35</v>
      </c>
      <c r="AP143" s="73"/>
      <c r="AQ143" s="73" t="n">
        <f aca="false">IF(SUM(AE143:AP143)=0,0,AVERAGE(AE143:AP143))</f>
        <v>72610.7016666667</v>
      </c>
      <c r="AR143" s="73"/>
      <c r="AS143" s="57"/>
      <c r="AT143" s="57"/>
    </row>
    <row r="144" customFormat="false" ht="19.5" hidden="false" customHeight="true" outlineLevel="0" collapsed="false">
      <c r="B144" s="66" t="n">
        <v>4</v>
      </c>
      <c r="C144" s="66" t="s">
        <v>27</v>
      </c>
      <c r="D144" s="67" t="s">
        <v>61</v>
      </c>
      <c r="E144" s="68" t="n">
        <f aca="false">SUMIF($C$28:$C$121,C144,$F$28:$F$121)</f>
        <v>13481.32</v>
      </c>
      <c r="F144" s="68"/>
      <c r="G144" s="69" t="n">
        <f aca="false">E144/$F$8</f>
        <v>0.14147717088475</v>
      </c>
      <c r="H144" s="68" t="n">
        <f aca="false">J144*$F$8</f>
        <v>18343.2711</v>
      </c>
      <c r="I144" s="68"/>
      <c r="J144" s="70" t="n">
        <f aca="false">Consolidado!F19</f>
        <v>0.1925</v>
      </c>
      <c r="K144" s="61" t="s">
        <v>62</v>
      </c>
      <c r="L144" s="71" t="n">
        <f aca="false">G144</f>
        <v>0.14147717088475</v>
      </c>
      <c r="N144" s="72" t="s">
        <v>62</v>
      </c>
      <c r="O144" s="73" t="n">
        <v>77210.6866666667</v>
      </c>
      <c r="P144" s="73"/>
      <c r="Q144" s="73" t="n">
        <v>100091.97</v>
      </c>
      <c r="R144" s="73"/>
      <c r="S144" s="73" t="n">
        <v>109961.09</v>
      </c>
      <c r="T144" s="73"/>
      <c r="U144" s="73" t="n">
        <v>109175.52</v>
      </c>
      <c r="V144" s="73"/>
      <c r="W144" s="73" t="n">
        <v>103689.12</v>
      </c>
      <c r="X144" s="73"/>
      <c r="Y144" s="73" t="n">
        <v>116206.82</v>
      </c>
      <c r="Z144" s="73"/>
      <c r="AA144" s="73" t="n">
        <v>108926.62</v>
      </c>
      <c r="AB144" s="73"/>
      <c r="AC144" s="73"/>
      <c r="AD144" s="73"/>
      <c r="AE144" s="73" t="n">
        <v>122571.64</v>
      </c>
      <c r="AF144" s="73"/>
      <c r="AG144" s="73" t="n">
        <v>120185.23</v>
      </c>
      <c r="AH144" s="73"/>
      <c r="AI144" s="73" t="n">
        <v>128915.7</v>
      </c>
      <c r="AJ144" s="73"/>
      <c r="AK144" s="73" t="n">
        <v>128484.76</v>
      </c>
      <c r="AL144" s="73"/>
      <c r="AM144" s="73" t="n">
        <v>153429</v>
      </c>
      <c r="AN144" s="73"/>
      <c r="AO144" s="73" t="n">
        <v>196073.8</v>
      </c>
      <c r="AP144" s="73"/>
      <c r="AQ144" s="73" t="n">
        <f aca="false">IF(SUM(AE144:AP144)=0,0,AVERAGE(AE144:AP144))</f>
        <v>141610.021666667</v>
      </c>
      <c r="AR144" s="73"/>
      <c r="AS144" s="57"/>
      <c r="AT144" s="57"/>
    </row>
    <row r="145" customFormat="false" ht="19.5" hidden="false" customHeight="true" outlineLevel="0" collapsed="false">
      <c r="B145" s="66" t="n">
        <v>5</v>
      </c>
      <c r="C145" s="66" t="s">
        <v>28</v>
      </c>
      <c r="D145" s="67" t="s">
        <v>63</v>
      </c>
      <c r="E145" s="68" t="n">
        <f aca="false">SUMIF($C$28:$C$121,C145,$F$28:$F$121)</f>
        <v>16488.05</v>
      </c>
      <c r="F145" s="68"/>
      <c r="G145" s="69" t="n">
        <f aca="false">E145/$F$8</f>
        <v>0.173030731961433</v>
      </c>
      <c r="H145" s="68" t="n">
        <f aca="false">J145*$F$8</f>
        <v>15008.1309</v>
      </c>
      <c r="I145" s="68"/>
      <c r="J145" s="70" t="n">
        <f aca="false">Consolidado!F20</f>
        <v>0.1575</v>
      </c>
      <c r="K145" s="61" t="s">
        <v>64</v>
      </c>
      <c r="L145" s="71" t="n">
        <f aca="false">G145</f>
        <v>0.173030731961433</v>
      </c>
      <c r="N145" s="72" t="s">
        <v>64</v>
      </c>
      <c r="O145" s="73" t="n">
        <v>65042.6516666667</v>
      </c>
      <c r="P145" s="73"/>
      <c r="Q145" s="73" t="n">
        <v>105031.02</v>
      </c>
      <c r="R145" s="73"/>
      <c r="S145" s="73" t="n">
        <v>93779.9100000001</v>
      </c>
      <c r="T145" s="73"/>
      <c r="U145" s="73" t="n">
        <v>105838.8</v>
      </c>
      <c r="V145" s="73"/>
      <c r="W145" s="73" t="n">
        <v>95521.44</v>
      </c>
      <c r="X145" s="73"/>
      <c r="Y145" s="73" t="n">
        <v>99656.11</v>
      </c>
      <c r="Z145" s="73"/>
      <c r="AA145" s="73" t="n">
        <v>101614.76</v>
      </c>
      <c r="AB145" s="73"/>
      <c r="AC145" s="73"/>
      <c r="AD145" s="73"/>
      <c r="AE145" s="73" t="n">
        <v>94129.51</v>
      </c>
      <c r="AF145" s="73"/>
      <c r="AG145" s="73" t="n">
        <v>96843.88</v>
      </c>
      <c r="AH145" s="73"/>
      <c r="AI145" s="73" t="n">
        <v>97595.03</v>
      </c>
      <c r="AJ145" s="73"/>
      <c r="AK145" s="73" t="n">
        <v>106225.14</v>
      </c>
      <c r="AL145" s="73"/>
      <c r="AM145" s="73" t="n">
        <v>100921.26</v>
      </c>
      <c r="AN145" s="73"/>
      <c r="AO145" s="73" t="n">
        <v>110326.01</v>
      </c>
      <c r="AP145" s="73"/>
      <c r="AQ145" s="73" t="n">
        <f aca="false">IF(SUM(AE145:AP145)=0,0,AVERAGE(AE145:AP145))</f>
        <v>101006.805</v>
      </c>
      <c r="AR145" s="73"/>
      <c r="AS145" s="57"/>
      <c r="AT145" s="57"/>
    </row>
    <row r="146" customFormat="false" ht="19.5" hidden="false" customHeight="true" outlineLevel="0" collapsed="false">
      <c r="B146" s="66" t="n">
        <v>6</v>
      </c>
      <c r="C146" s="66" t="s">
        <v>29</v>
      </c>
      <c r="D146" s="67" t="s">
        <v>65</v>
      </c>
      <c r="E146" s="68" t="n">
        <f aca="false">SUMIF($C$28:$C$121,C146,$F$28:$F$121)</f>
        <v>6025.42</v>
      </c>
      <c r="F146" s="68"/>
      <c r="G146" s="69" t="n">
        <f aca="false">E146/$F$8</f>
        <v>0.0632326341183498</v>
      </c>
      <c r="H146" s="68" t="n">
        <f aca="false">J146*$F$8</f>
        <v>4764.486</v>
      </c>
      <c r="I146" s="68"/>
      <c r="J146" s="70" t="n">
        <f aca="false">Consolidado!F24</f>
        <v>0.05</v>
      </c>
      <c r="K146" s="61" t="s">
        <v>66</v>
      </c>
      <c r="L146" s="71" t="n">
        <f aca="false">G146</f>
        <v>0.0632326341183498</v>
      </c>
      <c r="N146" s="72" t="s">
        <v>66</v>
      </c>
      <c r="O146" s="73" t="n">
        <v>101316.753333333</v>
      </c>
      <c r="P146" s="73"/>
      <c r="Q146" s="73" t="n">
        <v>308795.65</v>
      </c>
      <c r="R146" s="73"/>
      <c r="S146" s="73" t="n">
        <v>32406.49</v>
      </c>
      <c r="T146" s="73"/>
      <c r="U146" s="73" t="n">
        <v>29323.11</v>
      </c>
      <c r="V146" s="73"/>
      <c r="W146" s="73" t="n">
        <v>45125.35</v>
      </c>
      <c r="X146" s="73"/>
      <c r="Y146" s="73" t="n">
        <v>11741.81</v>
      </c>
      <c r="Z146" s="73"/>
      <c r="AA146" s="73" t="n">
        <v>71074.91</v>
      </c>
      <c r="AB146" s="73"/>
      <c r="AC146" s="73"/>
      <c r="AD146" s="73"/>
      <c r="AE146" s="73" t="n">
        <v>175934.54</v>
      </c>
      <c r="AF146" s="73"/>
      <c r="AG146" s="73" t="n">
        <v>45348.78</v>
      </c>
      <c r="AH146" s="73"/>
      <c r="AI146" s="73" t="n">
        <f aca="false">919.24</f>
        <v>919.24</v>
      </c>
      <c r="AJ146" s="73"/>
      <c r="AK146" s="73" t="n">
        <v>48651.24</v>
      </c>
      <c r="AL146" s="73"/>
      <c r="AM146" s="73" t="n">
        <v>104567.7</v>
      </c>
      <c r="AN146" s="73"/>
      <c r="AO146" s="73" t="n">
        <v>105741.3</v>
      </c>
      <c r="AP146" s="73"/>
      <c r="AQ146" s="73" t="n">
        <f aca="false">IF(SUM(AE146:AP146)=0,0,AVERAGE(AE146:AP146))</f>
        <v>80193.8</v>
      </c>
      <c r="AR146" s="73"/>
      <c r="AS146" s="57"/>
      <c r="AT146" s="57"/>
    </row>
    <row r="147" customFormat="false" ht="19.5" hidden="false" customHeight="true" outlineLevel="0" collapsed="false">
      <c r="B147" s="74"/>
      <c r="C147" s="74"/>
      <c r="D147" s="74" t="s">
        <v>67</v>
      </c>
      <c r="E147" s="75" t="n">
        <f aca="false">SUM(E141:F146)</f>
        <v>91161.62</v>
      </c>
      <c r="F147" s="75"/>
      <c r="G147" s="76" t="n">
        <f aca="false">E147/$F$8</f>
        <v>0.956678432888668</v>
      </c>
      <c r="H147" s="75" t="n">
        <f aca="false">SUM(H141:I146)</f>
        <v>88619.4396</v>
      </c>
      <c r="I147" s="75"/>
      <c r="J147" s="76" t="n">
        <f aca="false">H147/$F$8</f>
        <v>0.93</v>
      </c>
      <c r="K147" s="61" t="s">
        <v>66</v>
      </c>
      <c r="L147" s="71" t="n">
        <f aca="false">G147</f>
        <v>0.956678432888668</v>
      </c>
      <c r="N147" s="77" t="s">
        <v>67</v>
      </c>
      <c r="O147" s="78" t="n">
        <v>519112.77</v>
      </c>
      <c r="P147" s="78"/>
      <c r="Q147" s="78" t="n">
        <f aca="false">SUM(Q141:R146)</f>
        <v>779678.27</v>
      </c>
      <c r="R147" s="78"/>
      <c r="S147" s="78" t="n">
        <f aca="false">SUM(S141:T146)</f>
        <v>419054.01</v>
      </c>
      <c r="T147" s="78"/>
      <c r="U147" s="78" t="n">
        <f aca="false">SUM(U141:V146)</f>
        <v>538101.01</v>
      </c>
      <c r="V147" s="78"/>
      <c r="W147" s="78" t="n">
        <f aca="false">SUM(W141:X146)</f>
        <v>552654.75</v>
      </c>
      <c r="X147" s="78"/>
      <c r="Y147" s="78" t="n">
        <f aca="false">SUM(Y141:Z146)</f>
        <v>512377.99</v>
      </c>
      <c r="Z147" s="78"/>
      <c r="AA147" s="78" t="n">
        <f aca="false">SUM(AA141:AB146)</f>
        <v>572526.41</v>
      </c>
      <c r="AB147" s="78"/>
      <c r="AC147" s="78" t="n">
        <f aca="false">SUM(AC141:AD146)</f>
        <v>0</v>
      </c>
      <c r="AD147" s="78"/>
      <c r="AE147" s="78" t="n">
        <f aca="false">SUM(AE141:AF146)</f>
        <v>663696.1</v>
      </c>
      <c r="AF147" s="78"/>
      <c r="AG147" s="78" t="n">
        <f aca="false">SUM(AG141:AH146)</f>
        <v>591303.57</v>
      </c>
      <c r="AH147" s="78"/>
      <c r="AI147" s="78" t="n">
        <f aca="false">SUM(AI141:AJ146)</f>
        <v>549461.43</v>
      </c>
      <c r="AJ147" s="78"/>
      <c r="AK147" s="78" t="n">
        <f aca="false">SUM(AK141:AL146)</f>
        <v>612386.73</v>
      </c>
      <c r="AL147" s="78"/>
      <c r="AM147" s="78" t="n">
        <f aca="false">SUM(AM141:AN146)</f>
        <v>661937.12</v>
      </c>
      <c r="AN147" s="78"/>
      <c r="AO147" s="78" t="n">
        <f aca="false">SUM(AO141:AP146)</f>
        <v>696649.56</v>
      </c>
      <c r="AP147" s="78"/>
      <c r="AQ147" s="78" t="n">
        <f aca="false">SUM(AQ141:AR146)</f>
        <v>629239.085</v>
      </c>
      <c r="AR147" s="78"/>
    </row>
    <row r="148" customFormat="false" ht="13.8" hidden="false" customHeight="false" outlineLevel="0" collapsed="false">
      <c r="H148" s="79" t="n">
        <f aca="false">F25</f>
        <v>91161.62</v>
      </c>
    </row>
    <row r="149" customFormat="false" ht="13.8" hidden="false" customHeight="false" outlineLevel="0" collapsed="false">
      <c r="H149" s="79" t="n">
        <f aca="false">SUM(E141:F146)</f>
        <v>91161.62</v>
      </c>
    </row>
    <row r="150" customFormat="false" ht="13.8" hidden="false" customHeight="false" outlineLevel="0" collapsed="false">
      <c r="H150" s="16"/>
    </row>
  </sheetData>
  <mergeCells count="139">
    <mergeCell ref="G1:G2"/>
    <mergeCell ref="B139:J139"/>
    <mergeCell ref="O139:P139"/>
    <mergeCell ref="Q139:R139"/>
    <mergeCell ref="S139:T139"/>
    <mergeCell ref="U139:V139"/>
    <mergeCell ref="W139:X139"/>
    <mergeCell ref="Y139:Z139"/>
    <mergeCell ref="AA139:AB139"/>
    <mergeCell ref="AC139:AD139"/>
    <mergeCell ref="AE139:AF139"/>
    <mergeCell ref="AG139:AH139"/>
    <mergeCell ref="AI139:AJ139"/>
    <mergeCell ref="AK139:AL139"/>
    <mergeCell ref="AM139:AN139"/>
    <mergeCell ref="AO139:AP139"/>
    <mergeCell ref="AQ139:AR139"/>
    <mergeCell ref="B140:D140"/>
    <mergeCell ref="E140:G140"/>
    <mergeCell ref="H140:J140"/>
    <mergeCell ref="E141:F141"/>
    <mergeCell ref="H141:I141"/>
    <mergeCell ref="O141:P141"/>
    <mergeCell ref="Q141:R141"/>
    <mergeCell ref="S141:T141"/>
    <mergeCell ref="U141:V141"/>
    <mergeCell ref="W141:X141"/>
    <mergeCell ref="Y141:Z141"/>
    <mergeCell ref="AA141:AB141"/>
    <mergeCell ref="AC141:AD141"/>
    <mergeCell ref="AE141:AF141"/>
    <mergeCell ref="AG141:AH141"/>
    <mergeCell ref="AI141:AJ141"/>
    <mergeCell ref="AK141:AL141"/>
    <mergeCell ref="AM141:AN141"/>
    <mergeCell ref="AO141:AP141"/>
    <mergeCell ref="AQ141:AR141"/>
    <mergeCell ref="E142:F142"/>
    <mergeCell ref="H142:I142"/>
    <mergeCell ref="O142:P142"/>
    <mergeCell ref="Q142:R142"/>
    <mergeCell ref="S142:T142"/>
    <mergeCell ref="U142:V142"/>
    <mergeCell ref="W142:X142"/>
    <mergeCell ref="Y142:Z142"/>
    <mergeCell ref="AA142:AB142"/>
    <mergeCell ref="AC142:AD142"/>
    <mergeCell ref="AE142:AF142"/>
    <mergeCell ref="AG142:AH142"/>
    <mergeCell ref="AI142:AJ142"/>
    <mergeCell ref="AK142:AL142"/>
    <mergeCell ref="AM142:AN142"/>
    <mergeCell ref="AO142:AP142"/>
    <mergeCell ref="AQ142:AR142"/>
    <mergeCell ref="E143:F143"/>
    <mergeCell ref="H143:I143"/>
    <mergeCell ref="O143:P143"/>
    <mergeCell ref="Q143:R143"/>
    <mergeCell ref="S143:T143"/>
    <mergeCell ref="U143:V143"/>
    <mergeCell ref="W143:X143"/>
    <mergeCell ref="Y143:Z143"/>
    <mergeCell ref="AA143:AB143"/>
    <mergeCell ref="AC143:AD143"/>
    <mergeCell ref="AE143:AF143"/>
    <mergeCell ref="AG143:AH143"/>
    <mergeCell ref="AI143:AJ143"/>
    <mergeCell ref="AK143:AL143"/>
    <mergeCell ref="AM143:AN143"/>
    <mergeCell ref="AO143:AP143"/>
    <mergeCell ref="AQ143:AR143"/>
    <mergeCell ref="E144:F144"/>
    <mergeCell ref="H144:I144"/>
    <mergeCell ref="O144:P144"/>
    <mergeCell ref="Q144:R144"/>
    <mergeCell ref="S144:T144"/>
    <mergeCell ref="U144:V144"/>
    <mergeCell ref="W144:X144"/>
    <mergeCell ref="Y144:Z144"/>
    <mergeCell ref="AA144:AB144"/>
    <mergeCell ref="AC144:AD144"/>
    <mergeCell ref="AE144:AF144"/>
    <mergeCell ref="AG144:AH144"/>
    <mergeCell ref="AI144:AJ144"/>
    <mergeCell ref="AK144:AL144"/>
    <mergeCell ref="AM144:AN144"/>
    <mergeCell ref="AO144:AP144"/>
    <mergeCell ref="AQ144:AR144"/>
    <mergeCell ref="E145:F145"/>
    <mergeCell ref="H145:I145"/>
    <mergeCell ref="O145:P145"/>
    <mergeCell ref="Q145:R145"/>
    <mergeCell ref="S145:T145"/>
    <mergeCell ref="U145:V145"/>
    <mergeCell ref="W145:X145"/>
    <mergeCell ref="Y145:Z145"/>
    <mergeCell ref="AA145:AB145"/>
    <mergeCell ref="AC145:AD145"/>
    <mergeCell ref="AE145:AF145"/>
    <mergeCell ref="AG145:AH145"/>
    <mergeCell ref="AI145:AJ145"/>
    <mergeCell ref="AK145:AL145"/>
    <mergeCell ref="AM145:AN145"/>
    <mergeCell ref="AO145:AP145"/>
    <mergeCell ref="AQ145:AR145"/>
    <mergeCell ref="E146:F146"/>
    <mergeCell ref="H146:I146"/>
    <mergeCell ref="O146:P146"/>
    <mergeCell ref="Q146:R146"/>
    <mergeCell ref="S146:T146"/>
    <mergeCell ref="U146:V146"/>
    <mergeCell ref="W146:X146"/>
    <mergeCell ref="Y146:Z146"/>
    <mergeCell ref="AA146:AB146"/>
    <mergeCell ref="AC146:AD146"/>
    <mergeCell ref="AE146:AF146"/>
    <mergeCell ref="AG146:AH146"/>
    <mergeCell ref="AI146:AJ146"/>
    <mergeCell ref="AK146:AL146"/>
    <mergeCell ref="AM146:AN146"/>
    <mergeCell ref="AO146:AP146"/>
    <mergeCell ref="AQ146:AR146"/>
    <mergeCell ref="E147:F147"/>
    <mergeCell ref="H147:I147"/>
    <mergeCell ref="O147:P147"/>
    <mergeCell ref="Q147:R147"/>
    <mergeCell ref="S147:T147"/>
    <mergeCell ref="U147:V147"/>
    <mergeCell ref="W147:X147"/>
    <mergeCell ref="Y147:Z147"/>
    <mergeCell ref="AA147:AB147"/>
    <mergeCell ref="AC147:AD147"/>
    <mergeCell ref="AE147:AF147"/>
    <mergeCell ref="AG147:AH147"/>
    <mergeCell ref="AI147:AJ147"/>
    <mergeCell ref="AK147:AL147"/>
    <mergeCell ref="AM147:AN147"/>
    <mergeCell ref="AO147:AP147"/>
    <mergeCell ref="AQ147:AR147"/>
  </mergeCells>
  <conditionalFormatting sqref="E123:E125">
    <cfRule type="cellIs" priority="2" operator="lessThan" aboveAverage="0" equalAverage="0" bottom="0" percent="0" rank="0" text="" dxfId="0">
      <formula>0</formula>
    </cfRule>
  </conditionalFormatting>
  <conditionalFormatting sqref="G123:G127 G133">
    <cfRule type="cellIs" priority="3" operator="lessThan" aboveAverage="0" equalAverage="0" bottom="0" percent="0" rank="0" text="" dxfId="1">
      <formula>0</formula>
    </cfRule>
  </conditionalFormatting>
  <conditionalFormatting sqref="E133">
    <cfRule type="cellIs" priority="4" operator="lessThan" aboveAverage="0" equalAverage="0" bottom="0" percent="0" rank="0" text="" dxfId="2">
      <formula>0</formula>
    </cfRule>
  </conditionalFormatting>
  <conditionalFormatting sqref="F133">
    <cfRule type="cellIs" priority="5" operator="lessThan" aboveAverage="0" equalAverage="0" bottom="0" percent="0" rank="0" text="" dxfId="3">
      <formula>0</formula>
    </cfRule>
  </conditionalFormatting>
  <conditionalFormatting sqref="G128:G132">
    <cfRule type="cellIs" priority="6" operator="lessThan" aboveAverage="0" equalAverage="0" bottom="0" percent="0" rank="0" text="" dxfId="4">
      <formula>0</formula>
    </cfRule>
  </conditionalFormatting>
  <conditionalFormatting sqref="F107:F120">
    <cfRule type="cellIs" priority="7" operator="lessThan" aboveAverage="0" equalAverage="0" bottom="0" percent="0" rank="0" text="" dxfId="5">
      <formula>0</formula>
    </cfRule>
  </conditionalFormatting>
  <conditionalFormatting sqref="AQ141:AR141">
    <cfRule type="cellIs" priority="8" operator="greaterThanOrEqual" aboveAverage="0" equalAverage="0" bottom="0" percent="0" rank="0" text="" dxfId="6">
      <formula>$AC$141</formula>
    </cfRule>
  </conditionalFormatting>
  <conditionalFormatting sqref="AQ142:AR142">
    <cfRule type="cellIs" priority="9" operator="greaterThanOrEqual" aboveAverage="0" equalAverage="0" bottom="0" percent="0" rank="0" text="" dxfId="7">
      <formula>$AC$142</formula>
    </cfRule>
  </conditionalFormatting>
  <conditionalFormatting sqref="AQ143:AR143">
    <cfRule type="cellIs" priority="10" operator="greaterThanOrEqual" aboveAverage="0" equalAverage="0" bottom="0" percent="0" rank="0" text="" dxfId="8">
      <formula>$AC$143</formula>
    </cfRule>
  </conditionalFormatting>
  <conditionalFormatting sqref="AQ144:AR144">
    <cfRule type="cellIs" priority="11" operator="greaterThanOrEqual" aboveAverage="0" equalAverage="0" bottom="0" percent="0" rank="0" text="" dxfId="9">
      <formula>$AC$144</formula>
    </cfRule>
  </conditionalFormatting>
  <conditionalFormatting sqref="AQ145:AR145">
    <cfRule type="cellIs" priority="12" operator="greaterThanOrEqual" aboveAverage="0" equalAverage="0" bottom="0" percent="0" rank="0" text="" dxfId="10">
      <formula>$AC$145</formula>
    </cfRule>
  </conditionalFormatting>
  <conditionalFormatting sqref="AQ146:AR146">
    <cfRule type="cellIs" priority="13" operator="greaterThanOrEqual" aboveAverage="0" equalAverage="0" bottom="0" percent="0" rank="0" text="" dxfId="11">
      <formula>$AC$146</formula>
    </cfRule>
  </conditionalFormatting>
  <conditionalFormatting sqref="F123:F127">
    <cfRule type="cellIs" priority="14" operator="lessThan" aboveAverage="0" equalAverage="0" bottom="0" percent="0" rank="0" text="" dxfId="12">
      <formula>0</formula>
    </cfRule>
  </conditionalFormatting>
  <conditionalFormatting sqref="F128:F132">
    <cfRule type="cellIs" priority="15" operator="lessThan" aboveAverage="0" equalAverage="0" bottom="0" percent="0" rank="0" text="" dxfId="13">
      <formula>0</formula>
    </cfRule>
  </conditionalFormatting>
  <conditionalFormatting sqref="E126:E132">
    <cfRule type="cellIs" priority="16" operator="lessThan" aboveAverage="0" equalAverage="0" bottom="0" percent="0" rank="0" text="" dxfId="14">
      <formula>0</formula>
    </cfRule>
  </conditionalFormatting>
  <conditionalFormatting sqref="Q141:AP141 Q142:AB146 AE142:AP146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2:AD142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3:AD143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4:AD144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5:AD14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6:AD146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2:AD142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3:AD143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4:AD144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5:AD145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6:AD146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2:AD142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3:AD143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4:AD144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5:AD14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6:AD14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2:AD142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3:AD143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4:AD144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5:AD145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6:AD146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AP141 Q142:AB146 AE142:AP146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2:AD142 AM142:AN142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3:AD143 AM143:AN143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4:AD144 AM144:AN144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5:AD145 AM145:AN145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C146:AD146 AM146:AN146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V141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V142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V143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V144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V145">
    <cfRule type="colorScale" priority="4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V146">
    <cfRule type="colorScale" priority="4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X141"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X142">
    <cfRule type="colorScale" priority="5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X143"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X144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X145">
    <cfRule type="colorScale" priority="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X146">
    <cfRule type="colorScale" priority="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Z141"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Z142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Z143">
    <cfRule type="colorScale" priority="5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Z144">
    <cfRule type="colorScale" priority="5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Z145"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Z146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AB141">
    <cfRule type="colorScale" priority="6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AB142">
    <cfRule type="colorScale" priority="6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AB143"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AB144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AB145">
    <cfRule type="colorScale" priority="6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AB146">
    <cfRule type="colorScale" priority="6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AF141"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AF142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AF143">
    <cfRule type="colorScale" priority="7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AF144">
    <cfRule type="colorScale" priority="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AF145"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AF146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AH141">
    <cfRule type="colorScale" priority="7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AH142">
    <cfRule type="colorScale" priority="7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AH143"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AH144">
    <cfRule type="colorScale" priority="7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AH145">
    <cfRule type="colorScale" priority="7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AH146">
    <cfRule type="colorScale" priority="7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AJ141">
    <cfRule type="colorScale" priority="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AJ142">
    <cfRule type="colorScale" priority="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AJ143">
    <cfRule type="colorScale" priority="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AJ144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AJ145">
    <cfRule type="colorScale" priority="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AJ146">
    <cfRule type="colorScale" priority="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AL141"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AL142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AL143">
    <cfRule type="colorScale" priority="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AL144">
    <cfRule type="colorScale" priority="8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AL145">
    <cfRule type="colorScale" priority="9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AL146">
    <cfRule type="colorScale" priority="9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AN141"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AN142">
    <cfRule type="colorScale" priority="9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AN143"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AN144">
    <cfRule type="colorScale" priority="9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AN145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AN146">
    <cfRule type="colorScale" priority="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1:AP141"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2:AP142">
    <cfRule type="colorScale" priority="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3:AP143"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4:AP144">
    <cfRule type="colorScale" priority="10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5:AP145"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Q146:AP146">
    <cfRule type="colorScale" priority="10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dataValidations count="1">
    <dataValidation allowBlank="true" errorStyle="stop" operator="between" showDropDown="false" showErrorMessage="true" showInputMessage="true" sqref="C28:C46 C49:C104 C107:C120" type="list">
      <formula1>$C$141:$C$146</formula1>
      <formula2>0</formula2>
    </dataValidation>
  </dataValidations>
  <hyperlinks>
    <hyperlink ref="G1" location="Menu!A1" display="MENU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O16"/>
  <sheetViews>
    <sheetView showFormulas="false" showGridLines="true" showRowColHeaders="true" showZeros="true" rightToLeft="false" tabSelected="true" showOutlineSymbols="true" defaultGridColor="true" view="normal" topLeftCell="A4" colorId="64" zoomScale="85" zoomScaleNormal="85" zoomScalePageLayoutView="100" workbookViewId="0">
      <selection pane="topLeft" activeCell="I34" activeCellId="0" sqref="I34"/>
    </sheetView>
  </sheetViews>
  <sheetFormatPr defaultColWidth="8.6796875" defaultRowHeight="14.4" zeroHeight="false" outlineLevelRow="0" outlineLevelCol="0"/>
  <cols>
    <col collapsed="false" customWidth="true" hidden="false" outlineLevel="0" max="1" min="1" style="80" width="1.66"/>
    <col collapsed="false" customWidth="false" hidden="false" outlineLevel="0" max="2" min="2" style="80" width="8.67"/>
    <col collapsed="false" customWidth="true" hidden="false" outlineLevel="0" max="13" min="3" style="81" width="13.66"/>
    <col collapsed="false" customWidth="true" hidden="false" outlineLevel="0" max="14" min="14" style="81" width="24.19"/>
    <col collapsed="false" customWidth="true" hidden="false" outlineLevel="0" max="15" min="15" style="81" width="13.66"/>
    <col collapsed="false" customWidth="false" hidden="false" outlineLevel="0" max="1024" min="16" style="80" width="8.67"/>
  </cols>
  <sheetData>
    <row r="3" customFormat="false" ht="14.4" hidden="false" customHeight="false" outlineLevel="0" collapsed="false">
      <c r="C3" s="82"/>
      <c r="N3" s="82"/>
    </row>
    <row r="4" customFormat="false" ht="14.4" hidden="false" customHeight="false" outlineLevel="0" collapsed="false">
      <c r="B4" s="80" t="s">
        <v>68</v>
      </c>
      <c r="C4" s="83" t="n">
        <v>44593</v>
      </c>
      <c r="D4" s="83" t="n">
        <v>44621</v>
      </c>
      <c r="E4" s="83" t="n">
        <v>44652</v>
      </c>
      <c r="F4" s="83" t="n">
        <v>44682</v>
      </c>
      <c r="G4" s="83" t="n">
        <v>44713</v>
      </c>
      <c r="H4" s="83" t="n">
        <v>44743</v>
      </c>
      <c r="I4" s="83" t="n">
        <v>44774</v>
      </c>
      <c r="J4" s="83" t="n">
        <v>44805</v>
      </c>
      <c r="K4" s="83" t="n">
        <v>44835</v>
      </c>
      <c r="L4" s="83" t="n">
        <v>44866</v>
      </c>
      <c r="M4" s="83" t="n">
        <v>44896</v>
      </c>
      <c r="N4" s="83" t="n">
        <v>44927</v>
      </c>
    </row>
    <row r="5" customFormat="false" ht="13.8" hidden="false" customHeight="false" outlineLevel="0" collapsed="false">
      <c r="C5" s="84" t="n">
        <v>44287.76</v>
      </c>
      <c r="D5" s="84" t="n">
        <v>58341.99</v>
      </c>
      <c r="E5" s="84" t="n">
        <v>60662.3</v>
      </c>
      <c r="F5" s="84" t="n">
        <v>73659.92</v>
      </c>
      <c r="G5" s="84" t="n">
        <v>65724.08</v>
      </c>
      <c r="H5" s="84" t="n">
        <v>86526.98</v>
      </c>
      <c r="I5" s="84" t="n">
        <v>94314.39</v>
      </c>
      <c r="J5" s="84" t="n">
        <v>84215.3</v>
      </c>
      <c r="K5" s="84" t="n">
        <v>82831.23</v>
      </c>
      <c r="L5" s="84" t="n">
        <v>91562.04</v>
      </c>
      <c r="M5" s="84" t="n">
        <v>83220.73</v>
      </c>
      <c r="N5" s="84" t="n">
        <v>91562.04</v>
      </c>
    </row>
    <row r="7" customFormat="false" ht="14.4" hidden="false" customHeight="false" outlineLevel="0" collapsed="false">
      <c r="N7" s="85"/>
    </row>
    <row r="9" customFormat="false" ht="14.4" hidden="false" customHeight="false" outlineLevel="0" collapsed="false">
      <c r="N9" s="86" t="n">
        <f aca="false">AVERAGE(C5:N5)</f>
        <v>76409.0633333333</v>
      </c>
      <c r="O9" s="87" t="n">
        <f aca="false">(N9-N10)/N10</f>
        <v>-0.621000305924936</v>
      </c>
    </row>
    <row r="10" customFormat="false" ht="14.4" hidden="false" customHeight="false" outlineLevel="0" collapsed="false">
      <c r="N10" s="86" t="n">
        <v>201607.19</v>
      </c>
    </row>
    <row r="15" customFormat="false" ht="14.4" hidden="false" customHeight="false" outlineLevel="0" collapsed="false">
      <c r="N15" s="86" t="n">
        <f aca="false">N5</f>
        <v>91562.04</v>
      </c>
      <c r="O15" s="87" t="n">
        <f aca="false">(N15-N16)/N16</f>
        <v>1.40512598786326</v>
      </c>
    </row>
    <row r="16" customFormat="false" ht="14.4" hidden="false" customHeight="false" outlineLevel="0" collapsed="false">
      <c r="N16" s="86" t="n">
        <v>38069.54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91"/>
  <sheetViews>
    <sheetView showFormulas="false" showGridLines="true" showRowColHeaders="true" showZeros="true" rightToLeft="false" tabSelected="false" showOutlineSymbols="true" defaultGridColor="true" view="normal" topLeftCell="A4" colorId="64" zoomScale="70" zoomScaleNormal="70" zoomScalePageLayoutView="100" workbookViewId="0">
      <selection pane="topLeft" activeCell="C11" activeCellId="0" sqref="C11"/>
    </sheetView>
  </sheetViews>
  <sheetFormatPr defaultColWidth="9.34375" defaultRowHeight="16.8" zeroHeight="false" outlineLevelRow="0" outlineLevelCol="1"/>
  <cols>
    <col collapsed="false" customWidth="true" hidden="false" outlineLevel="0" max="1" min="1" style="88" width="1.56"/>
    <col collapsed="false" customWidth="true" hidden="false" outlineLevel="0" max="2" min="2" style="88" width="41"/>
    <col collapsed="false" customWidth="true" hidden="false" outlineLevel="0" max="3" min="3" style="88" width="19.65"/>
    <col collapsed="false" customWidth="true" hidden="false" outlineLevel="0" max="4" min="4" style="88" width="16"/>
    <col collapsed="false" customWidth="true" hidden="false" outlineLevel="0" max="5" min="5" style="88" width="19.65"/>
    <col collapsed="false" customWidth="true" hidden="false" outlineLevel="0" max="7" min="6" style="88" width="16"/>
    <col collapsed="false" customWidth="false" hidden="false" outlineLevel="0" max="9" min="8" style="88" width="9.33"/>
    <col collapsed="false" customWidth="true" hidden="false" outlineLevel="0" max="10" min="10" style="88" width="41"/>
    <col collapsed="false" customWidth="true" hidden="false" outlineLevel="0" max="11" min="11" style="88" width="0.56"/>
    <col collapsed="false" customWidth="true" hidden="true" outlineLevel="1" max="12" min="12" style="88" width="15.66"/>
    <col collapsed="false" customWidth="true" hidden="true" outlineLevel="1" max="13" min="13" style="88" width="9.56"/>
    <col collapsed="false" customWidth="true" hidden="true" outlineLevel="1" max="14" min="14" style="88" width="15.66"/>
    <col collapsed="false" customWidth="true" hidden="true" outlineLevel="1" max="15" min="15" style="88" width="9"/>
    <col collapsed="false" customWidth="true" hidden="false" outlineLevel="1" max="16" min="16" style="88" width="15.66"/>
    <col collapsed="false" customWidth="true" hidden="false" outlineLevel="1" max="17" min="17" style="88" width="9"/>
    <col collapsed="false" customWidth="true" hidden="false" outlineLevel="0" max="18" min="18" style="88" width="14.66"/>
    <col collapsed="false" customWidth="true" hidden="true" outlineLevel="0" max="23" min="19" style="88" width="14.66"/>
    <col collapsed="false" customWidth="true" hidden="true" outlineLevel="0" max="24" min="24" style="88" width="15.66"/>
    <col collapsed="false" customWidth="true" hidden="true" outlineLevel="0" max="25" min="25" style="88" width="13.55"/>
    <col collapsed="false" customWidth="true" hidden="true" outlineLevel="0" max="31" min="26" style="88" width="14.66"/>
    <col collapsed="false" customWidth="true" hidden="true" outlineLevel="0" max="32" min="32" style="88" width="15.66"/>
    <col collapsed="false" customWidth="true" hidden="true" outlineLevel="0" max="33" min="33" style="88" width="13.55"/>
    <col collapsed="false" customWidth="true" hidden="false" outlineLevel="0" max="34" min="34" style="88" width="15.66"/>
    <col collapsed="false" customWidth="true" hidden="false" outlineLevel="0" max="35" min="35" style="88" width="9"/>
    <col collapsed="false" customWidth="true" hidden="false" outlineLevel="0" max="36" min="36" style="88" width="12.33"/>
    <col collapsed="false" customWidth="true" hidden="false" outlineLevel="0" max="37" min="37" style="88" width="1.44"/>
    <col collapsed="false" customWidth="true" hidden="false" outlineLevel="0" max="39" min="38" style="88" width="16.67"/>
    <col collapsed="false" customWidth="false" hidden="false" outlineLevel="0" max="41" min="40" style="88" width="9.33"/>
    <col collapsed="false" customWidth="true" hidden="false" outlineLevel="0" max="43" min="42" style="88" width="16.67"/>
    <col collapsed="false" customWidth="false" hidden="false" outlineLevel="0" max="47" min="44" style="88" width="9.33"/>
    <col collapsed="false" customWidth="true" hidden="false" outlineLevel="0" max="48" min="48" style="88" width="16.33"/>
    <col collapsed="false" customWidth="true" hidden="false" outlineLevel="0" max="49" min="49" style="88" width="13.43"/>
    <col collapsed="false" customWidth="false" hidden="false" outlineLevel="0" max="1024" min="50" style="88" width="9.33"/>
  </cols>
  <sheetData>
    <row r="1" customFormat="false" ht="17.7" hidden="false" customHeight="true" outlineLevel="0" collapsed="false">
      <c r="B1" s="89"/>
      <c r="C1" s="89"/>
      <c r="F1" s="90" t="s">
        <v>0</v>
      </c>
      <c r="G1" s="90"/>
      <c r="J1" s="91"/>
      <c r="K1" s="91"/>
      <c r="L1" s="91" t="n">
        <f aca="false">N1-1</f>
        <v>20</v>
      </c>
      <c r="M1" s="91"/>
      <c r="N1" s="91" t="n">
        <f aca="false">AM1-1</f>
        <v>21</v>
      </c>
      <c r="O1" s="91"/>
      <c r="P1" s="91" t="n">
        <f aca="false">AM1</f>
        <v>22</v>
      </c>
      <c r="Q1" s="91"/>
      <c r="R1" s="91"/>
      <c r="S1" s="91"/>
      <c r="T1" s="91"/>
      <c r="U1" s="91"/>
      <c r="V1" s="91"/>
      <c r="W1" s="92"/>
      <c r="X1" s="92"/>
      <c r="Y1" s="92"/>
      <c r="Z1" s="92"/>
      <c r="AA1" s="92"/>
      <c r="AB1" s="92"/>
      <c r="AC1" s="92"/>
      <c r="AD1" s="92"/>
      <c r="AL1" s="91" t="str">
        <f aca="false">MID(Menu!L1,3,4)</f>
        <v>23</v>
      </c>
      <c r="AM1" s="91" t="n">
        <f aca="false">AL1-1</f>
        <v>22</v>
      </c>
      <c r="AN1" s="91"/>
      <c r="AP1" s="91" t="str">
        <f aca="false">MID(Menu!P1,3,4)</f>
        <v/>
      </c>
      <c r="AQ1" s="91" t="e">
        <f aca="false">AP1-1</f>
        <v>#VALUE!</v>
      </c>
    </row>
    <row r="2" customFormat="false" ht="16.8" hidden="false" customHeight="false" outlineLevel="0" collapsed="false">
      <c r="B2" s="89"/>
      <c r="C2" s="89"/>
      <c r="F2" s="90"/>
      <c r="G2" s="90"/>
      <c r="L2" s="92"/>
      <c r="M2" s="92"/>
      <c r="N2" s="92"/>
      <c r="O2" s="92"/>
      <c r="P2" s="93" t="s">
        <v>69</v>
      </c>
      <c r="Q2" s="92"/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H2" s="94" t="s">
        <v>69</v>
      </c>
    </row>
    <row r="3" customFormat="false" ht="4.5" hidden="false" customHeight="true" outlineLevel="0" collapsed="false">
      <c r="B3" s="89"/>
      <c r="C3" s="89"/>
      <c r="R3" s="92"/>
      <c r="S3" s="92"/>
      <c r="T3" s="92"/>
      <c r="U3" s="92"/>
      <c r="V3" s="92"/>
    </row>
    <row r="4" customFormat="false" ht="21.6" hidden="false" customHeight="true" outlineLevel="0" collapsed="false">
      <c r="B4" s="95" t="s">
        <v>70</v>
      </c>
      <c r="C4" s="95"/>
      <c r="D4" s="95"/>
      <c r="E4" s="95"/>
      <c r="F4" s="95"/>
      <c r="G4" s="95"/>
      <c r="H4" s="96"/>
      <c r="I4" s="96"/>
      <c r="J4" s="97" t="s">
        <v>70</v>
      </c>
      <c r="K4" s="97"/>
      <c r="L4" s="97" t="str">
        <f aca="false">"MÉDIA"&amp;" "&amp;L1</f>
        <v>MÉDIA 20</v>
      </c>
      <c r="M4" s="97" t="s">
        <v>11</v>
      </c>
      <c r="N4" s="97" t="str">
        <f aca="false">"MÉDIA"&amp;" "&amp;N1</f>
        <v>MÉDIA 21</v>
      </c>
      <c r="O4" s="97" t="s">
        <v>11</v>
      </c>
      <c r="P4" s="97" t="str">
        <f aca="false">"MÉDIA"&amp;" "&amp;P1</f>
        <v>MÉDIA 22</v>
      </c>
      <c r="Q4" s="97" t="s">
        <v>11</v>
      </c>
      <c r="R4" s="98" t="str">
        <f aca="false">"jan"&amp;"-"&amp;MID(Menu!L1,3,4)</f>
        <v>jan-23</v>
      </c>
      <c r="S4" s="98" t="n">
        <f aca="false">R4+31</f>
        <v>44958</v>
      </c>
      <c r="T4" s="98" t="n">
        <f aca="false">S4+31</f>
        <v>44989</v>
      </c>
      <c r="U4" s="98" t="n">
        <f aca="false">T4+31</f>
        <v>45020</v>
      </c>
      <c r="V4" s="98" t="n">
        <f aca="false">U4+31</f>
        <v>45051</v>
      </c>
      <c r="W4" s="98" t="n">
        <f aca="false">V4+31</f>
        <v>45082</v>
      </c>
      <c r="X4" s="97" t="s">
        <v>71</v>
      </c>
      <c r="Y4" s="97" t="s">
        <v>72</v>
      </c>
      <c r="Z4" s="98" t="n">
        <f aca="false">W4+31</f>
        <v>45113</v>
      </c>
      <c r="AA4" s="98" t="n">
        <f aca="false">Z4+31</f>
        <v>45144</v>
      </c>
      <c r="AB4" s="98" t="n">
        <f aca="false">AA4+31</f>
        <v>45175</v>
      </c>
      <c r="AC4" s="98" t="n">
        <f aca="false">AB4+31</f>
        <v>45206</v>
      </c>
      <c r="AD4" s="98" t="n">
        <f aca="false">AC4+31</f>
        <v>45237</v>
      </c>
      <c r="AE4" s="98" t="n">
        <f aca="false">AD4+31</f>
        <v>45268</v>
      </c>
      <c r="AF4" s="97" t="s">
        <v>73</v>
      </c>
      <c r="AG4" s="97" t="s">
        <v>72</v>
      </c>
      <c r="AH4" s="97" t="str">
        <f aca="false">"MÉDIA"&amp;AH2&amp;MID(Menu!L1,3,4)</f>
        <v>MÉDIA 23</v>
      </c>
      <c r="AI4" s="97" t="s">
        <v>11</v>
      </c>
      <c r="AJ4" s="97" t="str">
        <f aca="false">AM1&amp;" "&amp;"x "&amp;AL1&amp;" "&amp;"%"</f>
        <v>22 x 23 %</v>
      </c>
      <c r="AL4" s="99" t="str">
        <f aca="false">"MÉDIA "&amp;P1</f>
        <v>MÉDIA 22</v>
      </c>
      <c r="AM4" s="99" t="str">
        <f aca="false">AJ4</f>
        <v>22 x 23 %</v>
      </c>
      <c r="AP4" s="99" t="s">
        <v>74</v>
      </c>
      <c r="AQ4" s="99" t="s">
        <v>11</v>
      </c>
    </row>
    <row r="5" customFormat="false" ht="21.75" hidden="false" customHeight="true" outlineLevel="0" collapsed="false">
      <c r="A5" s="100"/>
      <c r="B5" s="101"/>
      <c r="C5" s="102" t="s">
        <v>53</v>
      </c>
      <c r="D5" s="102"/>
      <c r="E5" s="102" t="s">
        <v>54</v>
      </c>
      <c r="F5" s="102"/>
      <c r="G5" s="103" t="s">
        <v>75</v>
      </c>
      <c r="H5" s="100"/>
      <c r="I5" s="100"/>
      <c r="J5" s="104"/>
      <c r="K5" s="104"/>
      <c r="L5" s="105"/>
      <c r="M5" s="106"/>
      <c r="N5" s="105"/>
      <c r="O5" s="106"/>
      <c r="P5" s="105"/>
      <c r="Q5" s="106"/>
      <c r="R5" s="105"/>
      <c r="S5" s="105"/>
      <c r="T5" s="105"/>
      <c r="U5" s="105"/>
      <c r="V5" s="105"/>
      <c r="W5" s="105"/>
      <c r="X5" s="105"/>
      <c r="Y5" s="106"/>
      <c r="Z5" s="105"/>
      <c r="AA5" s="105"/>
      <c r="AB5" s="105"/>
      <c r="AC5" s="105"/>
      <c r="AD5" s="105"/>
      <c r="AE5" s="105"/>
      <c r="AF5" s="105"/>
      <c r="AG5" s="106"/>
      <c r="AH5" s="105"/>
      <c r="AI5" s="107"/>
      <c r="AJ5" s="106"/>
    </row>
    <row r="6" s="119" customFormat="true" ht="21.75" hidden="false" customHeight="true" outlineLevel="0" collapsed="false">
      <c r="A6" s="100"/>
      <c r="B6" s="108" t="s">
        <v>76</v>
      </c>
      <c r="C6" s="109" t="n">
        <f aca="false">'R.T - Fluxo de Caixa'!F8</f>
        <v>95289.72</v>
      </c>
      <c r="D6" s="110" t="n">
        <f aca="false">C6/$C$6</f>
        <v>1</v>
      </c>
      <c r="E6" s="111" t="n">
        <v>120000</v>
      </c>
      <c r="F6" s="112" t="n">
        <f aca="false">E6/$E$6</f>
        <v>1</v>
      </c>
      <c r="G6" s="110" t="n">
        <f aca="false">(C6-E6)/E6</f>
        <v>-0.205919</v>
      </c>
      <c r="H6" s="113"/>
      <c r="I6" s="100"/>
      <c r="J6" s="114" t="s">
        <v>76</v>
      </c>
      <c r="K6" s="114"/>
      <c r="L6" s="115" t="n">
        <v>314232.985</v>
      </c>
      <c r="M6" s="116" t="n">
        <v>1</v>
      </c>
      <c r="N6" s="115" t="n">
        <v>420869.0375</v>
      </c>
      <c r="O6" s="116" t="n">
        <v>1</v>
      </c>
      <c r="P6" s="115" t="n">
        <v>76947.49</v>
      </c>
      <c r="Q6" s="116" t="n">
        <v>1</v>
      </c>
      <c r="R6" s="115" t="n">
        <v>95289.72</v>
      </c>
      <c r="S6" s="115"/>
      <c r="T6" s="115"/>
      <c r="U6" s="115"/>
      <c r="V6" s="115"/>
      <c r="W6" s="115"/>
      <c r="X6" s="117"/>
      <c r="Y6" s="118"/>
      <c r="Z6" s="115"/>
      <c r="AA6" s="115"/>
      <c r="AB6" s="115"/>
      <c r="AC6" s="115"/>
      <c r="AD6" s="115"/>
      <c r="AE6" s="115"/>
      <c r="AF6" s="117"/>
      <c r="AG6" s="118"/>
      <c r="AH6" s="117" t="n">
        <f aca="false">AVERAGE(R6:AE6)</f>
        <v>95289.72</v>
      </c>
      <c r="AI6" s="118" t="n">
        <f aca="false">AH6/$AH$6</f>
        <v>1</v>
      </c>
      <c r="AJ6" s="118" t="n">
        <f aca="false">AM6</f>
        <v>0.238373337453892</v>
      </c>
      <c r="AL6" s="120" t="n">
        <f aca="false">P6</f>
        <v>76947.49</v>
      </c>
      <c r="AM6" s="121" t="n">
        <f aca="false">(AH6-AL6)/AL6</f>
        <v>0.238373337453892</v>
      </c>
      <c r="AP6" s="122" t="n">
        <v>270322.39</v>
      </c>
      <c r="AQ6" s="121" t="n">
        <v>1</v>
      </c>
    </row>
    <row r="7" s="89" customFormat="true" ht="21.75" hidden="false" customHeight="true" outlineLevel="0" collapsed="false">
      <c r="A7" s="100"/>
      <c r="B7" s="123" t="s">
        <v>77</v>
      </c>
      <c r="C7" s="124" t="n">
        <f aca="false">'R.T - Fluxo de Caixa'!F9+'R.T - Fluxo de Caixa'!F11+'R.T - Fluxo de Caixa'!F12+'R.T - Fluxo de Caixa'!F14</f>
        <v>91289.72</v>
      </c>
      <c r="D7" s="125" t="n">
        <f aca="false">C7/$C$6</f>
        <v>0.958022754185866</v>
      </c>
      <c r="E7" s="126" t="n">
        <f aca="false">F7*$E$6</f>
        <v>114000</v>
      </c>
      <c r="F7" s="127" t="n">
        <v>0.95</v>
      </c>
      <c r="G7" s="125" t="n">
        <f aca="false">(C7-E7)/E7</f>
        <v>-0.19921298245614</v>
      </c>
      <c r="H7" s="128"/>
      <c r="I7" s="100"/>
      <c r="J7" s="129" t="s">
        <v>77</v>
      </c>
      <c r="K7" s="129"/>
      <c r="L7" s="130" t="n">
        <v>315543.6675</v>
      </c>
      <c r="M7" s="131" t="n">
        <v>1.00417105320754</v>
      </c>
      <c r="N7" s="130" t="n">
        <v>415935.539166667</v>
      </c>
      <c r="O7" s="131" t="n">
        <v>0.988277830171022</v>
      </c>
      <c r="P7" s="130" t="n">
        <v>68093.4066666667</v>
      </c>
      <c r="Q7" s="131" t="n">
        <v>0.884933435342292</v>
      </c>
      <c r="R7" s="130" t="n">
        <v>91289.72</v>
      </c>
      <c r="S7" s="130"/>
      <c r="T7" s="130"/>
      <c r="U7" s="130"/>
      <c r="V7" s="130"/>
      <c r="W7" s="130"/>
      <c r="X7" s="132"/>
      <c r="Y7" s="133"/>
      <c r="Z7" s="130"/>
      <c r="AA7" s="130"/>
      <c r="AB7" s="130"/>
      <c r="AC7" s="130"/>
      <c r="AD7" s="130"/>
      <c r="AE7" s="130"/>
      <c r="AF7" s="132"/>
      <c r="AG7" s="133"/>
      <c r="AH7" s="132" t="n">
        <f aca="false">AVERAGE(R7:AE7)</f>
        <v>91289.72</v>
      </c>
      <c r="AI7" s="133" t="n">
        <f aca="false">AH7/$AH$6</f>
        <v>0.958022754185866</v>
      </c>
      <c r="AJ7" s="133" t="n">
        <f aca="false">AM7</f>
        <v>0.340654322772905</v>
      </c>
      <c r="AL7" s="120" t="n">
        <f aca="false">P7</f>
        <v>68093.4066666667</v>
      </c>
      <c r="AM7" s="121" t="n">
        <f aca="false">(AH7-AL7)/AL7</f>
        <v>0.340654322772905</v>
      </c>
      <c r="AP7" s="122" t="n">
        <v>281133.846666667</v>
      </c>
      <c r="AQ7" s="121" t="n">
        <v>1.03999467697318</v>
      </c>
    </row>
    <row r="8" s="89" customFormat="true" ht="21.75" hidden="false" customHeight="true" outlineLevel="0" collapsed="false">
      <c r="A8" s="100"/>
      <c r="B8" s="134" t="s">
        <v>78</v>
      </c>
      <c r="C8" s="135" t="n">
        <f aca="false">'R.T - Fluxo de Caixa'!F15+'R.T - Fluxo de Caixa'!F13</f>
        <v>4000</v>
      </c>
      <c r="D8" s="136" t="n">
        <f aca="false">C8/$C$6</f>
        <v>0.041977245814134</v>
      </c>
      <c r="E8" s="137" t="n">
        <f aca="false">F8*$E$6</f>
        <v>6000</v>
      </c>
      <c r="F8" s="138" t="n">
        <v>0.05</v>
      </c>
      <c r="G8" s="125" t="n">
        <f aca="false">(C8-E8)/E8</f>
        <v>-0.333333333333333</v>
      </c>
      <c r="H8" s="128"/>
      <c r="I8" s="100"/>
      <c r="J8" s="129" t="s">
        <v>78</v>
      </c>
      <c r="K8" s="129"/>
      <c r="L8" s="130" t="n">
        <v>-1310.6825</v>
      </c>
      <c r="M8" s="131" t="n">
        <v>-0.0041710532075428</v>
      </c>
      <c r="N8" s="130" t="n">
        <v>4933.49833333333</v>
      </c>
      <c r="O8" s="131" t="n">
        <v>0.0117221698289776</v>
      </c>
      <c r="P8" s="130" t="n">
        <v>8854.08333333333</v>
      </c>
      <c r="Q8" s="131" t="n">
        <v>0.115066564657708</v>
      </c>
      <c r="R8" s="130" t="n">
        <v>4000</v>
      </c>
      <c r="S8" s="130"/>
      <c r="T8" s="130"/>
      <c r="U8" s="130"/>
      <c r="V8" s="130"/>
      <c r="W8" s="130"/>
      <c r="X8" s="132"/>
      <c r="Y8" s="133"/>
      <c r="Z8" s="130"/>
      <c r="AA8" s="130"/>
      <c r="AB8" s="130"/>
      <c r="AC8" s="130"/>
      <c r="AD8" s="130"/>
      <c r="AE8" s="130"/>
      <c r="AF8" s="132"/>
      <c r="AG8" s="133"/>
      <c r="AH8" s="132" t="n">
        <f aca="false">AVERAGE(R8:AE8)</f>
        <v>4000</v>
      </c>
      <c r="AI8" s="133" t="n">
        <f aca="false">AH8/$AH$6</f>
        <v>0.041977245814134</v>
      </c>
      <c r="AJ8" s="133" t="n">
        <v>0</v>
      </c>
      <c r="AL8" s="120" t="n">
        <f aca="false">P8</f>
        <v>8854.08333333333</v>
      </c>
      <c r="AM8" s="121" t="n">
        <f aca="false">(AH8-AL8)/AL8</f>
        <v>-0.548231042174515</v>
      </c>
      <c r="AP8" s="122" t="n">
        <v>-10811.4566666667</v>
      </c>
      <c r="AQ8" s="121" t="n">
        <v>-0.0399946769731751</v>
      </c>
    </row>
    <row r="9" customFormat="false" ht="21.75" hidden="false" customHeight="true" outlineLevel="0" collapsed="false">
      <c r="A9" s="100"/>
      <c r="B9" s="139"/>
      <c r="C9" s="140"/>
      <c r="D9" s="141"/>
      <c r="E9" s="142"/>
      <c r="F9" s="143"/>
      <c r="G9" s="125"/>
      <c r="H9" s="128"/>
      <c r="I9" s="100"/>
      <c r="J9" s="144"/>
      <c r="K9" s="144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6"/>
      <c r="Y9" s="146"/>
      <c r="Z9" s="145"/>
      <c r="AA9" s="145"/>
      <c r="AB9" s="145"/>
      <c r="AC9" s="145"/>
      <c r="AD9" s="145"/>
      <c r="AE9" s="145"/>
      <c r="AF9" s="146"/>
      <c r="AG9" s="146"/>
      <c r="AH9" s="146"/>
      <c r="AI9" s="147"/>
      <c r="AJ9" s="146"/>
      <c r="AP9" s="148"/>
    </row>
    <row r="10" s="119" customFormat="true" ht="21.75" hidden="false" customHeight="true" outlineLevel="0" collapsed="false">
      <c r="A10" s="100"/>
      <c r="B10" s="149" t="s">
        <v>79</v>
      </c>
      <c r="C10" s="150" t="n">
        <v>50000</v>
      </c>
      <c r="D10" s="151" t="n">
        <f aca="false">C10/$C$6</f>
        <v>0.524715572676675</v>
      </c>
      <c r="E10" s="150" t="n">
        <f aca="false">E6*F10</f>
        <v>60000</v>
      </c>
      <c r="F10" s="151" t="n">
        <f aca="false">F11+F14</f>
        <v>0.5</v>
      </c>
      <c r="G10" s="152" t="n">
        <f aca="false">(D10-F10)*100</f>
        <v>2.47155726766749</v>
      </c>
      <c r="H10" s="103" t="s">
        <v>80</v>
      </c>
      <c r="I10" s="100"/>
      <c r="J10" s="144" t="s">
        <v>79</v>
      </c>
      <c r="K10" s="144"/>
      <c r="L10" s="153" t="n">
        <v>164009.2925</v>
      </c>
      <c r="M10" s="154" t="n">
        <v>0.521935316561372</v>
      </c>
      <c r="N10" s="153" t="n">
        <v>231641.485</v>
      </c>
      <c r="O10" s="154" t="n">
        <v>0.550388516047584</v>
      </c>
      <c r="P10" s="153" t="n">
        <v>43945.75</v>
      </c>
      <c r="Q10" s="154" t="n">
        <v>0.571113495709867</v>
      </c>
      <c r="R10" s="153" t="n">
        <v>55166.83</v>
      </c>
      <c r="S10" s="153"/>
      <c r="T10" s="153"/>
      <c r="U10" s="153"/>
      <c r="V10" s="153"/>
      <c r="W10" s="153"/>
      <c r="X10" s="155"/>
      <c r="Y10" s="156"/>
      <c r="Z10" s="153"/>
      <c r="AA10" s="153"/>
      <c r="AB10" s="153"/>
      <c r="AC10" s="153"/>
      <c r="AD10" s="153"/>
      <c r="AE10" s="153"/>
      <c r="AF10" s="155"/>
      <c r="AG10" s="156"/>
      <c r="AH10" s="155" t="n">
        <f aca="false">AVERAGE(R10:AE10)</f>
        <v>55166.83</v>
      </c>
      <c r="AI10" s="156" t="n">
        <f aca="false">AH10/$AH$6</f>
        <v>0.578937895924135</v>
      </c>
      <c r="AJ10" s="157" t="n">
        <f aca="false">AM10*1</f>
        <v>0.782440021426878</v>
      </c>
      <c r="AL10" s="158" t="n">
        <f aca="false">Q10</f>
        <v>0.571113495709867</v>
      </c>
      <c r="AM10" s="159" t="n">
        <f aca="false">(AI10-AL10)*100</f>
        <v>0.782440021426878</v>
      </c>
      <c r="AP10" s="122" t="n">
        <v>147250.48</v>
      </c>
      <c r="AQ10" s="121" t="n">
        <v>0.544721730227378</v>
      </c>
      <c r="AS10" s="160"/>
    </row>
    <row r="11" s="89" customFormat="true" ht="21.75" hidden="false" customHeight="true" outlineLevel="0" collapsed="false">
      <c r="A11" s="100"/>
      <c r="B11" s="134" t="s">
        <v>81</v>
      </c>
      <c r="C11" s="135" t="n">
        <f aca="false">SUM('R.T - Fluxo de Caixa'!F29:F31)</f>
        <v>29520.16</v>
      </c>
      <c r="D11" s="136" t="n">
        <f aca="false">C11/$C$6</f>
        <v>0.309793753198141</v>
      </c>
      <c r="E11" s="135" t="n">
        <f aca="false">F11*$E$6</f>
        <v>30000</v>
      </c>
      <c r="F11" s="136" t="n">
        <f aca="false">SUM(F12:F13)</f>
        <v>0.25</v>
      </c>
      <c r="G11" s="161" t="n">
        <f aca="false">(D11-F11)*100</f>
        <v>5.97937531981414</v>
      </c>
      <c r="H11" s="103" t="s">
        <v>80</v>
      </c>
      <c r="I11" s="100"/>
      <c r="J11" s="129" t="s">
        <v>81</v>
      </c>
      <c r="K11" s="129"/>
      <c r="L11" s="130" t="n">
        <v>69088.5325</v>
      </c>
      <c r="M11" s="131" t="n">
        <v>0.219864036552369</v>
      </c>
      <c r="N11" s="130" t="n">
        <v>87504.975</v>
      </c>
      <c r="O11" s="131" t="n">
        <v>0.20791497402562</v>
      </c>
      <c r="P11" s="130" t="n">
        <v>26957.13</v>
      </c>
      <c r="Q11" s="131" t="n">
        <v>0.350331505290166</v>
      </c>
      <c r="R11" s="130" t="n">
        <v>29520.16</v>
      </c>
      <c r="S11" s="130"/>
      <c r="T11" s="130"/>
      <c r="U11" s="130"/>
      <c r="V11" s="130"/>
      <c r="W11" s="130"/>
      <c r="X11" s="132"/>
      <c r="Y11" s="133"/>
      <c r="Z11" s="130"/>
      <c r="AA11" s="130"/>
      <c r="AB11" s="130"/>
      <c r="AC11" s="130"/>
      <c r="AD11" s="130"/>
      <c r="AE11" s="130"/>
      <c r="AF11" s="132"/>
      <c r="AG11" s="133"/>
      <c r="AH11" s="132" t="n">
        <f aca="false">AVERAGE(R11:AE11)</f>
        <v>29520.16</v>
      </c>
      <c r="AI11" s="133" t="n">
        <f aca="false">AH11/$AH$6</f>
        <v>0.309793753198141</v>
      </c>
      <c r="AJ11" s="162" t="n">
        <f aca="false">AM11*1</f>
        <v>-4.05377520920247</v>
      </c>
      <c r="AL11" s="158" t="n">
        <f aca="false">Q11</f>
        <v>0.350331505290166</v>
      </c>
      <c r="AM11" s="159" t="n">
        <f aca="false">(AI11-AL11)*100</f>
        <v>-4.05377520920247</v>
      </c>
      <c r="AP11" s="122" t="n">
        <v>56613.06</v>
      </c>
      <c r="AQ11" s="121" t="n">
        <v>0.209427935288675</v>
      </c>
    </row>
    <row r="12" s="89" customFormat="true" ht="21.75" hidden="false" customHeight="true" outlineLevel="0" collapsed="false">
      <c r="A12" s="100"/>
      <c r="B12" s="134" t="s">
        <v>82</v>
      </c>
      <c r="C12" s="135" t="n">
        <f aca="false">C11-C13</f>
        <v>22491.58</v>
      </c>
      <c r="D12" s="136" t="n">
        <f aca="false">C12/$C$6</f>
        <v>0.236033645602065</v>
      </c>
      <c r="E12" s="135" t="n">
        <f aca="false">F12*$E$6</f>
        <v>24000</v>
      </c>
      <c r="F12" s="136" t="n">
        <v>0.2</v>
      </c>
      <c r="G12" s="161" t="n">
        <f aca="false">(D12-F12)*100</f>
        <v>3.60336456020649</v>
      </c>
      <c r="H12" s="103" t="s">
        <v>80</v>
      </c>
      <c r="I12" s="100"/>
      <c r="J12" s="129" t="s">
        <v>83</v>
      </c>
      <c r="K12" s="129"/>
      <c r="L12" s="130" t="n">
        <v>50315.3458333333</v>
      </c>
      <c r="M12" s="131" t="n">
        <v>0.160121146522327</v>
      </c>
      <c r="N12" s="130" t="n">
        <v>66057.7716666667</v>
      </c>
      <c r="O12" s="131" t="n">
        <v>0.156955646010587</v>
      </c>
      <c r="P12" s="130" t="n">
        <v>20685.0433333333</v>
      </c>
      <c r="Q12" s="131" t="n">
        <v>0.268820247851273</v>
      </c>
      <c r="R12" s="130" t="n">
        <v>22491.58</v>
      </c>
      <c r="S12" s="130"/>
      <c r="T12" s="130"/>
      <c r="U12" s="130"/>
      <c r="V12" s="130"/>
      <c r="W12" s="130"/>
      <c r="X12" s="132"/>
      <c r="Y12" s="133"/>
      <c r="Z12" s="130"/>
      <c r="AA12" s="130"/>
      <c r="AB12" s="130"/>
      <c r="AC12" s="130"/>
      <c r="AD12" s="130"/>
      <c r="AE12" s="130"/>
      <c r="AF12" s="132"/>
      <c r="AG12" s="133"/>
      <c r="AH12" s="132" t="n">
        <f aca="false">AVERAGE(R12:AE12)</f>
        <v>22491.58</v>
      </c>
      <c r="AI12" s="133" t="n">
        <f aca="false">AH12/$AH$6</f>
        <v>0.236033645602065</v>
      </c>
      <c r="AJ12" s="162" t="n">
        <f aca="false">AM12*1</f>
        <v>-3.27866022492078</v>
      </c>
      <c r="AL12" s="158" t="n">
        <f aca="false">Q12</f>
        <v>0.268820247851273</v>
      </c>
      <c r="AM12" s="159" t="n">
        <f aca="false">(AI12-AL12)*100</f>
        <v>-3.27866022492078</v>
      </c>
      <c r="AP12" s="122" t="n">
        <v>38423.4433333333</v>
      </c>
      <c r="AQ12" s="121" t="n">
        <v>0.142139329758565</v>
      </c>
    </row>
    <row r="13" s="89" customFormat="true" ht="21.75" hidden="false" customHeight="true" outlineLevel="0" collapsed="false">
      <c r="A13" s="100"/>
      <c r="B13" s="134" t="s">
        <v>84</v>
      </c>
      <c r="C13" s="135" t="n">
        <f aca="false">'R.T - Fluxo de Caixa'!F31</f>
        <v>7028.58</v>
      </c>
      <c r="D13" s="136" t="n">
        <f aca="false">C13/$C$6</f>
        <v>0.0737601075960765</v>
      </c>
      <c r="E13" s="135" t="n">
        <f aca="false">F13*$E$6</f>
        <v>6000</v>
      </c>
      <c r="F13" s="136" t="n">
        <v>0.05</v>
      </c>
      <c r="G13" s="161" t="n">
        <f aca="false">(D13-F13)*100</f>
        <v>2.37601075960765</v>
      </c>
      <c r="H13" s="103" t="s">
        <v>80</v>
      </c>
      <c r="I13" s="100"/>
      <c r="J13" s="129" t="s">
        <v>84</v>
      </c>
      <c r="K13" s="129"/>
      <c r="L13" s="130" t="n">
        <v>18773.1866666667</v>
      </c>
      <c r="M13" s="131" t="n">
        <v>0.0597428900300415</v>
      </c>
      <c r="N13" s="130" t="n">
        <v>21447.2033333333</v>
      </c>
      <c r="O13" s="131" t="n">
        <v>0.0509593280150321</v>
      </c>
      <c r="P13" s="130" t="n">
        <v>6272.08666666667</v>
      </c>
      <c r="Q13" s="131" t="n">
        <v>0.0815112574388933</v>
      </c>
      <c r="R13" s="130" t="n">
        <v>7028.58</v>
      </c>
      <c r="S13" s="130"/>
      <c r="T13" s="130"/>
      <c r="U13" s="130"/>
      <c r="V13" s="130"/>
      <c r="W13" s="130"/>
      <c r="X13" s="132"/>
      <c r="Y13" s="133"/>
      <c r="Z13" s="130"/>
      <c r="AA13" s="130"/>
      <c r="AB13" s="130"/>
      <c r="AC13" s="130"/>
      <c r="AD13" s="130"/>
      <c r="AE13" s="130"/>
      <c r="AF13" s="132"/>
      <c r="AG13" s="133"/>
      <c r="AH13" s="132" t="n">
        <f aca="false">AVERAGE(R13:AE13)</f>
        <v>7028.58</v>
      </c>
      <c r="AI13" s="133" t="n">
        <f aca="false">AH13/$AH$6</f>
        <v>0.0737601075960765</v>
      </c>
      <c r="AJ13" s="162" t="n">
        <f aca="false">AM13*1</f>
        <v>-0.77511498428168</v>
      </c>
      <c r="AL13" s="158" t="n">
        <f aca="false">Q13</f>
        <v>0.0815112574388933</v>
      </c>
      <c r="AM13" s="159" t="n">
        <f aca="false">(AI13-AL13)*100</f>
        <v>-0.77511498428168</v>
      </c>
      <c r="AP13" s="122" t="n">
        <v>18189.6166666667</v>
      </c>
      <c r="AQ13" s="121" t="n">
        <v>0.0672886055301104</v>
      </c>
    </row>
    <row r="14" s="89" customFormat="true" ht="21.75" hidden="false" customHeight="true" outlineLevel="0" collapsed="false">
      <c r="A14" s="100"/>
      <c r="B14" s="134" t="s">
        <v>85</v>
      </c>
      <c r="C14" s="135" t="n">
        <f aca="false">C10-C11</f>
        <v>20479.84</v>
      </c>
      <c r="D14" s="136" t="n">
        <f aca="false">C14/$C$6</f>
        <v>0.214921819478533</v>
      </c>
      <c r="E14" s="135" t="n">
        <f aca="false">F14*$E$6</f>
        <v>30000</v>
      </c>
      <c r="F14" s="136" t="n">
        <v>0.25</v>
      </c>
      <c r="G14" s="161" t="n">
        <f aca="false">(D14-F14)*100</f>
        <v>-3.50781805214665</v>
      </c>
      <c r="H14" s="103" t="s">
        <v>80</v>
      </c>
      <c r="I14" s="100"/>
      <c r="J14" s="129" t="s">
        <v>85</v>
      </c>
      <c r="K14" s="129"/>
      <c r="L14" s="130" t="n">
        <v>94920.76</v>
      </c>
      <c r="M14" s="131" t="n">
        <v>0.302071280009004</v>
      </c>
      <c r="N14" s="130" t="n">
        <v>144136.51</v>
      </c>
      <c r="O14" s="131" t="n">
        <v>0.342473542021965</v>
      </c>
      <c r="P14" s="130" t="n">
        <v>16988.62</v>
      </c>
      <c r="Q14" s="131" t="n">
        <v>0.220781990419701</v>
      </c>
      <c r="R14" s="130" t="n">
        <v>25646.67</v>
      </c>
      <c r="S14" s="130"/>
      <c r="T14" s="130"/>
      <c r="U14" s="130"/>
      <c r="V14" s="130"/>
      <c r="W14" s="130"/>
      <c r="X14" s="132"/>
      <c r="Y14" s="133"/>
      <c r="Z14" s="130"/>
      <c r="AA14" s="130"/>
      <c r="AB14" s="130"/>
      <c r="AC14" s="130"/>
      <c r="AD14" s="130"/>
      <c r="AE14" s="130"/>
      <c r="AF14" s="132"/>
      <c r="AG14" s="133"/>
      <c r="AH14" s="132" t="n">
        <f aca="false">AVERAGE(R14:AE14)</f>
        <v>25646.67</v>
      </c>
      <c r="AI14" s="133" t="n">
        <f aca="false">AH14/$AH$6</f>
        <v>0.269144142725994</v>
      </c>
      <c r="AJ14" s="162" t="n">
        <f aca="false">AM14*1</f>
        <v>4.83621523062935</v>
      </c>
      <c r="AL14" s="158" t="n">
        <f aca="false">Q14</f>
        <v>0.220781990419701</v>
      </c>
      <c r="AM14" s="159" t="n">
        <f aca="false">(AI14-AL14)*100</f>
        <v>4.83621523062935</v>
      </c>
      <c r="AP14" s="122" t="n">
        <v>90637.42</v>
      </c>
      <c r="AQ14" s="121" t="n">
        <v>0.335293794938703</v>
      </c>
    </row>
    <row r="15" customFormat="false" ht="21.75" hidden="false" customHeight="true" outlineLevel="0" collapsed="false">
      <c r="A15" s="100"/>
      <c r="B15" s="163"/>
      <c r="C15" s="164"/>
      <c r="D15" s="165"/>
      <c r="E15" s="166"/>
      <c r="F15" s="167"/>
      <c r="G15" s="161"/>
      <c r="H15" s="103"/>
      <c r="I15" s="100"/>
      <c r="J15" s="144"/>
      <c r="K15" s="144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6"/>
      <c r="Y15" s="168"/>
      <c r="Z15" s="145"/>
      <c r="AA15" s="145"/>
      <c r="AB15" s="145"/>
      <c r="AC15" s="145"/>
      <c r="AD15" s="145"/>
      <c r="AE15" s="145"/>
      <c r="AF15" s="146"/>
      <c r="AG15" s="168"/>
      <c r="AH15" s="146"/>
      <c r="AI15" s="146"/>
      <c r="AJ15" s="146"/>
      <c r="AP15" s="148"/>
      <c r="AQ15" s="169"/>
    </row>
    <row r="16" s="119" customFormat="true" ht="21.75" hidden="false" customHeight="true" outlineLevel="0" collapsed="false">
      <c r="A16" s="100"/>
      <c r="B16" s="149" t="s">
        <v>86</v>
      </c>
      <c r="C16" s="150" t="n">
        <f aca="false">C6-C10</f>
        <v>45289.72</v>
      </c>
      <c r="D16" s="151" t="n">
        <f aca="false">C16/$C$6</f>
        <v>0.475284427323325</v>
      </c>
      <c r="E16" s="170" t="n">
        <f aca="false">E6-E10</f>
        <v>60000</v>
      </c>
      <c r="F16" s="171" t="n">
        <f aca="false">E16/$E$6</f>
        <v>0.5</v>
      </c>
      <c r="G16" s="152" t="n">
        <f aca="false">(D16-F16)*100</f>
        <v>-2.47155726766749</v>
      </c>
      <c r="H16" s="103" t="s">
        <v>80</v>
      </c>
      <c r="I16" s="100"/>
      <c r="J16" s="144" t="s">
        <v>86</v>
      </c>
      <c r="K16" s="144"/>
      <c r="L16" s="153" t="n">
        <v>150223.6925</v>
      </c>
      <c r="M16" s="154" t="n">
        <v>0.478064683438628</v>
      </c>
      <c r="N16" s="153" t="n">
        <v>189227.5525</v>
      </c>
      <c r="O16" s="154" t="n">
        <v>0.449611483952416</v>
      </c>
      <c r="P16" s="153" t="n">
        <v>33001.74</v>
      </c>
      <c r="Q16" s="154" t="n">
        <v>0.428886504290133</v>
      </c>
      <c r="R16" s="153" t="n">
        <v>40122.89</v>
      </c>
      <c r="S16" s="153"/>
      <c r="T16" s="153"/>
      <c r="U16" s="153"/>
      <c r="V16" s="153"/>
      <c r="W16" s="153"/>
      <c r="X16" s="155"/>
      <c r="Y16" s="156"/>
      <c r="Z16" s="153"/>
      <c r="AA16" s="153"/>
      <c r="AB16" s="153"/>
      <c r="AC16" s="153"/>
      <c r="AD16" s="153"/>
      <c r="AE16" s="153"/>
      <c r="AF16" s="155"/>
      <c r="AG16" s="156"/>
      <c r="AH16" s="155" t="n">
        <f aca="false">AVERAGE(R16:AE16)</f>
        <v>40122.89</v>
      </c>
      <c r="AI16" s="156" t="n">
        <f aca="false">AH16/$AH$6</f>
        <v>0.421062104075865</v>
      </c>
      <c r="AJ16" s="156" t="n">
        <f aca="false">(AH16-P16)/P16</f>
        <v>0.215781046696326</v>
      </c>
      <c r="AL16" s="120" t="n">
        <f aca="false">P16</f>
        <v>33001.74</v>
      </c>
      <c r="AM16" s="121" t="n">
        <f aca="false">(AH16-AL16)/AL16</f>
        <v>0.215781046696326</v>
      </c>
      <c r="AP16" s="122" t="n">
        <v>123071.91</v>
      </c>
      <c r="AQ16" s="121" t="n">
        <v>0.455278269772622</v>
      </c>
    </row>
    <row r="17" customFormat="false" ht="21.75" hidden="false" customHeight="true" outlineLevel="0" collapsed="false">
      <c r="A17" s="100"/>
      <c r="B17" s="163"/>
      <c r="C17" s="164"/>
      <c r="D17" s="172"/>
      <c r="E17" s="166"/>
      <c r="F17" s="173"/>
      <c r="G17" s="125"/>
      <c r="H17" s="100"/>
      <c r="I17" s="100"/>
      <c r="J17" s="144"/>
      <c r="K17" s="144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6"/>
      <c r="Y17" s="168"/>
      <c r="Z17" s="145"/>
      <c r="AA17" s="145"/>
      <c r="AB17" s="145"/>
      <c r="AC17" s="145"/>
      <c r="AD17" s="145"/>
      <c r="AE17" s="145"/>
      <c r="AF17" s="146"/>
      <c r="AG17" s="168"/>
      <c r="AH17" s="146"/>
      <c r="AI17" s="146"/>
      <c r="AJ17" s="146"/>
      <c r="AP17" s="148"/>
      <c r="AQ17" s="169"/>
    </row>
    <row r="18" s="119" customFormat="true" ht="21.75" hidden="false" customHeight="true" outlineLevel="0" collapsed="false">
      <c r="A18" s="100"/>
      <c r="B18" s="149" t="s">
        <v>87</v>
      </c>
      <c r="C18" s="150" t="n">
        <f aca="false">'R.T - Fluxo de Caixa'!F48</f>
        <v>29969.37</v>
      </c>
      <c r="D18" s="151" t="n">
        <f aca="false">C18/$C$6</f>
        <v>0.314507902846183</v>
      </c>
      <c r="E18" s="150" t="n">
        <f aca="false">E6*F18</f>
        <v>42000</v>
      </c>
      <c r="F18" s="151" t="n">
        <v>0.35</v>
      </c>
      <c r="G18" s="174" t="n">
        <f aca="false">(C18-E18)/E18</f>
        <v>-0.286443571428571</v>
      </c>
      <c r="H18" s="103"/>
      <c r="I18" s="100"/>
      <c r="J18" s="144" t="s">
        <v>87</v>
      </c>
      <c r="K18" s="144"/>
      <c r="L18" s="153" t="n">
        <v>88431.2508333333</v>
      </c>
      <c r="M18" s="154" t="n">
        <v>0.28141937687838</v>
      </c>
      <c r="N18" s="153" t="n">
        <v>87167.9725</v>
      </c>
      <c r="O18" s="154" t="n">
        <v>0.207114243941026</v>
      </c>
      <c r="P18" s="153" t="n">
        <v>29441.6216666667</v>
      </c>
      <c r="Q18" s="154" t="n">
        <v>0.382619649668451</v>
      </c>
      <c r="R18" s="153" t="n">
        <v>29969.37</v>
      </c>
      <c r="S18" s="153"/>
      <c r="T18" s="153"/>
      <c r="U18" s="153"/>
      <c r="V18" s="153"/>
      <c r="W18" s="153"/>
      <c r="X18" s="155"/>
      <c r="Y18" s="156"/>
      <c r="Z18" s="153"/>
      <c r="AA18" s="153"/>
      <c r="AB18" s="153"/>
      <c r="AC18" s="153"/>
      <c r="AD18" s="153"/>
      <c r="AE18" s="153"/>
      <c r="AF18" s="155"/>
      <c r="AG18" s="156"/>
      <c r="AH18" s="155" t="n">
        <f aca="false">AVERAGE(R18:AE18)</f>
        <v>29969.37</v>
      </c>
      <c r="AI18" s="156" t="n">
        <f aca="false">AH18/$AH$6</f>
        <v>0.314507902846183</v>
      </c>
      <c r="AJ18" s="156" t="n">
        <f aca="false">AM18</f>
        <v>0.0179252467580904</v>
      </c>
      <c r="AL18" s="120" t="n">
        <f aca="false">P18</f>
        <v>29441.6216666667</v>
      </c>
      <c r="AM18" s="121" t="n">
        <f aca="false">(AH18-AL18)/AL18</f>
        <v>0.0179252467580904</v>
      </c>
      <c r="AN18" s="175"/>
      <c r="AO18" s="176"/>
      <c r="AP18" s="122" t="n">
        <v>84262.9633333333</v>
      </c>
      <c r="AQ18" s="121" t="n">
        <v>0.311712852691682</v>
      </c>
    </row>
    <row r="19" s="89" customFormat="true" ht="21.75" hidden="false" customHeight="true" outlineLevel="0" collapsed="false">
      <c r="A19" s="100"/>
      <c r="B19" s="134" t="s">
        <v>88</v>
      </c>
      <c r="C19" s="135" t="n">
        <f aca="false">SUM('R.T - Fluxo de Caixa'!F49:F59)</f>
        <v>13481.32</v>
      </c>
      <c r="D19" s="136" t="n">
        <f aca="false">C19/$C$6</f>
        <v>0.14147717088475</v>
      </c>
      <c r="E19" s="135" t="n">
        <f aca="false">E18*55%</f>
        <v>23100</v>
      </c>
      <c r="F19" s="136" t="n">
        <f aca="false">E19/$E$6</f>
        <v>0.1925</v>
      </c>
      <c r="G19" s="125" t="n">
        <f aca="false">(C19-E19)/E19</f>
        <v>-0.416393073593074</v>
      </c>
      <c r="H19" s="100"/>
      <c r="I19" s="100"/>
      <c r="J19" s="129" t="s">
        <v>88</v>
      </c>
      <c r="K19" s="129"/>
      <c r="L19" s="130" t="n">
        <v>39063.6383333333</v>
      </c>
      <c r="M19" s="177" t="n">
        <v>0.124314251520519</v>
      </c>
      <c r="N19" s="130" t="n">
        <v>45846.33</v>
      </c>
      <c r="O19" s="177" t="n">
        <v>0.108932532248823</v>
      </c>
      <c r="P19" s="130" t="n">
        <v>16560.9783333333</v>
      </c>
      <c r="Q19" s="131" t="n">
        <v>0.215224412561519</v>
      </c>
      <c r="R19" s="130" t="n">
        <v>13481.32</v>
      </c>
      <c r="S19" s="130"/>
      <c r="T19" s="130"/>
      <c r="U19" s="130"/>
      <c r="V19" s="130"/>
      <c r="W19" s="130"/>
      <c r="X19" s="132"/>
      <c r="Y19" s="133"/>
      <c r="Z19" s="130"/>
      <c r="AA19" s="130"/>
      <c r="AB19" s="130"/>
      <c r="AC19" s="130"/>
      <c r="AD19" s="130"/>
      <c r="AE19" s="130"/>
      <c r="AF19" s="132"/>
      <c r="AG19" s="133"/>
      <c r="AH19" s="132" t="n">
        <f aca="false">AVERAGE(R19:AE19)</f>
        <v>13481.32</v>
      </c>
      <c r="AI19" s="133" t="n">
        <f aca="false">AH19/$AH$6</f>
        <v>0.14147717088475</v>
      </c>
      <c r="AJ19" s="133" t="n">
        <f aca="false">AM19</f>
        <v>-0.185958720031335</v>
      </c>
      <c r="AL19" s="120" t="n">
        <f aca="false">P19</f>
        <v>16560.9783333333</v>
      </c>
      <c r="AM19" s="121" t="n">
        <f aca="false">(AH19-AL19)/AL19</f>
        <v>-0.185958720031335</v>
      </c>
      <c r="AP19" s="122" t="n">
        <v>35107.0466666667</v>
      </c>
      <c r="AQ19" s="121" t="n">
        <v>0.129871027948024</v>
      </c>
    </row>
    <row r="20" s="89" customFormat="true" ht="21.75" hidden="false" customHeight="true" outlineLevel="0" collapsed="false">
      <c r="A20" s="100"/>
      <c r="B20" s="134" t="s">
        <v>89</v>
      </c>
      <c r="C20" s="135" t="n">
        <f aca="false">C18-C19</f>
        <v>16488.05</v>
      </c>
      <c r="D20" s="136" t="n">
        <f aca="false">C20/$C$6</f>
        <v>0.173030731961433</v>
      </c>
      <c r="E20" s="135" t="n">
        <f aca="false">E18-E19</f>
        <v>18900</v>
      </c>
      <c r="F20" s="136" t="n">
        <f aca="false">E20/$E$6</f>
        <v>0.1575</v>
      </c>
      <c r="G20" s="125" t="n">
        <f aca="false">(C20-E20)/E20</f>
        <v>-0.127616402116401</v>
      </c>
      <c r="H20" s="178"/>
      <c r="I20" s="100"/>
      <c r="J20" s="129" t="s">
        <v>89</v>
      </c>
      <c r="K20" s="129"/>
      <c r="L20" s="130" t="n">
        <v>49367.6125</v>
      </c>
      <c r="M20" s="177" t="n">
        <v>0.157105125357861</v>
      </c>
      <c r="N20" s="130" t="n">
        <v>41321.6425</v>
      </c>
      <c r="O20" s="177" t="n">
        <v>0.0981817116922031</v>
      </c>
      <c r="P20" s="130" t="n">
        <v>12880.6433333333</v>
      </c>
      <c r="Q20" s="131" t="n">
        <v>0.167395237106933</v>
      </c>
      <c r="R20" s="130" t="n">
        <v>16488.05</v>
      </c>
      <c r="S20" s="130"/>
      <c r="T20" s="130"/>
      <c r="U20" s="130"/>
      <c r="V20" s="130"/>
      <c r="W20" s="130"/>
      <c r="X20" s="132"/>
      <c r="Y20" s="133"/>
      <c r="Z20" s="130"/>
      <c r="AA20" s="130"/>
      <c r="AB20" s="130"/>
      <c r="AC20" s="130"/>
      <c r="AD20" s="130"/>
      <c r="AE20" s="130"/>
      <c r="AF20" s="132"/>
      <c r="AG20" s="133"/>
      <c r="AH20" s="132" t="n">
        <f aca="false">AVERAGE(R20:AE20)</f>
        <v>16488.05</v>
      </c>
      <c r="AI20" s="133" t="n">
        <f aca="false">AH20/$AH$6</f>
        <v>0.173030731961433</v>
      </c>
      <c r="AJ20" s="133" t="n">
        <f aca="false">AM20</f>
        <v>0.28006416863754</v>
      </c>
      <c r="AL20" s="120" t="n">
        <f aca="false">P20</f>
        <v>12880.6433333333</v>
      </c>
      <c r="AM20" s="121" t="n">
        <f aca="false">(AH20-AL20)/AL20</f>
        <v>0.28006416863754</v>
      </c>
      <c r="AP20" s="122" t="n">
        <v>49155.9166666667</v>
      </c>
      <c r="AQ20" s="121" t="n">
        <v>0.181841824743658</v>
      </c>
    </row>
    <row r="21" customFormat="false" ht="21.75" hidden="false" customHeight="true" outlineLevel="0" collapsed="false">
      <c r="A21" s="100"/>
      <c r="B21" s="163"/>
      <c r="C21" s="164"/>
      <c r="D21" s="172"/>
      <c r="E21" s="166"/>
      <c r="F21" s="173"/>
      <c r="G21" s="136"/>
      <c r="H21" s="128"/>
      <c r="I21" s="100"/>
      <c r="J21" s="144"/>
      <c r="K21" s="144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5"/>
      <c r="X21" s="146"/>
      <c r="Y21" s="168"/>
      <c r="Z21" s="145"/>
      <c r="AA21" s="145"/>
      <c r="AB21" s="145"/>
      <c r="AC21" s="145"/>
      <c r="AD21" s="145"/>
      <c r="AE21" s="145"/>
      <c r="AF21" s="146"/>
      <c r="AG21" s="168"/>
      <c r="AH21" s="146"/>
      <c r="AI21" s="146"/>
      <c r="AJ21" s="146"/>
      <c r="AP21" s="148"/>
      <c r="AQ21" s="169"/>
      <c r="AV21" s="179" t="n">
        <f aca="false">AI22</f>
        <v>0.106554201229681</v>
      </c>
      <c r="AW21" s="180" t="n">
        <f aca="false">AH22</f>
        <v>10153.52</v>
      </c>
    </row>
    <row r="22" s="119" customFormat="true" ht="21.75" hidden="false" customHeight="true" outlineLevel="0" collapsed="false">
      <c r="A22" s="100"/>
      <c r="B22" s="149" t="s">
        <v>90</v>
      </c>
      <c r="C22" s="150" t="n">
        <f aca="false">C16-C18</f>
        <v>15320.35</v>
      </c>
      <c r="D22" s="151" t="n">
        <f aca="false">C22/$C$6</f>
        <v>0.160776524477142</v>
      </c>
      <c r="E22" s="170" t="n">
        <f aca="false">E16-E18</f>
        <v>18000</v>
      </c>
      <c r="F22" s="171" t="n">
        <f aca="false">E22/$E$6</f>
        <v>0.15</v>
      </c>
      <c r="G22" s="174" t="n">
        <f aca="false">IF(C22&lt;0,(-C22-E22)/E22,(C22-E22)/E22)</f>
        <v>-0.148869444444445</v>
      </c>
      <c r="H22" s="128"/>
      <c r="I22" s="100"/>
      <c r="J22" s="144" t="s">
        <v>90</v>
      </c>
      <c r="K22" s="144"/>
      <c r="L22" s="153" t="n">
        <v>61792.4416666667</v>
      </c>
      <c r="M22" s="154" t="n">
        <v>0.196645306560248</v>
      </c>
      <c r="N22" s="153" t="n">
        <v>102059.58</v>
      </c>
      <c r="O22" s="154" t="n">
        <v>0.24249724001139</v>
      </c>
      <c r="P22" s="153" t="n">
        <v>3560.11833333333</v>
      </c>
      <c r="Q22" s="154" t="n">
        <v>0.046266854621682</v>
      </c>
      <c r="R22" s="153" t="n">
        <v>10153.52</v>
      </c>
      <c r="S22" s="153"/>
      <c r="T22" s="153"/>
      <c r="U22" s="153"/>
      <c r="V22" s="153"/>
      <c r="W22" s="153"/>
      <c r="X22" s="155"/>
      <c r="Y22" s="156"/>
      <c r="Z22" s="153"/>
      <c r="AA22" s="153"/>
      <c r="AB22" s="153"/>
      <c r="AC22" s="153"/>
      <c r="AD22" s="153"/>
      <c r="AE22" s="153"/>
      <c r="AF22" s="155"/>
      <c r="AG22" s="156"/>
      <c r="AH22" s="155" t="n">
        <f aca="false">AVERAGE(R22:AE22)</f>
        <v>10153.52</v>
      </c>
      <c r="AI22" s="181" t="n">
        <f aca="false">AH22/$AH$6</f>
        <v>0.106554201229681</v>
      </c>
      <c r="AJ22" s="156" t="n">
        <f aca="false">AM22</f>
        <v>1.85201755934143</v>
      </c>
      <c r="AL22" s="120" t="n">
        <f aca="false">P22</f>
        <v>3560.11833333333</v>
      </c>
      <c r="AM22" s="121" t="n">
        <f aca="false">(AH22-AL22)/AL22</f>
        <v>1.85201755934143</v>
      </c>
      <c r="AN22" s="176"/>
      <c r="AO22" s="182"/>
      <c r="AP22" s="122" t="n">
        <v>38808.9466666667</v>
      </c>
      <c r="AQ22" s="121" t="n">
        <v>0.143565417080941</v>
      </c>
      <c r="AV22" s="119" t="n">
        <v>20</v>
      </c>
      <c r="AW22" s="119" t="s">
        <v>91</v>
      </c>
    </row>
    <row r="23" s="119" customFormat="true" ht="21.75" hidden="false" customHeight="true" outlineLevel="0" collapsed="false">
      <c r="A23" s="100"/>
      <c r="B23" s="149"/>
      <c r="C23" s="183"/>
      <c r="D23" s="151"/>
      <c r="E23" s="184"/>
      <c r="F23" s="171"/>
      <c r="G23" s="185"/>
      <c r="H23" s="100"/>
      <c r="I23" s="100"/>
      <c r="J23" s="144"/>
      <c r="K23" s="144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  <c r="W23" s="145"/>
      <c r="X23" s="146"/>
      <c r="Y23" s="168"/>
      <c r="Z23" s="145"/>
      <c r="AA23" s="145"/>
      <c r="AB23" s="145"/>
      <c r="AC23" s="145"/>
      <c r="AD23" s="145"/>
      <c r="AE23" s="145"/>
      <c r="AF23" s="146"/>
      <c r="AG23" s="168"/>
      <c r="AH23" s="146"/>
      <c r="AI23" s="147"/>
      <c r="AJ23" s="146"/>
      <c r="AP23" s="186"/>
      <c r="AQ23" s="182"/>
    </row>
    <row r="24" s="119" customFormat="true" ht="21.75" hidden="false" customHeight="true" outlineLevel="0" collapsed="false">
      <c r="A24" s="100"/>
      <c r="B24" s="149" t="s">
        <v>29</v>
      </c>
      <c r="C24" s="150" t="n">
        <f aca="false">'R.T - Fluxo de Caixa'!F106</f>
        <v>6025.42</v>
      </c>
      <c r="D24" s="151" t="n">
        <f aca="false">C24/$C$6</f>
        <v>0.0632326341183498</v>
      </c>
      <c r="E24" s="150" t="n">
        <f aca="false">F24*E6</f>
        <v>6000</v>
      </c>
      <c r="F24" s="171" t="n">
        <v>0.05</v>
      </c>
      <c r="G24" s="151" t="n">
        <f aca="false">IF(C24&lt;0,(-C24-E24)/E24,(C24-E24)/E24)</f>
        <v>0.00423666666666668</v>
      </c>
      <c r="H24" s="103"/>
      <c r="I24" s="100"/>
      <c r="J24" s="144" t="s">
        <v>29</v>
      </c>
      <c r="K24" s="144"/>
      <c r="L24" s="145" t="n">
        <v>27921.2391666667</v>
      </c>
      <c r="M24" s="187" t="n">
        <v>0.0888552141229434</v>
      </c>
      <c r="N24" s="145" t="n">
        <v>48639.3958333333</v>
      </c>
      <c r="O24" s="187" t="n">
        <v>0.115568957322819</v>
      </c>
      <c r="P24" s="145" t="n">
        <v>5091.1</v>
      </c>
      <c r="Q24" s="187" t="n">
        <v>0.0661633017529227</v>
      </c>
      <c r="R24" s="145" t="n">
        <v>6025.42</v>
      </c>
      <c r="S24" s="145"/>
      <c r="T24" s="145"/>
      <c r="U24" s="145"/>
      <c r="V24" s="145"/>
      <c r="W24" s="145"/>
      <c r="X24" s="146"/>
      <c r="Y24" s="168"/>
      <c r="Z24" s="145"/>
      <c r="AA24" s="145"/>
      <c r="AB24" s="145"/>
      <c r="AC24" s="145"/>
      <c r="AD24" s="145"/>
      <c r="AE24" s="145"/>
      <c r="AF24" s="146"/>
      <c r="AG24" s="168"/>
      <c r="AH24" s="146" t="n">
        <f aca="false">AVERAGE(R24:AE24)</f>
        <v>6025.42</v>
      </c>
      <c r="AI24" s="168" t="n">
        <f aca="false">AH24/$AH$6</f>
        <v>0.0632326341183498</v>
      </c>
      <c r="AJ24" s="168" t="n">
        <f aca="false">AM24</f>
        <v>0.183520260847361</v>
      </c>
      <c r="AL24" s="120" t="n">
        <f aca="false">P24</f>
        <v>5091.1</v>
      </c>
      <c r="AM24" s="121" t="n">
        <f aca="false">(AH24-AL24)/AL24</f>
        <v>0.183520260847361</v>
      </c>
      <c r="AP24" s="122" t="n">
        <v>38595.4166666667</v>
      </c>
      <c r="AQ24" s="121" t="n">
        <v>0.142775508409298</v>
      </c>
      <c r="AV24" s="188" t="n">
        <f aca="false">AV22*AW21/13.73</f>
        <v>14790.2694828842</v>
      </c>
    </row>
    <row r="25" s="119" customFormat="true" ht="21.75" hidden="false" customHeight="true" outlineLevel="0" collapsed="false">
      <c r="A25" s="100"/>
      <c r="B25" s="149"/>
      <c r="C25" s="150"/>
      <c r="D25" s="151"/>
      <c r="E25" s="170"/>
      <c r="F25" s="171"/>
      <c r="G25" s="100"/>
      <c r="H25" s="178"/>
      <c r="I25" s="100"/>
      <c r="J25" s="144"/>
      <c r="K25" s="144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6"/>
      <c r="Y25" s="168"/>
      <c r="Z25" s="145"/>
      <c r="AA25" s="145"/>
      <c r="AB25" s="145"/>
      <c r="AC25" s="145"/>
      <c r="AD25" s="145"/>
      <c r="AE25" s="145"/>
      <c r="AF25" s="146"/>
      <c r="AG25" s="168"/>
      <c r="AH25" s="146"/>
      <c r="AI25" s="147"/>
      <c r="AJ25" s="146"/>
      <c r="AP25" s="186"/>
      <c r="AQ25" s="182"/>
    </row>
    <row r="26" s="119" customFormat="true" ht="21.75" hidden="false" customHeight="true" outlineLevel="0" collapsed="false">
      <c r="A26" s="100"/>
      <c r="B26" s="189" t="s">
        <v>92</v>
      </c>
      <c r="C26" s="190" t="n">
        <f aca="false">C22-C24</f>
        <v>9294.92999999999</v>
      </c>
      <c r="D26" s="191" t="n">
        <f aca="false">C26/$C$6</f>
        <v>0.097543890358792</v>
      </c>
      <c r="E26" s="192" t="n">
        <f aca="false">E22-E24</f>
        <v>12000</v>
      </c>
      <c r="F26" s="193" t="n">
        <f aca="false">E26/$E$6</f>
        <v>0.1</v>
      </c>
      <c r="G26" s="191" t="n">
        <f aca="false">IF(C26&lt;0,(-C26-E26)/E26,(C26-E26)/E26)</f>
        <v>-0.225422500000001</v>
      </c>
      <c r="H26" s="103"/>
      <c r="I26" s="100"/>
      <c r="J26" s="194" t="s">
        <v>92</v>
      </c>
      <c r="K26" s="194"/>
      <c r="L26" s="195" t="n">
        <v>33871.2025</v>
      </c>
      <c r="M26" s="196" t="n">
        <v>0.107790092437304</v>
      </c>
      <c r="N26" s="195" t="n">
        <v>53420.1841666667</v>
      </c>
      <c r="O26" s="196" t="n">
        <v>0.126928282688571</v>
      </c>
      <c r="P26" s="195" t="n">
        <v>-1530.98166666667</v>
      </c>
      <c r="Q26" s="196" t="n">
        <v>-0.0198964471312407</v>
      </c>
      <c r="R26" s="195" t="n">
        <v>4128.09999999999</v>
      </c>
      <c r="S26" s="195"/>
      <c r="T26" s="195"/>
      <c r="U26" s="195"/>
      <c r="V26" s="195"/>
      <c r="W26" s="195"/>
      <c r="X26" s="197"/>
      <c r="Y26" s="198"/>
      <c r="Z26" s="195"/>
      <c r="AA26" s="195"/>
      <c r="AB26" s="195"/>
      <c r="AC26" s="195"/>
      <c r="AD26" s="195"/>
      <c r="AE26" s="195"/>
      <c r="AF26" s="197"/>
      <c r="AG26" s="198"/>
      <c r="AH26" s="197" t="n">
        <f aca="false">AVERAGE(R26:AE26)</f>
        <v>4128.09999999999</v>
      </c>
      <c r="AI26" s="198" t="n">
        <f aca="false">AH26/$AH$6</f>
        <v>0.0433215671113315</v>
      </c>
      <c r="AJ26" s="198" t="n">
        <f aca="false">-AM26</f>
        <v>3.69637454835622</v>
      </c>
      <c r="AL26" s="120" t="n">
        <f aca="false">P26</f>
        <v>-1530.98166666667</v>
      </c>
      <c r="AM26" s="121" t="n">
        <f aca="false">(AH26-AL26)/AL26</f>
        <v>-3.69637454835622</v>
      </c>
      <c r="AP26" s="122" t="n">
        <v>213.530000000026</v>
      </c>
      <c r="AQ26" s="121" t="n">
        <v>0.000789908671642129</v>
      </c>
    </row>
    <row r="27" s="119" customFormat="true" ht="21.75" hidden="false" customHeight="true" outlineLevel="0" collapsed="false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P27" s="186"/>
      <c r="AQ27" s="182"/>
    </row>
    <row r="28" s="119" customFormat="true" ht="21.75" hidden="false" customHeight="true" outlineLevel="0" collapsed="false">
      <c r="B28" s="199"/>
      <c r="C28" s="200"/>
      <c r="D28" s="201"/>
      <c r="E28" s="200"/>
      <c r="F28" s="201"/>
      <c r="G28" s="201"/>
      <c r="H28" s="202"/>
      <c r="I28" s="203"/>
      <c r="J28" s="199"/>
      <c r="K28" s="199"/>
      <c r="L28" s="204"/>
      <c r="M28" s="205"/>
      <c r="N28" s="204"/>
      <c r="O28" s="205"/>
      <c r="P28" s="204"/>
      <c r="Q28" s="205"/>
      <c r="R28" s="204"/>
      <c r="S28" s="204"/>
      <c r="T28" s="204"/>
      <c r="U28" s="204"/>
      <c r="V28" s="204"/>
      <c r="W28" s="204"/>
      <c r="X28" s="204"/>
      <c r="Y28" s="205"/>
      <c r="Z28" s="204"/>
      <c r="AA28" s="204"/>
      <c r="AB28" s="204"/>
      <c r="AC28" s="204"/>
      <c r="AD28" s="204"/>
      <c r="AE28" s="204"/>
      <c r="AF28" s="204"/>
      <c r="AG28" s="205"/>
      <c r="AH28" s="204"/>
      <c r="AI28" s="205"/>
      <c r="AJ28" s="205"/>
      <c r="AP28" s="186"/>
      <c r="AQ28" s="182"/>
    </row>
    <row r="29" s="119" customFormat="true" ht="21.75" hidden="false" customHeight="true" outlineLevel="0" collapsed="false">
      <c r="B29" s="199"/>
      <c r="C29" s="200"/>
      <c r="D29" s="201"/>
      <c r="E29" s="200"/>
      <c r="F29" s="201"/>
      <c r="G29" s="201"/>
      <c r="H29" s="202"/>
      <c r="I29" s="203"/>
      <c r="J29" s="199"/>
      <c r="K29" s="199"/>
      <c r="L29" s="204"/>
      <c r="M29" s="205"/>
      <c r="N29" s="204"/>
      <c r="O29" s="205"/>
      <c r="P29" s="204"/>
      <c r="Q29" s="205"/>
      <c r="R29" s="204"/>
      <c r="S29" s="204"/>
      <c r="T29" s="204"/>
      <c r="U29" s="204"/>
      <c r="V29" s="204"/>
      <c r="W29" s="204"/>
      <c r="X29" s="204"/>
      <c r="Y29" s="205"/>
      <c r="Z29" s="204"/>
      <c r="AA29" s="204"/>
      <c r="AB29" s="204"/>
      <c r="AC29" s="204"/>
      <c r="AD29" s="204"/>
      <c r="AE29" s="204"/>
      <c r="AF29" s="204"/>
      <c r="AG29" s="205"/>
      <c r="AH29" s="204"/>
      <c r="AI29" s="205"/>
      <c r="AJ29" s="205"/>
      <c r="AQ29" s="182"/>
    </row>
    <row r="30" customFormat="false" ht="16.8" hidden="false" customHeight="false" outlineLevel="0" collapsed="false">
      <c r="B30" s="206"/>
      <c r="C30" s="206"/>
      <c r="D30" s="207"/>
      <c r="H30" s="119"/>
      <c r="J30" s="206"/>
      <c r="K30" s="206"/>
      <c r="L30" s="208"/>
      <c r="M30" s="208"/>
      <c r="N30" s="208"/>
      <c r="O30" s="208"/>
      <c r="P30" s="208"/>
      <c r="Q30" s="208"/>
      <c r="R30" s="208"/>
      <c r="S30" s="208"/>
      <c r="T30" s="208"/>
      <c r="U30" s="208"/>
      <c r="V30" s="208"/>
      <c r="W30" s="208"/>
      <c r="X30" s="208"/>
      <c r="Y30" s="208"/>
      <c r="Z30" s="208"/>
      <c r="AA30" s="208"/>
      <c r="AB30" s="208"/>
      <c r="AC30" s="208"/>
      <c r="AD30" s="208"/>
      <c r="AE30" s="208"/>
      <c r="AF30" s="208"/>
      <c r="AG30" s="208"/>
      <c r="AH30" s="208"/>
      <c r="AI30" s="208"/>
      <c r="AJ30" s="208"/>
      <c r="AQ30" s="169"/>
    </row>
    <row r="31" customFormat="false" ht="20.25" hidden="false" customHeight="true" outlineLevel="0" collapsed="false">
      <c r="B31" s="209" t="s">
        <v>93</v>
      </c>
      <c r="C31" s="209"/>
      <c r="D31" s="209"/>
      <c r="G31" s="210"/>
      <c r="H31" s="211"/>
      <c r="J31" s="206"/>
      <c r="K31" s="206"/>
      <c r="L31" s="206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</row>
    <row r="32" customFormat="false" ht="20.25" hidden="false" customHeight="true" outlineLevel="0" collapsed="false">
      <c r="B32" s="212" t="s">
        <v>94</v>
      </c>
      <c r="C32" s="213" t="n">
        <f aca="false">'R.T - Fluxo de Caixa'!F6</f>
        <v>18413.05</v>
      </c>
      <c r="D32" s="213"/>
      <c r="E32" s="119"/>
      <c r="G32" s="207"/>
      <c r="J32" s="206"/>
      <c r="K32" s="206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</row>
    <row r="33" customFormat="false" ht="20.25" hidden="false" customHeight="true" outlineLevel="0" collapsed="false">
      <c r="B33" s="212" t="s">
        <v>95</v>
      </c>
      <c r="C33" s="213" t="n">
        <f aca="false">'R.T - Fluxo de Caixa'!F134</f>
        <v>22541.15</v>
      </c>
      <c r="D33" s="213"/>
      <c r="E33" s="119"/>
      <c r="J33" s="206"/>
      <c r="K33" s="206"/>
      <c r="L33" s="206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</row>
    <row r="34" customFormat="false" ht="20.25" hidden="false" customHeight="true" outlineLevel="0" collapsed="false">
      <c r="B34" s="215" t="str">
        <f aca="false">IF(C34&gt;=0.01,"Ganho de Caixa","Perda de Caixa")</f>
        <v>Ganho de Caixa</v>
      </c>
      <c r="C34" s="216" t="n">
        <f aca="false">C33-C32</f>
        <v>4128.09999999999</v>
      </c>
      <c r="D34" s="216"/>
      <c r="E34" s="119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</row>
    <row r="35" customFormat="false" ht="20.25" hidden="false" customHeight="true" outlineLevel="0" collapsed="false">
      <c r="B35" s="206"/>
      <c r="C35" s="206"/>
      <c r="D35" s="206"/>
      <c r="J35" s="206"/>
      <c r="K35" s="206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</row>
    <row r="36" customFormat="false" ht="20.25" hidden="false" customHeight="true" outlineLevel="0" collapsed="false">
      <c r="B36" s="217" t="s">
        <v>96</v>
      </c>
      <c r="C36" s="217"/>
      <c r="D36" s="217"/>
      <c r="E36" s="217"/>
      <c r="F36" s="218" t="s">
        <v>97</v>
      </c>
      <c r="J36" s="206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</row>
    <row r="37" customFormat="false" ht="20.25" hidden="false" customHeight="true" outlineLevel="0" collapsed="false">
      <c r="B37" s="212" t="s">
        <v>98</v>
      </c>
      <c r="C37" s="219" t="n">
        <f aca="false">(C18*C6)/C16</f>
        <v>63055.6531565309</v>
      </c>
      <c r="D37" s="220" t="n">
        <f aca="false">C37/C6*30</f>
        <v>19.8517698939185</v>
      </c>
      <c r="E37" s="221" t="n">
        <f aca="false">C37/F37</f>
        <v>668.670765180603</v>
      </c>
      <c r="F37" s="222" t="n">
        <v>94.3</v>
      </c>
      <c r="J37" s="206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</row>
    <row r="38" customFormat="false" ht="20.25" hidden="false" customHeight="true" outlineLevel="0" collapsed="false">
      <c r="B38" s="212" t="s">
        <v>99</v>
      </c>
      <c r="C38" s="219" t="n">
        <f aca="false">(C24+C18)*C6/C16</f>
        <v>75733.1566757048</v>
      </c>
      <c r="D38" s="223" t="n">
        <f aca="false">C38/C6*30</f>
        <v>23.8430200054229</v>
      </c>
      <c r="E38" s="221" t="n">
        <f aca="false">C38/F38</f>
        <v>803.108766444377</v>
      </c>
      <c r="F38" s="222" t="n">
        <f aca="false">F37</f>
        <v>94.3</v>
      </c>
      <c r="I38" s="224"/>
      <c r="J38" s="206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</row>
    <row r="39" customFormat="false" ht="16.8" hidden="false" customHeight="false" outlineLevel="0" collapsed="false">
      <c r="E39" s="206"/>
      <c r="F39" s="206"/>
      <c r="G39" s="225"/>
      <c r="J39" s="206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</row>
    <row r="40" customFormat="false" ht="16.8" hidden="false" customHeight="false" outlineLevel="0" collapsed="false">
      <c r="C40" s="226"/>
      <c r="G40" s="225"/>
      <c r="J40" s="206"/>
      <c r="K40" s="206"/>
      <c r="L40" s="206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</row>
    <row r="41" customFormat="false" ht="16.95" hidden="true" customHeight="true" outlineLevel="0" collapsed="false">
      <c r="A41" s="227" t="s">
        <v>100</v>
      </c>
      <c r="B41" s="88" t="s">
        <v>101</v>
      </c>
      <c r="J41" s="206"/>
      <c r="K41" s="206"/>
      <c r="L41" s="206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</row>
    <row r="42" customFormat="false" ht="16.8" hidden="true" customHeight="false" outlineLevel="0" collapsed="false">
      <c r="A42" s="227" t="s">
        <v>102</v>
      </c>
      <c r="B42" s="88" t="s">
        <v>103</v>
      </c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</row>
    <row r="43" customFormat="false" ht="16.8" hidden="true" customHeight="false" outlineLevel="0" collapsed="false">
      <c r="A43" s="227" t="s">
        <v>104</v>
      </c>
      <c r="B43" s="88" t="s">
        <v>105</v>
      </c>
      <c r="J43" s="206"/>
      <c r="K43" s="206"/>
      <c r="L43" s="206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</row>
    <row r="44" customFormat="false" ht="16.8" hidden="true" customHeight="false" outlineLevel="0" collapsed="false">
      <c r="A44" s="227" t="s">
        <v>106</v>
      </c>
      <c r="B44" s="228" t="n">
        <f aca="false">C6</f>
        <v>95289.72</v>
      </c>
      <c r="J44" s="206"/>
      <c r="K44" s="206"/>
      <c r="L44" s="206"/>
      <c r="M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</row>
    <row r="45" customFormat="false" ht="16.8" hidden="true" customHeight="false" outlineLevel="0" collapsed="false">
      <c r="A45" s="227" t="s">
        <v>107</v>
      </c>
      <c r="B45" s="228" t="s">
        <v>108</v>
      </c>
      <c r="J45" s="206"/>
      <c r="K45" s="206"/>
      <c r="L45" s="206"/>
      <c r="M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</row>
    <row r="46" customFormat="false" ht="16.8" hidden="true" customHeight="false" outlineLevel="0" collapsed="false">
      <c r="A46" s="227" t="s">
        <v>109</v>
      </c>
      <c r="B46" s="229" t="n">
        <f aca="false">D10</f>
        <v>0.524715572676675</v>
      </c>
      <c r="J46" s="206"/>
      <c r="K46" s="206"/>
      <c r="L46" s="206"/>
      <c r="M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</row>
    <row r="47" customFormat="false" ht="16.8" hidden="true" customHeight="false" outlineLevel="0" collapsed="false">
      <c r="A47" s="227" t="s">
        <v>110</v>
      </c>
      <c r="B47" s="88" t="s">
        <v>111</v>
      </c>
      <c r="J47" s="206"/>
      <c r="K47" s="206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</row>
    <row r="48" customFormat="false" ht="16.8" hidden="true" customHeight="false" outlineLevel="0" collapsed="false">
      <c r="A48" s="227" t="s">
        <v>112</v>
      </c>
      <c r="B48" s="179" t="n">
        <f aca="false">D16</f>
        <v>0.475284427323325</v>
      </c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</row>
    <row r="49" customFormat="false" ht="16.8" hidden="true" customHeight="false" outlineLevel="0" collapsed="false">
      <c r="A49" s="227" t="s">
        <v>113</v>
      </c>
      <c r="B49" s="88" t="s">
        <v>114</v>
      </c>
      <c r="J49" s="206"/>
      <c r="K49" s="206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</row>
    <row r="50" customFormat="false" ht="16.8" hidden="true" customHeight="false" outlineLevel="0" collapsed="false">
      <c r="A50" s="227" t="s">
        <v>115</v>
      </c>
      <c r="B50" s="228" t="n">
        <f aca="false">C18</f>
        <v>29969.37</v>
      </c>
      <c r="J50" s="206"/>
      <c r="K50" s="206"/>
      <c r="L50" s="206"/>
      <c r="M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</row>
    <row r="51" customFormat="false" ht="16.8" hidden="true" customHeight="false" outlineLevel="0" collapsed="false">
      <c r="A51" s="89" t="s">
        <v>116</v>
      </c>
      <c r="B51" s="88" t="s">
        <v>117</v>
      </c>
      <c r="J51" s="206"/>
      <c r="K51" s="206"/>
      <c r="L51" s="206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</row>
    <row r="52" customFormat="false" ht="16.8" hidden="true" customHeight="false" outlineLevel="0" collapsed="false">
      <c r="A52" s="88" t="s">
        <v>118</v>
      </c>
      <c r="B52" s="179" t="n">
        <f aca="false">D22</f>
        <v>0.160776524477142</v>
      </c>
      <c r="J52" s="206"/>
      <c r="K52" s="206"/>
      <c r="L52" s="206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</row>
    <row r="53" customFormat="false" ht="16.8" hidden="true" customHeight="false" outlineLevel="0" collapsed="false">
      <c r="A53" s="88" t="s">
        <v>119</v>
      </c>
      <c r="B53" s="88" t="s">
        <v>120</v>
      </c>
      <c r="J53" s="206"/>
      <c r="K53" s="206"/>
      <c r="L53" s="206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</row>
    <row r="54" customFormat="false" ht="16.8" hidden="true" customHeight="false" outlineLevel="0" collapsed="false">
      <c r="A54" s="88" t="s">
        <v>121</v>
      </c>
      <c r="B54" s="228" t="n">
        <f aca="false">C24</f>
        <v>6025.42</v>
      </c>
      <c r="J54" s="206"/>
      <c r="K54" s="206"/>
      <c r="L54" s="206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</row>
    <row r="55" customFormat="false" ht="16.8" hidden="true" customHeight="false" outlineLevel="0" collapsed="false">
      <c r="A55" s="88" t="s">
        <v>122</v>
      </c>
      <c r="B55" s="88" t="s">
        <v>123</v>
      </c>
      <c r="J55" s="206"/>
      <c r="K55" s="206"/>
      <c r="L55" s="206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</row>
    <row r="56" customFormat="false" ht="16.8" hidden="true" customHeight="false" outlineLevel="0" collapsed="false">
      <c r="A56" s="88" t="s">
        <v>124</v>
      </c>
      <c r="B56" s="88" t="str">
        <f aca="false">IF(D26&lt;0,"Prejuízo Líquido","Lucro Líquido")</f>
        <v>Lucro Líquido</v>
      </c>
      <c r="J56" s="206"/>
      <c r="K56" s="206"/>
      <c r="L56" s="206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</row>
    <row r="57" customFormat="false" ht="16.8" hidden="true" customHeight="false" outlineLevel="0" collapsed="false">
      <c r="A57" s="88" t="s">
        <v>125</v>
      </c>
      <c r="B57" s="179" t="n">
        <f aca="false">D26</f>
        <v>0.097543890358792</v>
      </c>
      <c r="J57" s="206"/>
      <c r="K57" s="206"/>
      <c r="L57" s="206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</row>
    <row r="58" customFormat="false" ht="16.8" hidden="true" customHeight="false" outlineLevel="0" collapsed="false">
      <c r="A58" s="88" t="s">
        <v>126</v>
      </c>
      <c r="B58" s="88" t="s">
        <v>127</v>
      </c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</row>
    <row r="59" customFormat="false" ht="16.8" hidden="true" customHeight="false" outlineLevel="0" collapsed="false">
      <c r="A59" s="88" t="s">
        <v>128</v>
      </c>
      <c r="B59" s="88" t="str">
        <f aca="false">IF(D22&gt;=15%,"Excelente",IF(D22&lt;5%,"Ruim","Mediano"))</f>
        <v>Excelente</v>
      </c>
      <c r="J59" s="206"/>
      <c r="K59" s="206"/>
      <c r="L59" s="206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</row>
    <row r="60" customFormat="false" ht="16.8" hidden="true" customHeight="false" outlineLevel="0" collapsed="false">
      <c r="A60" s="88" t="s">
        <v>129</v>
      </c>
      <c r="B60" s="88" t="s">
        <v>130</v>
      </c>
      <c r="J60" s="206"/>
      <c r="K60" s="206"/>
      <c r="L60" s="206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</row>
    <row r="61" customFormat="false" ht="16.8" hidden="true" customHeight="false" outlineLevel="0" collapsed="false">
      <c r="A61" s="88" t="s">
        <v>131</v>
      </c>
      <c r="B61" s="88" t="str">
        <f aca="false">IF(D26&gt;=13%,"Excelente",IF(D26&lt;5%,"Ruim","Mediano"))</f>
        <v>Mediano</v>
      </c>
      <c r="J61" s="206"/>
      <c r="K61" s="206"/>
      <c r="L61" s="206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</row>
    <row r="62" customFormat="false" ht="16.8" hidden="true" customHeight="false" outlineLevel="0" collapsed="false">
      <c r="A62" s="88" t="s">
        <v>132</v>
      </c>
      <c r="B62" s="88" t="s">
        <v>133</v>
      </c>
      <c r="J62" s="206"/>
      <c r="K62" s="206"/>
      <c r="L62" s="206"/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</row>
    <row r="63" customFormat="false" ht="16.8" hidden="true" customHeight="false" outlineLevel="0" collapsed="false"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</row>
    <row r="64" customFormat="false" ht="16.8" hidden="true" customHeight="false" outlineLevel="0" collapsed="false">
      <c r="B64" s="230" t="str">
        <f aca="false">B41&amp;B42&amp;B43&amp;B44&amp;B45&amp;B46&amp;B47&amp;B48&amp;B49&amp;B50&amp;B51&amp;B52&amp;B53&amp;B54&amp;B55&amp;B56&amp;B57&amp;B58&amp;B59&amp;B60&amp;B61&amp;B62</f>
        <v>No mês de Outubro, a empresa teve uma Receita Total de R$ 95289,72 Já os custos variáveis somaram 0,524715572676675 das receitas gerando assim uma *Margem de Contribuição de 0,475284427323325. Os custos fixos no período somaram 29969,37 o que gerou um Lucro Operacional de 0,160776524477142. O Movimento extra operacional (Investimentos) totalizou 6025,42 gerando assim um Lucro Líquido0,097543890358792. Importante ressaltar que esse nível de Lucro Operacional apresentado é considerado Excelente. Já o Lucro Líquido apresentado é considerado Mediano para o segmento. Isso em função do</v>
      </c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</row>
    <row r="65" customFormat="false" ht="16.8" hidden="true" customHeight="false" outlineLevel="0" collapsed="false">
      <c r="J65" s="206"/>
      <c r="K65" s="206"/>
      <c r="L65" s="206"/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</row>
    <row r="66" customFormat="false" ht="16.8" hidden="true" customHeight="false" outlineLevel="0" collapsed="false"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</row>
    <row r="67" customFormat="false" ht="16.8" hidden="true" customHeight="false" outlineLevel="0" collapsed="false"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</row>
    <row r="68" customFormat="false" ht="16.8" hidden="true" customHeight="false" outlineLevel="0" collapsed="false">
      <c r="J68" s="206"/>
      <c r="K68" s="206"/>
      <c r="L68" s="206"/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</row>
    <row r="69" customFormat="false" ht="16.8" hidden="true" customHeight="false" outlineLevel="0" collapsed="false"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</row>
    <row r="70" customFormat="false" ht="16.8" hidden="false" customHeight="false" outlineLevel="0" collapsed="false"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</row>
    <row r="71" customFormat="false" ht="16.8" hidden="false" customHeight="false" outlineLevel="0" collapsed="false">
      <c r="B71" s="215" t="s">
        <v>134</v>
      </c>
      <c r="C71" s="231" t="s">
        <v>76</v>
      </c>
      <c r="J71" s="206"/>
      <c r="K71" s="206"/>
      <c r="L71" s="206"/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</row>
    <row r="72" customFormat="false" ht="16.8" hidden="false" customHeight="false" outlineLevel="0" collapsed="false">
      <c r="B72" s="232" t="n">
        <f aca="false">C37</f>
        <v>63055.6531565309</v>
      </c>
      <c r="C72" s="231" t="n">
        <f aca="false">C6</f>
        <v>95289.72</v>
      </c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</row>
    <row r="73" customFormat="false" ht="16.8" hidden="false" customHeight="false" outlineLevel="0" collapsed="false">
      <c r="J73" s="206"/>
      <c r="K73" s="206"/>
      <c r="L73" s="206"/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</row>
    <row r="74" customFormat="false" ht="16.8" hidden="false" customHeight="false" outlineLevel="0" collapsed="false"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</row>
    <row r="75" customFormat="false" ht="16.8" hidden="false" customHeight="false" outlineLevel="0" collapsed="false"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</row>
    <row r="76" customFormat="false" ht="16.8" hidden="false" customHeight="false" outlineLevel="0" collapsed="false"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</row>
    <row r="77" customFormat="false" ht="16.8" hidden="false" customHeight="false" outlineLevel="0" collapsed="false"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</row>
    <row r="78" customFormat="false" ht="16.8" hidden="false" customHeight="false" outlineLevel="0" collapsed="false"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</row>
    <row r="79" customFormat="false" ht="16.8" hidden="false" customHeight="false" outlineLevel="0" collapsed="false"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</row>
    <row r="80" customFormat="false" ht="16.8" hidden="false" customHeight="false" outlineLevel="0" collapsed="false"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</row>
    <row r="81" customFormat="false" ht="16.8" hidden="false" customHeight="false" outlineLevel="0" collapsed="false"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</row>
    <row r="82" customFormat="false" ht="16.8" hidden="false" customHeight="false" outlineLevel="0" collapsed="false">
      <c r="J82" s="206"/>
      <c r="K82" s="206"/>
      <c r="L82" s="206"/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</row>
    <row r="83" customFormat="false" ht="16.8" hidden="false" customHeight="false" outlineLevel="0" collapsed="false"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</row>
    <row r="84" customFormat="false" ht="16.8" hidden="false" customHeight="false" outlineLevel="0" collapsed="false"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</row>
    <row r="85" customFormat="false" ht="16.8" hidden="false" customHeight="false" outlineLevel="0" collapsed="false"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</row>
    <row r="86" customFormat="false" ht="16.8" hidden="false" customHeight="false" outlineLevel="0" collapsed="false">
      <c r="J86" s="206"/>
      <c r="K86" s="206"/>
      <c r="L86" s="206"/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</row>
    <row r="87" customFormat="false" ht="16.8" hidden="false" customHeight="false" outlineLevel="0" collapsed="false">
      <c r="J87" s="206"/>
      <c r="K87" s="206"/>
      <c r="L87" s="206"/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</row>
    <row r="88" customFormat="false" ht="16.8" hidden="false" customHeight="false" outlineLevel="0" collapsed="false">
      <c r="J88" s="206"/>
      <c r="K88" s="206"/>
      <c r="L88" s="206"/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</row>
    <row r="89" customFormat="false" ht="16.8" hidden="false" customHeight="false" outlineLevel="0" collapsed="false">
      <c r="J89" s="206"/>
      <c r="K89" s="206"/>
      <c r="L89" s="206"/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</row>
    <row r="90" customFormat="false" ht="16.8" hidden="false" customHeight="false" outlineLevel="0" collapsed="false">
      <c r="J90" s="206"/>
      <c r="K90" s="206"/>
      <c r="L90" s="206"/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</row>
    <row r="91" customFormat="false" ht="16.8" hidden="false" customHeight="false" outlineLevel="0" collapsed="false">
      <c r="J91" s="206"/>
      <c r="K91" s="206"/>
      <c r="L91" s="206"/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</row>
  </sheetData>
  <mergeCells count="9">
    <mergeCell ref="F1:G2"/>
    <mergeCell ref="B4:G4"/>
    <mergeCell ref="C5:D5"/>
    <mergeCell ref="E5:F5"/>
    <mergeCell ref="B31:D31"/>
    <mergeCell ref="C32:D32"/>
    <mergeCell ref="C33:D33"/>
    <mergeCell ref="C34:D34"/>
    <mergeCell ref="B36:E36"/>
  </mergeCells>
  <hyperlinks>
    <hyperlink ref="F1" location="Menu!A1" display="MENU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8.6796875" defaultRowHeight="18.6" zeroHeight="false" outlineLevelRow="0" outlineLevelCol="0"/>
  <cols>
    <col collapsed="false" customWidth="true" hidden="false" outlineLevel="0" max="1" min="1" style="233" width="5.66"/>
    <col collapsed="false" customWidth="true" hidden="false" outlineLevel="0" max="2" min="2" style="233" width="42"/>
    <col collapsed="false" customWidth="true" hidden="false" outlineLevel="0" max="3" min="3" style="233" width="4.66"/>
    <col collapsed="false" customWidth="true" hidden="false" outlineLevel="0" max="4" min="4" style="233" width="42"/>
    <col collapsed="false" customWidth="true" hidden="false" outlineLevel="0" max="5" min="5" style="233" width="4.66"/>
    <col collapsed="false" customWidth="true" hidden="false" outlineLevel="0" max="6" min="6" style="233" width="42"/>
    <col collapsed="false" customWidth="true" hidden="false" outlineLevel="0" max="7" min="7" style="233" width="4.66"/>
    <col collapsed="false" customWidth="true" hidden="false" outlineLevel="0" max="8" min="8" style="233" width="42"/>
    <col collapsed="false" customWidth="true" hidden="false" outlineLevel="0" max="9" min="9" style="233" width="4.66"/>
    <col collapsed="false" customWidth="true" hidden="false" outlineLevel="0" max="10" min="10" style="233" width="42"/>
    <col collapsed="false" customWidth="true" hidden="false" outlineLevel="0" max="11" min="11" style="233" width="5.66"/>
    <col collapsed="false" customWidth="true" hidden="false" outlineLevel="0" max="12" min="12" style="233" width="2.33"/>
    <col collapsed="false" customWidth="true" hidden="false" outlineLevel="0" max="13" min="13" style="233" width="1"/>
    <col collapsed="false" customWidth="true" hidden="false" outlineLevel="0" max="14" min="14" style="233" width="21.56"/>
    <col collapsed="false" customWidth="true" hidden="false" outlineLevel="0" max="17" min="15" style="233" width="21.33"/>
    <col collapsed="false" customWidth="false" hidden="false" outlineLevel="0" max="27" min="18" style="233" width="8.67"/>
    <col collapsed="false" customWidth="true" hidden="false" outlineLevel="0" max="28" min="28" style="233" width="20.98"/>
    <col collapsed="false" customWidth="true" hidden="false" outlineLevel="0" max="40" min="29" style="234" width="14.35"/>
    <col collapsed="false" customWidth="false" hidden="false" outlineLevel="0" max="1024" min="41" style="233" width="8.67"/>
  </cols>
  <sheetData>
    <row r="1" s="236" customFormat="true" ht="7.2" hidden="false" customHeight="true" outlineLevel="0" collapsed="false">
      <c r="A1" s="235"/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</row>
    <row r="2" s="236" customFormat="true" ht="10.5" hidden="false" customHeight="true" outlineLevel="0" collapsed="false">
      <c r="A2" s="235"/>
      <c r="B2" s="237" t="s">
        <v>135</v>
      </c>
      <c r="C2" s="237"/>
      <c r="D2" s="237"/>
      <c r="E2" s="237"/>
      <c r="F2" s="237"/>
      <c r="G2" s="238"/>
      <c r="H2" s="238"/>
      <c r="I2" s="238"/>
      <c r="J2" s="238"/>
      <c r="K2" s="238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8"/>
      <c r="AU2" s="238"/>
      <c r="AV2" s="238"/>
      <c r="AW2" s="238"/>
      <c r="AX2" s="238"/>
      <c r="AY2" s="238"/>
      <c r="AZ2" s="238"/>
    </row>
    <row r="3" s="236" customFormat="true" ht="10.5" hidden="false" customHeight="true" outlineLevel="0" collapsed="false">
      <c r="A3" s="235"/>
      <c r="B3" s="237"/>
      <c r="C3" s="237"/>
      <c r="D3" s="237"/>
      <c r="E3" s="237"/>
      <c r="F3" s="237"/>
      <c r="G3" s="238"/>
      <c r="H3" s="238"/>
      <c r="I3" s="238"/>
      <c r="J3" s="238"/>
      <c r="K3" s="238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8"/>
      <c r="AU3" s="238"/>
      <c r="AV3" s="238"/>
      <c r="AW3" s="238"/>
      <c r="AX3" s="238"/>
      <c r="AY3" s="238"/>
      <c r="AZ3" s="238"/>
    </row>
    <row r="4" s="236" customFormat="true" ht="10.5" hidden="false" customHeight="true" outlineLevel="0" collapsed="false">
      <c r="A4" s="235"/>
      <c r="B4" s="237"/>
      <c r="C4" s="237"/>
      <c r="D4" s="237"/>
      <c r="E4" s="237"/>
      <c r="F4" s="237"/>
      <c r="G4" s="238"/>
      <c r="H4" s="238"/>
      <c r="I4" s="238"/>
      <c r="J4" s="238"/>
      <c r="K4" s="238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8"/>
      <c r="AU4" s="238"/>
      <c r="AV4" s="238"/>
      <c r="AW4" s="238"/>
      <c r="AX4" s="238"/>
      <c r="AY4" s="238"/>
      <c r="AZ4" s="238"/>
    </row>
    <row r="5" s="236" customFormat="true" ht="7.2" hidden="false" customHeight="true" outlineLevel="0" collapsed="false">
      <c r="A5" s="235"/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</row>
    <row r="6" s="236" customFormat="true" ht="7.2" hidden="false" customHeight="true" outlineLevel="0" collapsed="false">
      <c r="A6" s="235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</row>
    <row r="7" s="236" customFormat="true" ht="23.1" hidden="false" customHeight="true" outlineLevel="0" collapsed="false">
      <c r="A7" s="235"/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</row>
    <row r="8" s="236" customFormat="true" ht="31.5" hidden="false" customHeight="true" outlineLevel="0" collapsed="false">
      <c r="A8" s="235"/>
      <c r="B8" s="240" t="s">
        <v>136</v>
      </c>
      <c r="C8" s="241"/>
      <c r="D8" s="242" t="s">
        <v>137</v>
      </c>
      <c r="E8" s="243"/>
      <c r="F8" s="242" t="s">
        <v>138</v>
      </c>
      <c r="G8" s="243"/>
      <c r="H8" s="242" t="s">
        <v>86</v>
      </c>
      <c r="I8" s="243"/>
      <c r="J8" s="242" t="s">
        <v>139</v>
      </c>
      <c r="K8" s="244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</row>
    <row r="9" s="236" customFormat="true" ht="31.5" hidden="false" customHeight="true" outlineLevel="0" collapsed="false">
      <c r="A9" s="235"/>
      <c r="B9" s="240"/>
      <c r="C9" s="241"/>
      <c r="D9" s="242"/>
      <c r="E9" s="243"/>
      <c r="F9" s="242"/>
      <c r="G9" s="243"/>
      <c r="H9" s="242"/>
      <c r="I9" s="243"/>
      <c r="J9" s="242"/>
      <c r="K9" s="244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</row>
    <row r="10" s="236" customFormat="true" ht="14.7" hidden="false" customHeight="true" outlineLevel="0" collapsed="false">
      <c r="A10" s="235"/>
      <c r="B10" s="245" t="n">
        <f aca="false">Consolidado!C33</f>
        <v>22541.15</v>
      </c>
      <c r="C10" s="246"/>
      <c r="D10" s="247" t="n">
        <f aca="false">Consolidado!C6</f>
        <v>95289.72</v>
      </c>
      <c r="E10" s="248"/>
      <c r="F10" s="249" t="n">
        <f aca="false">Consolidado!D10</f>
        <v>0.524715572676675</v>
      </c>
      <c r="G10" s="248"/>
      <c r="H10" s="249" t="n">
        <f aca="false">Consolidado!$D$16</f>
        <v>0.475284427323325</v>
      </c>
      <c r="I10" s="248"/>
      <c r="J10" s="247" t="n">
        <f aca="false">Consolidado!$C$18</f>
        <v>29969.37</v>
      </c>
      <c r="K10" s="250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9" t="s">
        <v>140</v>
      </c>
      <c r="AD10" s="239" t="s">
        <v>141</v>
      </c>
      <c r="AE10" s="239" t="s">
        <v>142</v>
      </c>
      <c r="AF10" s="239" t="s">
        <v>143</v>
      </c>
      <c r="AG10" s="239" t="s">
        <v>144</v>
      </c>
      <c r="AH10" s="239" t="s">
        <v>145</v>
      </c>
      <c r="AI10" s="239" t="s">
        <v>146</v>
      </c>
      <c r="AJ10" s="239" t="s">
        <v>147</v>
      </c>
      <c r="AK10" s="239" t="s">
        <v>148</v>
      </c>
      <c r="AL10" s="239" t="s">
        <v>149</v>
      </c>
      <c r="AM10" s="239" t="s">
        <v>150</v>
      </c>
      <c r="AN10" s="239" t="s">
        <v>151</v>
      </c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</row>
    <row r="11" s="236" customFormat="true" ht="43.2" hidden="false" customHeight="true" outlineLevel="0" collapsed="false">
      <c r="A11" s="235"/>
      <c r="B11" s="245"/>
      <c r="C11" s="246"/>
      <c r="D11" s="247"/>
      <c r="E11" s="248"/>
      <c r="F11" s="249"/>
      <c r="G11" s="248"/>
      <c r="H11" s="249"/>
      <c r="I11" s="248"/>
      <c r="J11" s="247"/>
      <c r="K11" s="250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51" t="s">
        <v>152</v>
      </c>
      <c r="AC11" s="252" t="n">
        <v>12000</v>
      </c>
      <c r="AD11" s="252" t="n">
        <v>23400</v>
      </c>
      <c r="AE11" s="252" t="n">
        <v>79990</v>
      </c>
      <c r="AF11" s="252" t="n">
        <v>110000</v>
      </c>
      <c r="AG11" s="252" t="n">
        <v>119000</v>
      </c>
      <c r="AH11" s="252" t="n">
        <v>120000</v>
      </c>
      <c r="AI11" s="252" t="n">
        <v>120000</v>
      </c>
      <c r="AJ11" s="239"/>
      <c r="AK11" s="239"/>
      <c r="AL11" s="239"/>
      <c r="AM11" s="239"/>
      <c r="AN11" s="239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</row>
    <row r="12" s="236" customFormat="true" ht="43.2" hidden="false" customHeight="true" outlineLevel="0" collapsed="false">
      <c r="A12" s="235"/>
      <c r="B12" s="245"/>
      <c r="C12" s="246"/>
      <c r="D12" s="247"/>
      <c r="E12" s="248"/>
      <c r="F12" s="249"/>
      <c r="G12" s="248"/>
      <c r="H12" s="249"/>
      <c r="I12" s="248"/>
      <c r="J12" s="247"/>
      <c r="K12" s="250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51" t="s">
        <v>153</v>
      </c>
      <c r="AC12" s="252" t="n">
        <v>110000</v>
      </c>
      <c r="AD12" s="252" t="n">
        <f aca="false">AC12+4500</f>
        <v>114500</v>
      </c>
      <c r="AE12" s="252" t="n">
        <f aca="false">AD12+4500</f>
        <v>119000</v>
      </c>
      <c r="AF12" s="252" t="n">
        <f aca="false">AE12+4500</f>
        <v>123500</v>
      </c>
      <c r="AG12" s="252" t="n">
        <f aca="false">AF12+8000</f>
        <v>131500</v>
      </c>
      <c r="AH12" s="252" t="n">
        <f aca="false">AG12+8000</f>
        <v>139500</v>
      </c>
      <c r="AI12" s="252" t="n">
        <f aca="false">AH12+8000</f>
        <v>147500</v>
      </c>
      <c r="AJ12" s="239"/>
      <c r="AK12" s="239"/>
      <c r="AL12" s="239"/>
      <c r="AM12" s="239"/>
      <c r="AN12" s="239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</row>
    <row r="13" s="236" customFormat="true" ht="43.2" hidden="false" customHeight="true" outlineLevel="0" collapsed="false">
      <c r="A13" s="235"/>
      <c r="B13" s="245"/>
      <c r="C13" s="246"/>
      <c r="D13" s="247"/>
      <c r="E13" s="248"/>
      <c r="F13" s="249"/>
      <c r="G13" s="248"/>
      <c r="H13" s="249"/>
      <c r="I13" s="248"/>
      <c r="J13" s="247"/>
      <c r="K13" s="250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51" t="s">
        <v>153</v>
      </c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</row>
    <row r="14" s="236" customFormat="true" ht="43.2" hidden="false" customHeight="true" outlineLevel="0" collapsed="false">
      <c r="A14" s="235"/>
      <c r="B14" s="245"/>
      <c r="C14" s="246"/>
      <c r="D14" s="247"/>
      <c r="E14" s="248"/>
      <c r="F14" s="249"/>
      <c r="G14" s="248"/>
      <c r="H14" s="249"/>
      <c r="I14" s="248"/>
      <c r="J14" s="247"/>
      <c r="K14" s="250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51" t="s">
        <v>153</v>
      </c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</row>
    <row r="15" s="236" customFormat="true" ht="38.1" hidden="false" customHeight="true" outlineLevel="0" collapsed="false">
      <c r="A15" s="235"/>
      <c r="B15" s="235"/>
      <c r="C15" s="235"/>
      <c r="D15" s="253"/>
      <c r="E15" s="254"/>
      <c r="F15" s="254"/>
      <c r="G15" s="254"/>
      <c r="H15" s="254"/>
      <c r="I15" s="254"/>
      <c r="J15" s="254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</row>
    <row r="16" s="236" customFormat="true" ht="38.1" hidden="false" customHeight="true" outlineLevel="0" collapsed="false">
      <c r="A16" s="235"/>
      <c r="B16" s="235"/>
      <c r="C16" s="235"/>
      <c r="D16" s="254"/>
      <c r="E16" s="254"/>
      <c r="F16" s="254"/>
      <c r="G16" s="254"/>
      <c r="H16" s="254"/>
      <c r="I16" s="254"/>
      <c r="J16" s="254"/>
      <c r="K16" s="235"/>
      <c r="L16" s="235"/>
      <c r="M16" s="235"/>
      <c r="N16" s="235"/>
      <c r="O16" s="235"/>
      <c r="P16" s="235"/>
      <c r="Q16" s="235"/>
      <c r="R16" s="235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</row>
    <row r="17" s="236" customFormat="true" ht="31.5" hidden="false" customHeight="true" outlineLevel="0" collapsed="false">
      <c r="A17" s="235"/>
      <c r="B17" s="242" t="str">
        <f aca="false">IF(B19&gt;=0,"Lucro Operacional","Prejuízo Operacional")</f>
        <v>Lucro Operacional</v>
      </c>
      <c r="C17" s="255"/>
      <c r="D17" s="242" t="s">
        <v>154</v>
      </c>
      <c r="E17" s="243"/>
      <c r="F17" s="242" t="str">
        <f aca="false">IF(F19&gt;=0,"Lucro Líquido","Prejuízo Líquido")</f>
        <v>Lucro Líquido</v>
      </c>
      <c r="G17" s="243"/>
      <c r="H17" s="242" t="s">
        <v>155</v>
      </c>
      <c r="I17" s="243"/>
      <c r="J17" s="242" t="s">
        <v>156</v>
      </c>
      <c r="K17" s="244"/>
      <c r="L17" s="235"/>
      <c r="M17" s="235"/>
      <c r="N17" s="235"/>
      <c r="O17" s="235"/>
      <c r="P17" s="235"/>
      <c r="Q17" s="235"/>
      <c r="R17" s="235"/>
      <c r="S17" s="235"/>
      <c r="T17" s="235"/>
      <c r="U17" s="235"/>
      <c r="V17" s="235"/>
      <c r="W17" s="235"/>
      <c r="X17" s="235"/>
      <c r="Y17" s="235"/>
      <c r="Z17" s="235"/>
      <c r="AA17" s="235"/>
      <c r="AB17" s="251" t="s">
        <v>153</v>
      </c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</row>
    <row r="18" s="236" customFormat="true" ht="31.5" hidden="false" customHeight="true" outlineLevel="0" collapsed="false">
      <c r="A18" s="235"/>
      <c r="B18" s="242"/>
      <c r="C18" s="255"/>
      <c r="D18" s="242"/>
      <c r="E18" s="243"/>
      <c r="F18" s="242"/>
      <c r="G18" s="243"/>
      <c r="H18" s="242"/>
      <c r="I18" s="243"/>
      <c r="J18" s="242"/>
      <c r="K18" s="244"/>
      <c r="L18" s="235"/>
      <c r="M18" s="235"/>
      <c r="N18" s="235"/>
      <c r="O18" s="235"/>
      <c r="P18" s="235"/>
      <c r="Q18" s="235"/>
      <c r="R18" s="235"/>
      <c r="S18" s="235"/>
      <c r="T18" s="235"/>
      <c r="U18" s="235"/>
      <c r="V18" s="235"/>
      <c r="W18" s="235"/>
      <c r="X18" s="235"/>
      <c r="Y18" s="235"/>
      <c r="Z18" s="235"/>
      <c r="AA18" s="235"/>
      <c r="AB18" s="251" t="s">
        <v>153</v>
      </c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</row>
    <row r="19" s="236" customFormat="true" ht="14.7" hidden="false" customHeight="true" outlineLevel="0" collapsed="false">
      <c r="A19" s="235"/>
      <c r="B19" s="249" t="n">
        <f aca="false">Consolidado!$D$22</f>
        <v>0.160776524477142</v>
      </c>
      <c r="C19" s="256"/>
      <c r="D19" s="257" t="n">
        <f aca="false">Consolidado!$C$24</f>
        <v>6025.42</v>
      </c>
      <c r="E19" s="248"/>
      <c r="F19" s="249" t="n">
        <f aca="false">Consolidado!D26</f>
        <v>0.097543890358792</v>
      </c>
      <c r="G19" s="258"/>
      <c r="H19" s="259"/>
      <c r="I19" s="258"/>
      <c r="J19" s="259"/>
      <c r="K19" s="250"/>
      <c r="L19" s="235"/>
      <c r="M19" s="235"/>
      <c r="N19" s="235"/>
      <c r="O19" s="235"/>
      <c r="P19" s="235"/>
      <c r="Q19" s="235"/>
      <c r="R19" s="235"/>
      <c r="S19" s="235"/>
      <c r="T19" s="235"/>
      <c r="U19" s="235"/>
      <c r="V19" s="235"/>
      <c r="W19" s="235"/>
      <c r="X19" s="235"/>
      <c r="Y19" s="235"/>
      <c r="Z19" s="235"/>
      <c r="AA19" s="235"/>
      <c r="AB19" s="251" t="s">
        <v>153</v>
      </c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</row>
    <row r="20" s="236" customFormat="true" ht="43.2" hidden="false" customHeight="true" outlineLevel="0" collapsed="false">
      <c r="A20" s="235"/>
      <c r="B20" s="249"/>
      <c r="C20" s="256"/>
      <c r="D20" s="257"/>
      <c r="E20" s="248"/>
      <c r="F20" s="249"/>
      <c r="G20" s="258"/>
      <c r="H20" s="260" t="n">
        <f aca="false">Consolidado!$C$37</f>
        <v>63055.6531565309</v>
      </c>
      <c r="I20" s="248"/>
      <c r="J20" s="260" t="n">
        <f aca="false">Consolidado!$C$38</f>
        <v>75733.1566757048</v>
      </c>
      <c r="K20" s="250"/>
      <c r="L20" s="235"/>
      <c r="M20" s="235"/>
      <c r="N20" s="235"/>
      <c r="O20" s="235"/>
      <c r="P20" s="235"/>
      <c r="Q20" s="235"/>
      <c r="R20" s="235"/>
      <c r="S20" s="235"/>
      <c r="T20" s="235"/>
      <c r="U20" s="235"/>
      <c r="V20" s="235"/>
      <c r="W20" s="235"/>
      <c r="X20" s="235"/>
      <c r="Y20" s="235"/>
      <c r="Z20" s="235"/>
      <c r="AA20" s="235"/>
      <c r="AB20" s="251" t="s">
        <v>157</v>
      </c>
      <c r="AC20" s="261" t="n">
        <f aca="false">85%</f>
        <v>0.85</v>
      </c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</row>
    <row r="21" s="236" customFormat="true" ht="43.2" hidden="false" customHeight="true" outlineLevel="0" collapsed="false">
      <c r="A21" s="235"/>
      <c r="B21" s="249"/>
      <c r="C21" s="256"/>
      <c r="D21" s="257"/>
      <c r="E21" s="248"/>
      <c r="F21" s="249"/>
      <c r="G21" s="258"/>
      <c r="H21" s="262" t="n">
        <f aca="false">Consolidado!$D$37</f>
        <v>19.8517698939185</v>
      </c>
      <c r="I21" s="263"/>
      <c r="J21" s="262" t="n">
        <f aca="false">Consolidado!$D$38</f>
        <v>23.8430200054229</v>
      </c>
      <c r="K21" s="250"/>
      <c r="L21" s="235"/>
      <c r="M21" s="235"/>
      <c r="N21" s="235"/>
      <c r="O21" s="235"/>
      <c r="P21" s="235"/>
      <c r="Q21" s="235"/>
      <c r="R21" s="235"/>
      <c r="S21" s="235"/>
      <c r="T21" s="235"/>
      <c r="U21" s="235"/>
      <c r="V21" s="235"/>
      <c r="W21" s="235"/>
      <c r="X21" s="235"/>
      <c r="Y21" s="235"/>
      <c r="Z21" s="235"/>
      <c r="AA21" s="235"/>
      <c r="AB21" s="251" t="s">
        <v>158</v>
      </c>
      <c r="AC21" s="261" t="n">
        <f aca="false">100%-AC20</f>
        <v>0.15</v>
      </c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</row>
    <row r="22" s="236" customFormat="true" ht="43.2" hidden="false" customHeight="true" outlineLevel="0" collapsed="false">
      <c r="A22" s="235"/>
      <c r="B22" s="249"/>
      <c r="C22" s="256"/>
      <c r="D22" s="257"/>
      <c r="E22" s="248"/>
      <c r="F22" s="249"/>
      <c r="G22" s="258"/>
      <c r="H22" s="264" t="n">
        <f aca="false">Consolidado!$E$37</f>
        <v>668.670765180603</v>
      </c>
      <c r="I22" s="263"/>
      <c r="J22" s="264" t="n">
        <f aca="false">Consolidado!$E$38</f>
        <v>803.108766444377</v>
      </c>
      <c r="K22" s="250"/>
      <c r="L22" s="235"/>
      <c r="M22" s="235"/>
      <c r="N22" s="235"/>
      <c r="O22" s="235"/>
      <c r="P22" s="235"/>
      <c r="Q22" s="235"/>
      <c r="R22" s="235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</row>
    <row r="23" s="236" customFormat="true" ht="43.2" hidden="false" customHeight="true" outlineLevel="0" collapsed="false">
      <c r="A23" s="235"/>
      <c r="B23" s="265" t="str">
        <f aca="false">IF($B$19&lt;5%,"Péssimo",IF($B$19&lt;10%,"Ruim",IF($B$19&lt;15%,"Bom",IF($B$19&lt;20%,"Excelente",IF($B$19&gt;=20%,"Sensacional")))))</f>
        <v>Excelente</v>
      </c>
      <c r="C23" s="266"/>
      <c r="D23" s="265" t="str">
        <f aca="false">IF($D$25&lt;=0%,"Sensacional",IF($D$25&lt;5%,"Excelente",IF($D$25&lt;8%,"Bom",IF($D$25&lt;15%,"Ruim",IF($D$25&gt;=15%,"Péssimo")))))</f>
        <v>Bom</v>
      </c>
      <c r="E23" s="267"/>
      <c r="F23" s="265" t="str">
        <f aca="false">IF($F$19&lt;5%,"Péssimo",IF($F$19&lt;10%,"Ruim",IF($F$19&lt;15%,"Bom",IF($F$19&lt;20%,"Excelente",IF($F$19&gt;=20%,"Sensacional")))))</f>
        <v>Ruim</v>
      </c>
      <c r="G23" s="267"/>
      <c r="H23" s="265" t="str">
        <f aca="false">IF($H$21&gt;=28,"Péssimo",IF($H$21&gt;=25,"Ruim",IF($H$21&gt;=22,"Bom",IF($H$21&gt;=15,"Excelente",IF($H$21&lt;=15,"Sensacional")))))</f>
        <v>Excelente</v>
      </c>
      <c r="I23" s="267"/>
      <c r="J23" s="265" t="str">
        <f aca="false">IF($J$21&gt;=28,"Péssimo",IF($J$21&gt;=25,"Ruim",IF($J$21&gt;=22,"Bom",IF($J$21&gt;=15,"Excelente",IF($J$21&lt;=15,"Sensacional")))))</f>
        <v>Bom</v>
      </c>
      <c r="K23" s="250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</row>
    <row r="24" s="236" customFormat="true" ht="23.1" hidden="false" customHeight="true" outlineLevel="0" collapsed="false">
      <c r="A24" s="235"/>
      <c r="B24" s="235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</row>
    <row r="25" s="236" customFormat="true" ht="18.6" hidden="false" customHeight="false" outlineLevel="0" collapsed="false">
      <c r="A25" s="235"/>
      <c r="B25" s="235"/>
      <c r="C25" s="235"/>
      <c r="D25" s="268" t="n">
        <f aca="false">Consolidado!D24</f>
        <v>0.0632326341183498</v>
      </c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</row>
    <row r="26" s="236" customFormat="true" ht="18.6" hidden="false" customHeight="false" outlineLevel="0" collapsed="false">
      <c r="A26" s="235"/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</row>
    <row r="27" s="236" customFormat="true" ht="18.6" hidden="false" customHeight="false" outlineLevel="0" collapsed="false">
      <c r="A27" s="235"/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</row>
    <row r="28" s="236" customFormat="true" ht="18.6" hidden="false" customHeight="false" outlineLevel="0" collapsed="false">
      <c r="A28" s="235"/>
      <c r="B28" s="235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</row>
    <row r="29" s="236" customFormat="true" ht="18.6" hidden="false" customHeight="false" outlineLevel="0" collapsed="false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</row>
    <row r="30" s="236" customFormat="true" ht="18.6" hidden="false" customHeight="false" outlineLevel="0" collapsed="false">
      <c r="A30" s="23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</row>
    <row r="31" s="236" customFormat="true" ht="18.6" hidden="false" customHeight="false" outlineLevel="0" collapsed="false">
      <c r="A31" s="235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</row>
    <row r="32" s="236" customFormat="true" ht="18.6" hidden="false" customHeight="false" outlineLevel="0" collapsed="false">
      <c r="A32" s="235"/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</row>
    <row r="33" s="236" customFormat="true" ht="18.6" hidden="false" customHeight="false" outlineLevel="0" collapsed="false">
      <c r="A33" s="235"/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</row>
  </sheetData>
  <mergeCells count="19">
    <mergeCell ref="B2:F4"/>
    <mergeCell ref="B8:B9"/>
    <mergeCell ref="D8:D9"/>
    <mergeCell ref="F8:F9"/>
    <mergeCell ref="H8:H9"/>
    <mergeCell ref="J8:J9"/>
    <mergeCell ref="B10:B14"/>
    <mergeCell ref="D10:D14"/>
    <mergeCell ref="F10:F14"/>
    <mergeCell ref="H10:H14"/>
    <mergeCell ref="J10:J14"/>
    <mergeCell ref="B17:B18"/>
    <mergeCell ref="D17:D18"/>
    <mergeCell ref="F17:F18"/>
    <mergeCell ref="H17:H18"/>
    <mergeCell ref="J17:J18"/>
    <mergeCell ref="B19:B22"/>
    <mergeCell ref="D19:D22"/>
    <mergeCell ref="F19:F22"/>
  </mergeCells>
  <conditionalFormatting sqref="F19:F22 B19:B22">
    <cfRule type="cellIs" priority="2" operator="lessThan" aboveAverage="0" equalAverage="0" bottom="0" percent="0" rank="0" text="" dxfId="15">
      <formula>0</formula>
    </cfRule>
  </conditionalFormatting>
  <conditionalFormatting sqref="B23">
    <cfRule type="cellIs" priority="3" operator="equal" aboveAverage="0" equalAverage="0" bottom="0" percent="0" rank="0" text="" dxfId="16">
      <formula>"Bom"</formula>
    </cfRule>
    <cfRule type="cellIs" priority="4" operator="equal" aboveAverage="0" equalAverage="0" bottom="0" percent="0" rank="0" text="" dxfId="17">
      <formula>"Sensacional"</formula>
    </cfRule>
    <cfRule type="cellIs" priority="5" operator="equal" aboveAverage="0" equalAverage="0" bottom="0" percent="0" rank="0" text="" dxfId="18">
      <formula>"Ruim"</formula>
    </cfRule>
    <cfRule type="cellIs" priority="6" operator="equal" aboveAverage="0" equalAverage="0" bottom="0" percent="0" rank="0" text="" dxfId="19">
      <formula>"Péssimo"</formula>
    </cfRule>
    <cfRule type="cellIs" priority="7" operator="equal" aboveAverage="0" equalAverage="0" bottom="0" percent="0" rank="0" text="" dxfId="20">
      <formula>"Excelente"</formula>
    </cfRule>
  </conditionalFormatting>
  <conditionalFormatting sqref="F23">
    <cfRule type="cellIs" priority="8" operator="equal" aboveAverage="0" equalAverage="0" bottom="0" percent="0" rank="0" text="" dxfId="21">
      <formula>"Bom"</formula>
    </cfRule>
    <cfRule type="cellIs" priority="9" operator="equal" aboveAverage="0" equalAverage="0" bottom="0" percent="0" rank="0" text="" dxfId="22">
      <formula>"Sensacional"</formula>
    </cfRule>
    <cfRule type="cellIs" priority="10" operator="equal" aboveAverage="0" equalAverage="0" bottom="0" percent="0" rank="0" text="" dxfId="23">
      <formula>"Ruim"</formula>
    </cfRule>
    <cfRule type="cellIs" priority="11" operator="equal" aboveAverage="0" equalAverage="0" bottom="0" percent="0" rank="0" text="" dxfId="24">
      <formula>"Péssimo"</formula>
    </cfRule>
    <cfRule type="cellIs" priority="12" operator="equal" aboveAverage="0" equalAverage="0" bottom="0" percent="0" rank="0" text="" dxfId="25">
      <formula>"Excelente"</formula>
    </cfRule>
  </conditionalFormatting>
  <conditionalFormatting sqref="D23">
    <cfRule type="cellIs" priority="13" operator="equal" aboveAverage="0" equalAverage="0" bottom="0" percent="0" rank="0" text="" dxfId="26">
      <formula>"Bom"</formula>
    </cfRule>
    <cfRule type="cellIs" priority="14" operator="equal" aboveAverage="0" equalAverage="0" bottom="0" percent="0" rank="0" text="" dxfId="27">
      <formula>"Sensacional"</formula>
    </cfRule>
    <cfRule type="cellIs" priority="15" operator="equal" aboveAverage="0" equalAverage="0" bottom="0" percent="0" rank="0" text="" dxfId="28">
      <formula>"Ruim"</formula>
    </cfRule>
    <cfRule type="cellIs" priority="16" operator="equal" aboveAverage="0" equalAverage="0" bottom="0" percent="0" rank="0" text="" dxfId="29">
      <formula>"Péssimo"</formula>
    </cfRule>
    <cfRule type="cellIs" priority="17" operator="equal" aboveAverage="0" equalAverage="0" bottom="0" percent="0" rank="0" text="" dxfId="30">
      <formula>"Excelente"</formula>
    </cfRule>
  </conditionalFormatting>
  <conditionalFormatting sqref="H23">
    <cfRule type="cellIs" priority="18" operator="equal" aboveAverage="0" equalAverage="0" bottom="0" percent="0" rank="0" text="" dxfId="31">
      <formula>"Bom"</formula>
    </cfRule>
    <cfRule type="cellIs" priority="19" operator="equal" aboveAverage="0" equalAverage="0" bottom="0" percent="0" rank="0" text="" dxfId="32">
      <formula>"Sensacional"</formula>
    </cfRule>
    <cfRule type="cellIs" priority="20" operator="equal" aboveAverage="0" equalAverage="0" bottom="0" percent="0" rank="0" text="" dxfId="33">
      <formula>"Ruim"</formula>
    </cfRule>
    <cfRule type="cellIs" priority="21" operator="equal" aboveAverage="0" equalAverage="0" bottom="0" percent="0" rank="0" text="" dxfId="34">
      <formula>"Péssimo"</formula>
    </cfRule>
    <cfRule type="cellIs" priority="22" operator="equal" aboveAverage="0" equalAverage="0" bottom="0" percent="0" rank="0" text="" dxfId="35">
      <formula>"Excelente"</formula>
    </cfRule>
  </conditionalFormatting>
  <conditionalFormatting sqref="J23">
    <cfRule type="cellIs" priority="23" operator="equal" aboveAverage="0" equalAverage="0" bottom="0" percent="0" rank="0" text="" dxfId="36">
      <formula>"Bom"</formula>
    </cfRule>
    <cfRule type="cellIs" priority="24" operator="equal" aboveAverage="0" equalAverage="0" bottom="0" percent="0" rank="0" text="" dxfId="37">
      <formula>"Sensacional"</formula>
    </cfRule>
    <cfRule type="cellIs" priority="25" operator="equal" aboveAverage="0" equalAverage="0" bottom="0" percent="0" rank="0" text="" dxfId="38">
      <formula>"Ruim"</formula>
    </cfRule>
    <cfRule type="cellIs" priority="26" operator="equal" aboveAverage="0" equalAverage="0" bottom="0" percent="0" rank="0" text="" dxfId="39">
      <formula>"Péssimo"</formula>
    </cfRule>
    <cfRule type="cellIs" priority="27" operator="equal" aboveAverage="0" equalAverage="0" bottom="0" percent="0" rank="0" text="" dxfId="40">
      <formula>"Excelente"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33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8.6796875" defaultRowHeight="18.6" zeroHeight="false" outlineLevelRow="0" outlineLevelCol="0"/>
  <cols>
    <col collapsed="false" customWidth="true" hidden="false" outlineLevel="0" max="1" min="1" style="233" width="5.66"/>
    <col collapsed="false" customWidth="true" hidden="false" outlineLevel="0" max="2" min="2" style="233" width="42"/>
    <col collapsed="false" customWidth="true" hidden="false" outlineLevel="0" max="3" min="3" style="233" width="4.66"/>
    <col collapsed="false" customWidth="true" hidden="false" outlineLevel="0" max="4" min="4" style="233" width="42"/>
    <col collapsed="false" customWidth="true" hidden="false" outlineLevel="0" max="5" min="5" style="233" width="4.66"/>
    <col collapsed="false" customWidth="true" hidden="false" outlineLevel="0" max="6" min="6" style="233" width="42"/>
    <col collapsed="false" customWidth="true" hidden="false" outlineLevel="0" max="7" min="7" style="233" width="4.66"/>
    <col collapsed="false" customWidth="true" hidden="false" outlineLevel="0" max="8" min="8" style="233" width="42"/>
    <col collapsed="false" customWidth="true" hidden="false" outlineLevel="0" max="9" min="9" style="233" width="4.66"/>
    <col collapsed="false" customWidth="true" hidden="false" outlineLevel="0" max="10" min="10" style="233" width="42"/>
    <col collapsed="false" customWidth="true" hidden="false" outlineLevel="0" max="11" min="11" style="233" width="5.66"/>
    <col collapsed="false" customWidth="true" hidden="false" outlineLevel="0" max="12" min="12" style="233" width="2.33"/>
    <col collapsed="false" customWidth="true" hidden="false" outlineLevel="0" max="13" min="13" style="233" width="1"/>
    <col collapsed="false" customWidth="true" hidden="false" outlineLevel="0" max="14" min="14" style="233" width="21.56"/>
    <col collapsed="false" customWidth="true" hidden="false" outlineLevel="0" max="17" min="15" style="233" width="21.33"/>
    <col collapsed="false" customWidth="false" hidden="false" outlineLevel="0" max="27" min="18" style="233" width="8.67"/>
    <col collapsed="false" customWidth="true" hidden="false" outlineLevel="0" max="28" min="28" style="233" width="20.98"/>
    <col collapsed="false" customWidth="true" hidden="false" outlineLevel="0" max="40" min="29" style="234" width="14.35"/>
    <col collapsed="false" customWidth="false" hidden="false" outlineLevel="0" max="1024" min="41" style="233" width="8.67"/>
  </cols>
  <sheetData>
    <row r="1" s="236" customFormat="true" ht="7.2" hidden="false" customHeight="true" outlineLevel="0" collapsed="false">
      <c r="A1" s="235"/>
      <c r="B1" s="235"/>
      <c r="C1" s="235"/>
      <c r="D1" s="235"/>
      <c r="E1" s="235"/>
      <c r="F1" s="235"/>
      <c r="G1" s="235"/>
      <c r="H1" s="269" t="n">
        <f aca="false">H2-1</f>
        <v>2022</v>
      </c>
      <c r="I1" s="270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</row>
    <row r="2" s="236" customFormat="true" ht="10.5" hidden="false" customHeight="true" outlineLevel="0" collapsed="false">
      <c r="A2" s="235"/>
      <c r="B2" s="237" t="s">
        <v>159</v>
      </c>
      <c r="C2" s="237"/>
      <c r="D2" s="237"/>
      <c r="E2" s="237"/>
      <c r="F2" s="237"/>
      <c r="G2" s="238"/>
      <c r="H2" s="271" t="n">
        <f aca="false">Menu!L1</f>
        <v>2023</v>
      </c>
      <c r="I2" s="271"/>
      <c r="J2" s="238"/>
      <c r="K2" s="238"/>
      <c r="L2" s="235"/>
      <c r="M2" s="235"/>
      <c r="N2" s="235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8"/>
      <c r="AU2" s="238"/>
      <c r="AV2" s="238"/>
      <c r="AW2" s="238"/>
      <c r="AX2" s="238"/>
      <c r="AY2" s="238"/>
      <c r="AZ2" s="238"/>
    </row>
    <row r="3" s="236" customFormat="true" ht="10.5" hidden="false" customHeight="true" outlineLevel="0" collapsed="false">
      <c r="A3" s="235"/>
      <c r="B3" s="237"/>
      <c r="C3" s="237"/>
      <c r="D3" s="237"/>
      <c r="E3" s="237"/>
      <c r="F3" s="237"/>
      <c r="G3" s="238"/>
      <c r="H3" s="271"/>
      <c r="I3" s="271"/>
      <c r="J3" s="238"/>
      <c r="K3" s="238"/>
      <c r="L3" s="235"/>
      <c r="M3" s="235"/>
      <c r="N3" s="235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8"/>
      <c r="AU3" s="238"/>
      <c r="AV3" s="238"/>
      <c r="AW3" s="238"/>
      <c r="AX3" s="238"/>
      <c r="AY3" s="238"/>
      <c r="AZ3" s="238"/>
    </row>
    <row r="4" s="236" customFormat="true" ht="10.5" hidden="false" customHeight="true" outlineLevel="0" collapsed="false">
      <c r="A4" s="235"/>
      <c r="B4" s="237"/>
      <c r="C4" s="237"/>
      <c r="D4" s="237"/>
      <c r="E4" s="237"/>
      <c r="F4" s="237"/>
      <c r="G4" s="238"/>
      <c r="H4" s="271"/>
      <c r="I4" s="271"/>
      <c r="J4" s="238"/>
      <c r="K4" s="238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8"/>
      <c r="AU4" s="238"/>
      <c r="AV4" s="238"/>
      <c r="AW4" s="238"/>
      <c r="AX4" s="238"/>
      <c r="AY4" s="238"/>
      <c r="AZ4" s="238"/>
    </row>
    <row r="5" s="236" customFormat="true" ht="7.2" hidden="false" customHeight="true" outlineLevel="0" collapsed="false">
      <c r="A5" s="235"/>
      <c r="B5" s="235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</row>
    <row r="6" s="236" customFormat="true" ht="7.2" hidden="false" customHeight="true" outlineLevel="0" collapsed="false">
      <c r="A6" s="235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</row>
    <row r="7" s="236" customFormat="true" ht="23.1" hidden="false" customHeight="true" outlineLevel="0" collapsed="false">
      <c r="A7" s="235"/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</row>
    <row r="8" s="236" customFormat="true" ht="31.5" hidden="false" customHeight="true" outlineLevel="0" collapsed="false">
      <c r="A8" s="235"/>
      <c r="B8" s="272" t="str">
        <f aca="false">"Custo Variável            Total "&amp;MID($H$1,3,4)&amp;"X"&amp;MID($H$2,3,4)</f>
        <v>Custo Variável            Total 22X23</v>
      </c>
      <c r="C8" s="241"/>
      <c r="D8" s="242" t="str">
        <f aca="false">"CPV "&amp;MID($H$1,3,4)&amp;"X"&amp;MID($H$2,3,4)</f>
        <v>CPV 22X23</v>
      </c>
      <c r="E8" s="243"/>
      <c r="F8" s="242" t="str">
        <f aca="false">"CMA "&amp;MID($H$1,3,4)&amp;"X"&amp;MID($H$2,3,4)</f>
        <v>CMA 22X23</v>
      </c>
      <c r="G8" s="243"/>
      <c r="H8" s="242" t="str">
        <f aca="false">"CMV "&amp;MID($H$1,3,4)&amp;"X"&amp;MID($H$2,3,4)</f>
        <v>CMV 22X23</v>
      </c>
      <c r="I8" s="243"/>
      <c r="J8" s="242" t="str">
        <f aca="false">"Demais Custos Variáveis "&amp;MID($H$1,3,4)&amp;"X"&amp;MID($H$2,3,4)</f>
        <v>Demais Custos Variáveis 22X23</v>
      </c>
      <c r="K8" s="244"/>
      <c r="L8" s="235"/>
      <c r="M8" s="235"/>
      <c r="N8" s="235"/>
      <c r="O8" s="235"/>
      <c r="P8" s="235"/>
      <c r="Q8" s="235"/>
      <c r="R8" s="235"/>
      <c r="S8" s="235"/>
      <c r="T8" s="235"/>
      <c r="U8" s="235"/>
      <c r="V8" s="235"/>
      <c r="W8" s="235"/>
      <c r="X8" s="235"/>
      <c r="Y8" s="235"/>
      <c r="Z8" s="235"/>
      <c r="AA8" s="235"/>
      <c r="AB8" s="235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</row>
    <row r="9" s="236" customFormat="true" ht="31.5" hidden="false" customHeight="true" outlineLevel="0" collapsed="false">
      <c r="A9" s="235"/>
      <c r="B9" s="272"/>
      <c r="C9" s="241"/>
      <c r="D9" s="242"/>
      <c r="E9" s="243"/>
      <c r="F9" s="242"/>
      <c r="G9" s="243"/>
      <c r="H9" s="242"/>
      <c r="I9" s="243"/>
      <c r="J9" s="242"/>
      <c r="K9" s="244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5"/>
      <c r="X9" s="235"/>
      <c r="Y9" s="235"/>
      <c r="Z9" s="235"/>
      <c r="AA9" s="235"/>
      <c r="AB9" s="235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</row>
    <row r="10" s="236" customFormat="true" ht="14.7" hidden="false" customHeight="true" outlineLevel="0" collapsed="false">
      <c r="A10" s="235"/>
      <c r="B10" s="273" t="n">
        <f aca="false">Consolidado!$AM$10</f>
        <v>0.782440021426878</v>
      </c>
      <c r="C10" s="246"/>
      <c r="D10" s="274" t="n">
        <f aca="false">Consolidado!$AM$11</f>
        <v>-4.05377520920247</v>
      </c>
      <c r="E10" s="248"/>
      <c r="F10" s="274" t="n">
        <f aca="false">Consolidado!$AM$12</f>
        <v>-3.27866022492078</v>
      </c>
      <c r="G10" s="248"/>
      <c r="H10" s="274" t="n">
        <f aca="false">Consolidado!$AM$13</f>
        <v>-0.77511498428168</v>
      </c>
      <c r="I10" s="248"/>
      <c r="J10" s="274" t="n">
        <f aca="false">Consolidado!$AI$14</f>
        <v>0.269144142725994</v>
      </c>
      <c r="K10" s="250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5"/>
      <c r="X10" s="235"/>
      <c r="Y10" s="235"/>
      <c r="Z10" s="235"/>
      <c r="AA10" s="235"/>
      <c r="AB10" s="235"/>
      <c r="AC10" s="239" t="s">
        <v>140</v>
      </c>
      <c r="AD10" s="239" t="s">
        <v>141</v>
      </c>
      <c r="AE10" s="239" t="s">
        <v>142</v>
      </c>
      <c r="AF10" s="239" t="s">
        <v>143</v>
      </c>
      <c r="AG10" s="239" t="s">
        <v>144</v>
      </c>
      <c r="AH10" s="239" t="s">
        <v>145</v>
      </c>
      <c r="AI10" s="239" t="s">
        <v>146</v>
      </c>
      <c r="AJ10" s="239" t="s">
        <v>147</v>
      </c>
      <c r="AK10" s="239" t="s">
        <v>148</v>
      </c>
      <c r="AL10" s="239" t="s">
        <v>149</v>
      </c>
      <c r="AM10" s="239" t="s">
        <v>150</v>
      </c>
      <c r="AN10" s="239" t="s">
        <v>151</v>
      </c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</row>
    <row r="11" s="236" customFormat="true" ht="43.2" hidden="false" customHeight="true" outlineLevel="0" collapsed="false">
      <c r="A11" s="235"/>
      <c r="B11" s="273"/>
      <c r="C11" s="246"/>
      <c r="D11" s="274"/>
      <c r="E11" s="248"/>
      <c r="F11" s="274"/>
      <c r="G11" s="248"/>
      <c r="H11" s="274"/>
      <c r="I11" s="248"/>
      <c r="J11" s="274"/>
      <c r="K11" s="250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5"/>
      <c r="X11" s="235"/>
      <c r="Y11" s="235"/>
      <c r="Z11" s="235"/>
      <c r="AA11" s="235"/>
      <c r="AB11" s="251" t="s">
        <v>152</v>
      </c>
      <c r="AC11" s="252" t="n">
        <v>12000</v>
      </c>
      <c r="AD11" s="252" t="n">
        <v>23400</v>
      </c>
      <c r="AE11" s="252" t="n">
        <v>79990</v>
      </c>
      <c r="AF11" s="252" t="n">
        <v>110000</v>
      </c>
      <c r="AG11" s="252" t="n">
        <v>119000</v>
      </c>
      <c r="AH11" s="252" t="n">
        <v>120000</v>
      </c>
      <c r="AI11" s="252" t="n">
        <v>120000</v>
      </c>
      <c r="AJ11" s="239"/>
      <c r="AK11" s="239"/>
      <c r="AL11" s="239"/>
      <c r="AM11" s="239"/>
      <c r="AN11" s="239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</row>
    <row r="12" s="236" customFormat="true" ht="43.2" hidden="false" customHeight="true" outlineLevel="0" collapsed="false">
      <c r="A12" s="235"/>
      <c r="B12" s="273"/>
      <c r="C12" s="246"/>
      <c r="D12" s="274"/>
      <c r="E12" s="248"/>
      <c r="F12" s="274"/>
      <c r="G12" s="248"/>
      <c r="H12" s="274"/>
      <c r="I12" s="248"/>
      <c r="J12" s="274"/>
      <c r="K12" s="250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5"/>
      <c r="X12" s="235"/>
      <c r="Y12" s="235"/>
      <c r="Z12" s="235"/>
      <c r="AA12" s="235"/>
      <c r="AB12" s="251" t="s">
        <v>153</v>
      </c>
      <c r="AC12" s="252" t="n">
        <v>110000</v>
      </c>
      <c r="AD12" s="252" t="n">
        <f aca="false">AC12+4500</f>
        <v>114500</v>
      </c>
      <c r="AE12" s="252" t="n">
        <f aca="false">AD12+4500</f>
        <v>119000</v>
      </c>
      <c r="AF12" s="252" t="n">
        <f aca="false">AE12+4500</f>
        <v>123500</v>
      </c>
      <c r="AG12" s="252" t="n">
        <f aca="false">AF12+8000</f>
        <v>131500</v>
      </c>
      <c r="AH12" s="252" t="n">
        <f aca="false">AG12+8000</f>
        <v>139500</v>
      </c>
      <c r="AI12" s="252" t="n">
        <f aca="false">AH12+8000</f>
        <v>147500</v>
      </c>
      <c r="AJ12" s="239"/>
      <c r="AK12" s="239"/>
      <c r="AL12" s="239"/>
      <c r="AM12" s="239"/>
      <c r="AN12" s="239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</row>
    <row r="13" s="236" customFormat="true" ht="43.2" hidden="false" customHeight="true" outlineLevel="0" collapsed="false">
      <c r="A13" s="235"/>
      <c r="B13" s="273"/>
      <c r="C13" s="246"/>
      <c r="D13" s="274"/>
      <c r="E13" s="248"/>
      <c r="F13" s="274"/>
      <c r="G13" s="248"/>
      <c r="H13" s="274"/>
      <c r="I13" s="248"/>
      <c r="J13" s="274"/>
      <c r="K13" s="250"/>
      <c r="L13" s="235"/>
      <c r="M13" s="235"/>
      <c r="N13" s="235"/>
      <c r="O13" s="235"/>
      <c r="P13" s="235"/>
      <c r="Q13" s="235"/>
      <c r="R13" s="235"/>
      <c r="S13" s="235"/>
      <c r="T13" s="235"/>
      <c r="U13" s="235"/>
      <c r="V13" s="235"/>
      <c r="W13" s="235"/>
      <c r="X13" s="235"/>
      <c r="Y13" s="235"/>
      <c r="Z13" s="235"/>
      <c r="AA13" s="235"/>
      <c r="AB13" s="251" t="s">
        <v>153</v>
      </c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</row>
    <row r="14" s="236" customFormat="true" ht="43.2" hidden="false" customHeight="true" outlineLevel="0" collapsed="false">
      <c r="A14" s="235"/>
      <c r="B14" s="273"/>
      <c r="C14" s="246"/>
      <c r="D14" s="274"/>
      <c r="E14" s="248"/>
      <c r="F14" s="274"/>
      <c r="G14" s="248"/>
      <c r="H14" s="274"/>
      <c r="I14" s="248"/>
      <c r="J14" s="274"/>
      <c r="K14" s="250"/>
      <c r="L14" s="235"/>
      <c r="M14" s="235"/>
      <c r="N14" s="235"/>
      <c r="O14" s="235"/>
      <c r="P14" s="235"/>
      <c r="Q14" s="235"/>
      <c r="R14" s="235"/>
      <c r="S14" s="235"/>
      <c r="T14" s="235"/>
      <c r="U14" s="235"/>
      <c r="V14" s="235"/>
      <c r="W14" s="235"/>
      <c r="X14" s="235"/>
      <c r="Y14" s="235"/>
      <c r="Z14" s="235"/>
      <c r="AA14" s="235"/>
      <c r="AB14" s="251" t="s">
        <v>153</v>
      </c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</row>
    <row r="15" s="236" customFormat="true" ht="38.1" hidden="false" customHeight="true" outlineLevel="0" collapsed="false">
      <c r="A15" s="235"/>
      <c r="B15" s="235"/>
      <c r="C15" s="235"/>
      <c r="D15" s="253"/>
      <c r="E15" s="254"/>
      <c r="F15" s="254"/>
      <c r="G15" s="254"/>
      <c r="H15" s="254"/>
      <c r="I15" s="254"/>
      <c r="J15" s="254"/>
      <c r="K15" s="235"/>
      <c r="L15" s="235"/>
      <c r="M15" s="235"/>
      <c r="N15" s="235"/>
      <c r="O15" s="235"/>
      <c r="P15" s="235"/>
      <c r="Q15" s="235"/>
      <c r="R15" s="235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</row>
    <row r="16" s="236" customFormat="true" ht="38.1" hidden="false" customHeight="true" outlineLevel="0" collapsed="false">
      <c r="A16" s="235"/>
      <c r="B16" s="235"/>
      <c r="C16" s="235"/>
      <c r="D16" s="254"/>
      <c r="E16" s="254"/>
      <c r="F16" s="254"/>
      <c r="G16" s="254"/>
      <c r="H16" s="254"/>
      <c r="I16" s="254"/>
      <c r="J16" s="254"/>
      <c r="K16" s="235"/>
      <c r="L16" s="235"/>
      <c r="M16" s="235"/>
      <c r="N16" s="275"/>
      <c r="O16" s="275"/>
      <c r="P16" s="275"/>
      <c r="Q16" s="275"/>
      <c r="R16" s="275"/>
      <c r="S16" s="275"/>
      <c r="T16" s="275"/>
      <c r="U16" s="275"/>
      <c r="V16" s="275"/>
      <c r="W16" s="275"/>
      <c r="X16" s="275"/>
      <c r="Y16" s="275"/>
      <c r="Z16" s="275"/>
      <c r="AA16" s="275"/>
      <c r="AB16" s="275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</row>
    <row r="17" s="236" customFormat="true" ht="31.5" hidden="false" customHeight="true" outlineLevel="0" collapsed="false">
      <c r="A17" s="235"/>
      <c r="B17" s="272" t="str">
        <f aca="false">"Custo Fixo                 Total "&amp;MID($H$1,3,4)&amp;"X"&amp;MID($H$2,3,4)</f>
        <v>Custo Fixo                 Total 22X23</v>
      </c>
      <c r="C17" s="255"/>
      <c r="D17" s="242" t="str">
        <f aca="false">"Custo Fixo                 Pessoas "&amp;MID($H$1,3,4)&amp;"X"&amp;MID($H$2,3,4)</f>
        <v>Custo Fixo                 Pessoas 22X23</v>
      </c>
      <c r="E17" s="243"/>
      <c r="F17" s="242" t="str">
        <f aca="false">"Demais Custos                            Fixos "&amp;MID($H$1,3,4)&amp;"X"&amp;MID($H$2,3,4)</f>
        <v>Demais Custos                            Fixos 22X23</v>
      </c>
      <c r="G17" s="243"/>
      <c r="H17" s="242" t="str">
        <f aca="false">"MEO "&amp;MID($H$1,3,4)&amp;"X"&amp;MID($H$2,3,4)</f>
        <v>MEO 22X23</v>
      </c>
      <c r="I17" s="243"/>
      <c r="J17" s="276"/>
      <c r="K17" s="244"/>
      <c r="L17" s="235"/>
      <c r="M17" s="235"/>
      <c r="N17" s="277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8" t="s">
        <v>153</v>
      </c>
      <c r="AC17" s="239"/>
      <c r="AD17" s="239"/>
      <c r="AE17" s="239"/>
      <c r="AF17" s="239"/>
      <c r="AG17" s="239"/>
      <c r="AH17" s="239"/>
      <c r="AI17" s="239"/>
      <c r="AJ17" s="239"/>
      <c r="AK17" s="239"/>
      <c r="AL17" s="239"/>
      <c r="AM17" s="239"/>
      <c r="AN17" s="239"/>
      <c r="AO17" s="235"/>
      <c r="AP17" s="235"/>
      <c r="AQ17" s="235"/>
      <c r="AR17" s="235"/>
      <c r="AS17" s="235"/>
      <c r="AT17" s="235"/>
      <c r="AU17" s="235"/>
      <c r="AV17" s="235"/>
      <c r="AW17" s="235"/>
      <c r="AX17" s="235"/>
      <c r="AY17" s="235"/>
      <c r="AZ17" s="235"/>
    </row>
    <row r="18" s="236" customFormat="true" ht="31.5" hidden="false" customHeight="true" outlineLevel="0" collapsed="false">
      <c r="A18" s="235"/>
      <c r="B18" s="272"/>
      <c r="C18" s="255"/>
      <c r="D18" s="242"/>
      <c r="E18" s="243"/>
      <c r="F18" s="242"/>
      <c r="G18" s="243"/>
      <c r="H18" s="242"/>
      <c r="I18" s="243"/>
      <c r="J18" s="276"/>
      <c r="K18" s="244"/>
      <c r="L18" s="235"/>
      <c r="M18" s="235"/>
      <c r="N18" s="277" t="s">
        <v>160</v>
      </c>
      <c r="O18" s="275" t="s">
        <v>139</v>
      </c>
      <c r="P18" s="275"/>
      <c r="Q18" s="275"/>
      <c r="R18" s="275"/>
      <c r="S18" s="275"/>
      <c r="T18" s="275"/>
      <c r="U18" s="275"/>
      <c r="V18" s="275"/>
      <c r="W18" s="275"/>
      <c r="X18" s="275"/>
      <c r="Y18" s="275"/>
      <c r="Z18" s="275"/>
      <c r="AA18" s="275"/>
      <c r="AB18" s="278" t="s">
        <v>153</v>
      </c>
      <c r="AC18" s="239"/>
      <c r="AD18" s="239"/>
      <c r="AE18" s="239"/>
      <c r="AF18" s="239"/>
      <c r="AG18" s="239"/>
      <c r="AH18" s="239"/>
      <c r="AI18" s="239"/>
      <c r="AJ18" s="239"/>
      <c r="AK18" s="239"/>
      <c r="AL18" s="239"/>
      <c r="AM18" s="239"/>
      <c r="AN18" s="239"/>
      <c r="AO18" s="235"/>
      <c r="AP18" s="235"/>
      <c r="AQ18" s="235"/>
      <c r="AR18" s="235"/>
      <c r="AS18" s="235"/>
      <c r="AT18" s="235"/>
      <c r="AU18" s="235"/>
      <c r="AV18" s="235"/>
      <c r="AW18" s="235"/>
      <c r="AX18" s="235"/>
      <c r="AY18" s="235"/>
      <c r="AZ18" s="235"/>
    </row>
    <row r="19" s="236" customFormat="true" ht="14.7" hidden="false" customHeight="true" outlineLevel="0" collapsed="false">
      <c r="A19" s="235"/>
      <c r="B19" s="279" t="n">
        <f aca="false">Consolidado!AM18</f>
        <v>0.0179252467580904</v>
      </c>
      <c r="C19" s="256"/>
      <c r="D19" s="249" t="n">
        <f aca="false">Consolidado!$AM$19</f>
        <v>-0.185958720031335</v>
      </c>
      <c r="E19" s="248"/>
      <c r="F19" s="249" t="n">
        <f aca="false">Consolidado!$AM$20</f>
        <v>0.28006416863754</v>
      </c>
      <c r="G19" s="258"/>
      <c r="H19" s="249" t="n">
        <f aca="false">Consolidado!AM24</f>
        <v>0.183520260847361</v>
      </c>
      <c r="I19" s="258"/>
      <c r="J19" s="276"/>
      <c r="K19" s="250"/>
      <c r="L19" s="235"/>
      <c r="M19" s="280"/>
      <c r="N19" s="277" t="n">
        <f aca="false">Consolidado!$AM$6</f>
        <v>0.238373337453892</v>
      </c>
      <c r="O19" s="277" t="n">
        <f aca="false">Consolidado!$AM$18</f>
        <v>0.0179252467580904</v>
      </c>
      <c r="P19" s="277" t="n">
        <f aca="false">Consolidado!$AM$6</f>
        <v>0.238373337453892</v>
      </c>
      <c r="Q19" s="277" t="n">
        <f aca="false">Consolidado!$AM$6</f>
        <v>0.238373337453892</v>
      </c>
      <c r="R19" s="275"/>
      <c r="S19" s="275"/>
      <c r="T19" s="275"/>
      <c r="U19" s="275"/>
      <c r="V19" s="275"/>
      <c r="W19" s="275"/>
      <c r="X19" s="275"/>
      <c r="Y19" s="275"/>
      <c r="Z19" s="275"/>
      <c r="AA19" s="275"/>
      <c r="AB19" s="278" t="s">
        <v>153</v>
      </c>
      <c r="AC19" s="239"/>
      <c r="AD19" s="239"/>
      <c r="AE19" s="239"/>
      <c r="AF19" s="239"/>
      <c r="AG19" s="239"/>
      <c r="AH19" s="239"/>
      <c r="AI19" s="239"/>
      <c r="AJ19" s="239"/>
      <c r="AK19" s="239"/>
      <c r="AL19" s="239"/>
      <c r="AM19" s="239"/>
      <c r="AN19" s="239"/>
      <c r="AO19" s="235"/>
      <c r="AP19" s="235"/>
      <c r="AQ19" s="235"/>
      <c r="AR19" s="235"/>
      <c r="AS19" s="235"/>
      <c r="AT19" s="235"/>
      <c r="AU19" s="235"/>
      <c r="AV19" s="235"/>
      <c r="AW19" s="235"/>
      <c r="AX19" s="235"/>
      <c r="AY19" s="235"/>
      <c r="AZ19" s="235"/>
    </row>
    <row r="20" s="236" customFormat="true" ht="43.2" hidden="false" customHeight="true" outlineLevel="0" collapsed="false">
      <c r="A20" s="235"/>
      <c r="B20" s="279"/>
      <c r="C20" s="256"/>
      <c r="D20" s="249"/>
      <c r="E20" s="248"/>
      <c r="F20" s="249"/>
      <c r="G20" s="258"/>
      <c r="H20" s="249"/>
      <c r="I20" s="248"/>
      <c r="J20" s="276"/>
      <c r="K20" s="250"/>
      <c r="L20" s="235"/>
      <c r="M20" s="235"/>
      <c r="N20" s="277" t="n">
        <f aca="false">Consolidado!$AM$18</f>
        <v>0.0179252467580904</v>
      </c>
      <c r="O20" s="277" t="n">
        <f aca="false">Consolidado!$AM$18</f>
        <v>0.0179252467580904</v>
      </c>
      <c r="P20" s="277" t="n">
        <f aca="false">Consolidado!$AM$18</f>
        <v>0.0179252467580904</v>
      </c>
      <c r="Q20" s="277" t="n">
        <f aca="false">Consolidado!$AM$18</f>
        <v>0.0179252467580904</v>
      </c>
      <c r="R20" s="275"/>
      <c r="S20" s="275"/>
      <c r="T20" s="275"/>
      <c r="U20" s="275"/>
      <c r="V20" s="275"/>
      <c r="W20" s="275"/>
      <c r="X20" s="275"/>
      <c r="Y20" s="275"/>
      <c r="Z20" s="275"/>
      <c r="AA20" s="275"/>
      <c r="AB20" s="278" t="s">
        <v>157</v>
      </c>
      <c r="AC20" s="261" t="n">
        <f aca="false">85%</f>
        <v>0.85</v>
      </c>
      <c r="AD20" s="239"/>
      <c r="AE20" s="239"/>
      <c r="AF20" s="239"/>
      <c r="AG20" s="239"/>
      <c r="AH20" s="239"/>
      <c r="AI20" s="239"/>
      <c r="AJ20" s="239"/>
      <c r="AK20" s="239"/>
      <c r="AL20" s="239"/>
      <c r="AM20" s="239"/>
      <c r="AN20" s="239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</row>
    <row r="21" s="236" customFormat="true" ht="43.2" hidden="false" customHeight="true" outlineLevel="0" collapsed="false">
      <c r="A21" s="235"/>
      <c r="B21" s="279"/>
      <c r="C21" s="256"/>
      <c r="D21" s="249"/>
      <c r="E21" s="248"/>
      <c r="F21" s="249"/>
      <c r="G21" s="258"/>
      <c r="H21" s="249"/>
      <c r="I21" s="263"/>
      <c r="J21" s="276"/>
      <c r="K21" s="250"/>
      <c r="L21" s="235"/>
      <c r="M21" s="235"/>
      <c r="N21" s="275"/>
      <c r="O21" s="275"/>
      <c r="P21" s="275"/>
      <c r="Q21" s="275"/>
      <c r="R21" s="275"/>
      <c r="S21" s="275"/>
      <c r="T21" s="275"/>
      <c r="U21" s="275"/>
      <c r="V21" s="275"/>
      <c r="W21" s="275"/>
      <c r="X21" s="275"/>
      <c r="Y21" s="275"/>
      <c r="Z21" s="275"/>
      <c r="AA21" s="275"/>
      <c r="AB21" s="278" t="s">
        <v>158</v>
      </c>
      <c r="AC21" s="261" t="n">
        <f aca="false">100%-AC20</f>
        <v>0.15</v>
      </c>
      <c r="AD21" s="239"/>
      <c r="AE21" s="239"/>
      <c r="AF21" s="239"/>
      <c r="AG21" s="239"/>
      <c r="AH21" s="239"/>
      <c r="AI21" s="239"/>
      <c r="AJ21" s="239"/>
      <c r="AK21" s="239"/>
      <c r="AL21" s="239"/>
      <c r="AM21" s="239"/>
      <c r="AN21" s="239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</row>
    <row r="22" s="236" customFormat="true" ht="43.2" hidden="false" customHeight="true" outlineLevel="0" collapsed="false">
      <c r="A22" s="235"/>
      <c r="B22" s="279"/>
      <c r="C22" s="256"/>
      <c r="D22" s="249"/>
      <c r="E22" s="248"/>
      <c r="F22" s="249"/>
      <c r="G22" s="258"/>
      <c r="H22" s="249"/>
      <c r="I22" s="263"/>
      <c r="J22" s="276"/>
      <c r="K22" s="250"/>
      <c r="L22" s="235"/>
      <c r="M22" s="235"/>
      <c r="N22" s="275"/>
      <c r="O22" s="275"/>
      <c r="P22" s="275"/>
      <c r="Q22" s="275"/>
      <c r="R22" s="275"/>
      <c r="S22" s="275"/>
      <c r="T22" s="275"/>
      <c r="U22" s="275"/>
      <c r="V22" s="275"/>
      <c r="W22" s="275"/>
      <c r="X22" s="275"/>
      <c r="Y22" s="275"/>
      <c r="Z22" s="275"/>
      <c r="AA22" s="275"/>
      <c r="AB22" s="275"/>
      <c r="AC22" s="239"/>
      <c r="AD22" s="239"/>
      <c r="AE22" s="239"/>
      <c r="AF22" s="239"/>
      <c r="AG22" s="239"/>
      <c r="AH22" s="239"/>
      <c r="AI22" s="239"/>
      <c r="AJ22" s="239"/>
      <c r="AK22" s="239"/>
      <c r="AL22" s="239"/>
      <c r="AM22" s="239"/>
      <c r="AN22" s="239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</row>
    <row r="23" s="236" customFormat="true" ht="43.2" hidden="false" customHeight="true" outlineLevel="0" collapsed="false">
      <c r="A23" s="235"/>
      <c r="B23" s="281" t="n">
        <f aca="false">Parametros!C12</f>
        <v>-0.220448090695802</v>
      </c>
      <c r="C23" s="266"/>
      <c r="D23" s="282"/>
      <c r="E23" s="267"/>
      <c r="F23" s="283"/>
      <c r="G23" s="267"/>
      <c r="H23" s="283"/>
      <c r="I23" s="267"/>
      <c r="J23" s="276"/>
      <c r="K23" s="250"/>
      <c r="L23" s="235"/>
      <c r="M23" s="235"/>
      <c r="N23" s="235"/>
      <c r="O23" s="235"/>
      <c r="P23" s="235"/>
      <c r="Q23" s="235"/>
      <c r="R23" s="235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</row>
    <row r="24" s="236" customFormat="true" ht="23.1" hidden="false" customHeight="true" outlineLevel="0" collapsed="false">
      <c r="A24" s="235"/>
      <c r="B24" s="235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35"/>
      <c r="R24" s="235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</row>
    <row r="25" s="236" customFormat="true" ht="18.6" hidden="false" customHeight="false" outlineLevel="0" collapsed="false">
      <c r="A25" s="235"/>
      <c r="B25" s="235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35"/>
      <c r="R25" s="235"/>
      <c r="S25" s="235"/>
      <c r="T25" s="235"/>
      <c r="U25" s="235"/>
      <c r="V25" s="235"/>
      <c r="W25" s="235"/>
      <c r="X25" s="235"/>
      <c r="Y25" s="235"/>
      <c r="Z25" s="235"/>
      <c r="AA25" s="235"/>
      <c r="AB25" s="235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</row>
    <row r="26" s="236" customFormat="true" ht="18.6" hidden="false" customHeight="false" outlineLevel="0" collapsed="false">
      <c r="A26" s="235"/>
      <c r="B26" s="235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35"/>
      <c r="R26" s="235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235"/>
    </row>
    <row r="27" s="236" customFormat="true" ht="18.6" hidden="false" customHeight="false" outlineLevel="0" collapsed="false">
      <c r="A27" s="235"/>
      <c r="B27" s="235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35"/>
      <c r="R27" s="235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5"/>
      <c r="AP27" s="235"/>
      <c r="AQ27" s="235"/>
      <c r="AR27" s="235"/>
      <c r="AS27" s="235"/>
      <c r="AT27" s="235"/>
      <c r="AU27" s="235"/>
      <c r="AV27" s="235"/>
      <c r="AW27" s="235"/>
      <c r="AX27" s="235"/>
      <c r="AY27" s="235"/>
      <c r="AZ27" s="235"/>
    </row>
    <row r="28" s="236" customFormat="true" ht="18.6" hidden="false" customHeight="false" outlineLevel="0" collapsed="false">
      <c r="A28" s="235"/>
      <c r="B28" s="235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35"/>
      <c r="R28" s="235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235"/>
    </row>
    <row r="29" s="236" customFormat="true" ht="18.6" hidden="false" customHeight="false" outlineLevel="0" collapsed="false">
      <c r="A29" s="23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35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</row>
    <row r="30" s="236" customFormat="true" ht="18.6" hidden="false" customHeight="false" outlineLevel="0" collapsed="false">
      <c r="A30" s="23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35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</row>
    <row r="31" s="236" customFormat="true" ht="18.6" hidden="false" customHeight="false" outlineLevel="0" collapsed="false">
      <c r="A31" s="235"/>
      <c r="B31" s="235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</row>
    <row r="32" s="236" customFormat="true" ht="18.6" hidden="false" customHeight="false" outlineLevel="0" collapsed="false">
      <c r="A32" s="235"/>
      <c r="B32" s="235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</row>
    <row r="33" s="236" customFormat="true" ht="18.6" hidden="false" customHeight="false" outlineLevel="0" collapsed="false">
      <c r="A33" s="235"/>
      <c r="B33" s="235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35"/>
      <c r="S33" s="235"/>
      <c r="T33" s="235"/>
      <c r="U33" s="235"/>
      <c r="V33" s="235"/>
      <c r="W33" s="235"/>
      <c r="X33" s="235"/>
      <c r="Y33" s="235"/>
      <c r="Z33" s="235"/>
      <c r="AA33" s="235"/>
      <c r="AB33" s="235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</row>
  </sheetData>
  <mergeCells count="20">
    <mergeCell ref="B2:F4"/>
    <mergeCell ref="H2:I4"/>
    <mergeCell ref="B8:B9"/>
    <mergeCell ref="D8:D9"/>
    <mergeCell ref="F8:F9"/>
    <mergeCell ref="H8:H9"/>
    <mergeCell ref="J8:J9"/>
    <mergeCell ref="B10:B14"/>
    <mergeCell ref="D10:D14"/>
    <mergeCell ref="F10:F14"/>
    <mergeCell ref="H10:H14"/>
    <mergeCell ref="J10:J14"/>
    <mergeCell ref="B17:B18"/>
    <mergeCell ref="D17:D18"/>
    <mergeCell ref="F17:F18"/>
    <mergeCell ref="H17:H18"/>
    <mergeCell ref="B19:B22"/>
    <mergeCell ref="D19:D22"/>
    <mergeCell ref="F19:F22"/>
    <mergeCell ref="H19:H2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A51D445-E051-4130-BC7C-9BD74E62A5BA}">
            <x14:iconSet iconSet="3TrafficLights1" custom="1" reverse="0" showValue="0">
              <x14:cfvo type="percent">
                <xm:f>0</xm:f>
              </x14:cfvo>
              <x14:cfvo type="num">
                <xm:f>-0.0001</xm:f>
              </x14:cfvo>
              <x14:cfvo type="num">
                <xm:f>0.0001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B23</xm:sqref>
        </x14:conditionalFormatting>
        <x14:conditionalFormatting xmlns:xm="http://schemas.microsoft.com/office/excel/2006/main">
          <x14:cfRule type="iconSet" priority="3" id="{A38ADD23-781F-4EE2-BD7D-AEA3CC8043F0}">
            <x14:iconSet iconSet="3TrafficLights1" custom="1" reverse="0" showValue="0">
              <x14:cfvo type="percent">
                <xm:f>0</xm:f>
              </x14:cfvo>
              <x14:cfvo type="num">
                <xm:f>-0.0001</xm:f>
              </x14:cfvo>
              <x14:cfvo type="num">
                <xm:f>0.0001</xm:f>
              </x14:cfvo>
              <x14:cfIcon iconSet="3TrafficLights1" iconId="2"/>
              <x14:cfIcon iconSet="3TrafficLights1" iconId="2"/>
              <x14:cfIcon iconSet="3TrafficLights1" iconId="0"/>
            </x14:iconSet>
          </x14:cfRule>
          <xm:sqref>D23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4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O22" activeCellId="0" sqref="O22"/>
    </sheetView>
  </sheetViews>
  <sheetFormatPr defaultColWidth="8.6796875" defaultRowHeight="18.6" zeroHeight="false" outlineLevelRow="0" outlineLevelCol="0"/>
  <cols>
    <col collapsed="false" customWidth="true" hidden="false" outlineLevel="0" max="1" min="1" style="233" width="5.66"/>
    <col collapsed="false" customWidth="true" hidden="false" outlineLevel="0" max="2" min="2" style="233" width="42"/>
    <col collapsed="false" customWidth="true" hidden="false" outlineLevel="0" max="3" min="3" style="233" width="4.66"/>
    <col collapsed="false" customWidth="true" hidden="false" outlineLevel="0" max="4" min="4" style="233" width="42"/>
    <col collapsed="false" customWidth="true" hidden="false" outlineLevel="0" max="5" min="5" style="233" width="4.66"/>
    <col collapsed="false" customWidth="true" hidden="false" outlineLevel="0" max="6" min="6" style="233" width="46.1"/>
    <col collapsed="false" customWidth="true" hidden="false" outlineLevel="0" max="7" min="7" style="233" width="4.66"/>
    <col collapsed="false" customWidth="true" hidden="false" outlineLevel="0" max="8" min="8" style="233" width="54.78"/>
    <col collapsed="false" customWidth="true" hidden="false" outlineLevel="0" max="9" min="9" style="233" width="4.66"/>
    <col collapsed="false" customWidth="true" hidden="false" outlineLevel="0" max="10" min="10" style="233" width="54.78"/>
    <col collapsed="false" customWidth="true" hidden="false" outlineLevel="0" max="11" min="11" style="233" width="5.66"/>
    <col collapsed="false" customWidth="true" hidden="false" outlineLevel="0" max="12" min="12" style="233" width="2.33"/>
    <col collapsed="false" customWidth="true" hidden="false" outlineLevel="0" max="13" min="13" style="233" width="1"/>
    <col collapsed="false" customWidth="true" hidden="false" outlineLevel="0" max="14" min="14" style="233" width="21.56"/>
    <col collapsed="false" customWidth="true" hidden="false" outlineLevel="0" max="17" min="15" style="233" width="21.33"/>
    <col collapsed="false" customWidth="false" hidden="false" outlineLevel="0" max="27" min="18" style="233" width="8.67"/>
    <col collapsed="false" customWidth="true" hidden="false" outlineLevel="0" max="28" min="28" style="233" width="20.98"/>
    <col collapsed="false" customWidth="true" hidden="false" outlineLevel="0" max="40" min="29" style="234" width="14.35"/>
    <col collapsed="false" customWidth="false" hidden="false" outlineLevel="0" max="1024" min="41" style="233" width="8.67"/>
  </cols>
  <sheetData>
    <row r="1" s="236" customFormat="true" ht="7.2" hidden="false" customHeight="true" outlineLevel="0" collapsed="false">
      <c r="A1" s="235"/>
      <c r="B1" s="235"/>
      <c r="C1" s="235"/>
      <c r="D1" s="235"/>
      <c r="E1" s="235"/>
      <c r="F1" s="235"/>
      <c r="G1" s="235"/>
      <c r="H1" s="269" t="e">
        <f aca="false">H2-1</f>
        <v>#VALUE!</v>
      </c>
      <c r="I1" s="270"/>
      <c r="J1" s="235"/>
      <c r="K1" s="235"/>
      <c r="L1" s="235"/>
      <c r="M1" s="235"/>
      <c r="N1" s="284" t="n">
        <f aca="false">IF(H2="Março",1,IF(H2="junho",2,IF(H2="setembro",3,4)))</f>
        <v>4</v>
      </c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35"/>
      <c r="AF1" s="235"/>
      <c r="AG1" s="235"/>
      <c r="AH1" s="235"/>
      <c r="AI1" s="235"/>
      <c r="AJ1" s="235"/>
      <c r="AK1" s="235"/>
      <c r="AL1" s="235"/>
      <c r="AM1" s="235"/>
      <c r="AN1" s="235"/>
      <c r="AO1" s="235"/>
      <c r="AP1" s="235"/>
      <c r="AQ1" s="235"/>
      <c r="AR1" s="235"/>
      <c r="AS1" s="235"/>
      <c r="AT1" s="235"/>
      <c r="AU1" s="235"/>
      <c r="AV1" s="235"/>
      <c r="AW1" s="235"/>
      <c r="AX1" s="235"/>
      <c r="AY1" s="235"/>
      <c r="AZ1" s="235"/>
    </row>
    <row r="2" s="236" customFormat="true" ht="10.5" hidden="false" customHeight="true" outlineLevel="0" collapsed="false">
      <c r="A2" s="235"/>
      <c r="B2" s="237" t="s">
        <v>161</v>
      </c>
      <c r="C2" s="237"/>
      <c r="D2" s="237"/>
      <c r="E2" s="285" t="s">
        <v>162</v>
      </c>
      <c r="F2" s="285"/>
      <c r="G2" s="238"/>
      <c r="H2" s="285" t="s">
        <v>163</v>
      </c>
      <c r="I2" s="285"/>
      <c r="J2" s="238"/>
      <c r="K2" s="238"/>
      <c r="L2" s="235"/>
      <c r="M2" s="235"/>
      <c r="N2" s="284"/>
      <c r="O2" s="235"/>
      <c r="P2" s="235"/>
      <c r="Q2" s="235"/>
      <c r="R2" s="235"/>
      <c r="S2" s="235"/>
      <c r="T2" s="235"/>
      <c r="U2" s="235"/>
      <c r="V2" s="235"/>
      <c r="W2" s="235"/>
      <c r="X2" s="235"/>
      <c r="Y2" s="235"/>
      <c r="Z2" s="235"/>
      <c r="AA2" s="235"/>
      <c r="AB2" s="235"/>
      <c r="AC2" s="235"/>
      <c r="AD2" s="235"/>
      <c r="AE2" s="235"/>
      <c r="AF2" s="235"/>
      <c r="AG2" s="235"/>
      <c r="AH2" s="235"/>
      <c r="AI2" s="235"/>
      <c r="AJ2" s="235"/>
      <c r="AK2" s="235"/>
      <c r="AL2" s="235"/>
      <c r="AM2" s="235"/>
      <c r="AN2" s="235"/>
      <c r="AO2" s="235"/>
      <c r="AP2" s="235"/>
      <c r="AQ2" s="235"/>
      <c r="AR2" s="235"/>
      <c r="AS2" s="235"/>
      <c r="AT2" s="238"/>
      <c r="AU2" s="238"/>
      <c r="AV2" s="238"/>
      <c r="AW2" s="238"/>
      <c r="AX2" s="238"/>
      <c r="AY2" s="238"/>
      <c r="AZ2" s="238"/>
    </row>
    <row r="3" s="236" customFormat="true" ht="10.5" hidden="false" customHeight="true" outlineLevel="0" collapsed="false">
      <c r="A3" s="235"/>
      <c r="B3" s="237"/>
      <c r="C3" s="237"/>
      <c r="D3" s="237"/>
      <c r="E3" s="285"/>
      <c r="F3" s="285"/>
      <c r="G3" s="238"/>
      <c r="H3" s="285"/>
      <c r="I3" s="285"/>
      <c r="J3" s="238"/>
      <c r="K3" s="238"/>
      <c r="L3" s="235"/>
      <c r="M3" s="235"/>
      <c r="N3" s="284"/>
      <c r="O3" s="235"/>
      <c r="P3" s="235"/>
      <c r="Q3" s="235"/>
      <c r="R3" s="235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8"/>
      <c r="AU3" s="238"/>
      <c r="AV3" s="238"/>
      <c r="AW3" s="238"/>
      <c r="AX3" s="238"/>
      <c r="AY3" s="238"/>
      <c r="AZ3" s="238"/>
    </row>
    <row r="4" s="236" customFormat="true" ht="10.5" hidden="false" customHeight="true" outlineLevel="0" collapsed="false">
      <c r="A4" s="235"/>
      <c r="B4" s="237"/>
      <c r="C4" s="237"/>
      <c r="D4" s="237"/>
      <c r="E4" s="285"/>
      <c r="F4" s="285"/>
      <c r="G4" s="238"/>
      <c r="H4" s="285"/>
      <c r="I4" s="285"/>
      <c r="J4" s="238"/>
      <c r="K4" s="238"/>
      <c r="L4" s="235"/>
      <c r="M4" s="235"/>
      <c r="N4" s="275"/>
      <c r="O4" s="275"/>
      <c r="P4" s="27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8"/>
      <c r="AU4" s="238"/>
      <c r="AV4" s="238"/>
      <c r="AW4" s="238"/>
      <c r="AX4" s="238"/>
      <c r="AY4" s="238"/>
      <c r="AZ4" s="238"/>
    </row>
    <row r="5" s="236" customFormat="true" ht="7.2" hidden="false" customHeight="true" outlineLevel="0" collapsed="false">
      <c r="A5" s="235"/>
      <c r="B5" s="235"/>
      <c r="C5" s="235"/>
      <c r="D5" s="286"/>
      <c r="E5" s="235"/>
      <c r="F5" s="286"/>
      <c r="G5" s="235"/>
      <c r="H5" s="286"/>
      <c r="I5" s="235"/>
      <c r="J5" s="235"/>
      <c r="K5" s="235"/>
      <c r="L5" s="235"/>
      <c r="M5" s="235"/>
      <c r="N5" s="275"/>
      <c r="O5" s="275"/>
      <c r="P5" s="275"/>
      <c r="Q5" s="287"/>
      <c r="R5" s="235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</row>
    <row r="6" s="236" customFormat="true" ht="7.2" hidden="false" customHeight="true" outlineLevel="0" collapsed="false">
      <c r="A6" s="235"/>
      <c r="B6" s="235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75"/>
      <c r="O6" s="275"/>
      <c r="P6" s="275"/>
      <c r="Q6" s="287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</row>
    <row r="7" s="236" customFormat="true" ht="23.1" hidden="false" customHeight="true" outlineLevel="0" collapsed="false">
      <c r="A7" s="235"/>
      <c r="B7" s="235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75" t="n">
        <f aca="false">'Dashboard Custos'!H2-1</f>
        <v>2022</v>
      </c>
      <c r="O7" s="275" t="n">
        <f aca="false">N7+1</f>
        <v>2023</v>
      </c>
      <c r="P7" s="275"/>
      <c r="Q7" s="287"/>
      <c r="R7" s="235"/>
      <c r="S7" s="235"/>
      <c r="T7" s="235"/>
      <c r="U7" s="235"/>
      <c r="V7" s="235"/>
      <c r="W7" s="235"/>
      <c r="X7" s="235"/>
      <c r="Y7" s="235"/>
      <c r="Z7" s="235"/>
      <c r="AA7" s="235"/>
      <c r="AB7" s="235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</row>
    <row r="8" s="236" customFormat="true" ht="32.1" hidden="false" customHeight="true" outlineLevel="0" collapsed="false">
      <c r="A8" s="235"/>
      <c r="B8" s="272" t="str">
        <f aca="false">IF(B10&gt;=0,"Lucro Operacional","Prejuízo Operacional")</f>
        <v>Lucro Operacional</v>
      </c>
      <c r="C8" s="241"/>
      <c r="D8" s="272" t="str">
        <f aca="false">"Vendas Totais          "&amp;MID(N7,3,4)&amp;"X"&amp;MID(O7,3,4)</f>
        <v>Vendas Totais          22X23</v>
      </c>
      <c r="E8" s="243"/>
      <c r="F8" s="288" t="s">
        <v>164</v>
      </c>
      <c r="G8" s="243"/>
      <c r="H8" s="288" t="str">
        <f aca="false">"Saldo Final "&amp;$H$2 &amp;MID(N7,3,4)</f>
        <v>Saldo Final janeiro 22</v>
      </c>
      <c r="I8" s="243"/>
      <c r="J8" s="288" t="str">
        <f aca="false">"Saldo Final "&amp;$H$2 &amp;MID(O7,3,4)</f>
        <v>Saldo Final janeiro 23</v>
      </c>
      <c r="K8" s="244"/>
      <c r="L8" s="235"/>
      <c r="M8" s="235"/>
      <c r="N8" s="275"/>
      <c r="O8" s="275"/>
      <c r="P8" s="275"/>
      <c r="Q8" s="287"/>
      <c r="R8" s="235"/>
      <c r="S8" s="235"/>
      <c r="T8" s="289" t="s">
        <v>163</v>
      </c>
      <c r="U8" s="289"/>
      <c r="V8" s="235"/>
      <c r="W8" s="235"/>
      <c r="X8" s="235"/>
      <c r="Y8" s="235"/>
      <c r="Z8" s="235"/>
      <c r="AA8" s="235"/>
      <c r="AB8" s="235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</row>
    <row r="9" s="236" customFormat="true" ht="32.1" hidden="false" customHeight="true" outlineLevel="0" collapsed="false">
      <c r="A9" s="235"/>
      <c r="B9" s="272"/>
      <c r="C9" s="241"/>
      <c r="D9" s="272"/>
      <c r="E9" s="243"/>
      <c r="F9" s="288"/>
      <c r="G9" s="243"/>
      <c r="H9" s="288"/>
      <c r="I9" s="243"/>
      <c r="J9" s="288"/>
      <c r="K9" s="244"/>
      <c r="L9" s="235"/>
      <c r="M9" s="235"/>
      <c r="N9" s="275"/>
      <c r="O9" s="275"/>
      <c r="P9" s="275"/>
      <c r="Q9" s="287"/>
      <c r="R9" s="235"/>
      <c r="S9" s="235"/>
      <c r="T9" s="289" t="s">
        <v>165</v>
      </c>
      <c r="U9" s="289"/>
      <c r="V9" s="235"/>
      <c r="W9" s="235"/>
      <c r="X9" s="235"/>
      <c r="Y9" s="235"/>
      <c r="Z9" s="235"/>
      <c r="AA9" s="235"/>
      <c r="AB9" s="235"/>
      <c r="AC9" s="239"/>
      <c r="AD9" s="239"/>
      <c r="AE9" s="239"/>
      <c r="AF9" s="239"/>
      <c r="AG9" s="239"/>
      <c r="AH9" s="239"/>
      <c r="AI9" s="239"/>
      <c r="AJ9" s="239"/>
      <c r="AK9" s="239"/>
      <c r="AL9" s="239"/>
      <c r="AM9" s="239"/>
      <c r="AN9" s="239"/>
      <c r="AO9" s="235"/>
      <c r="AP9" s="235"/>
      <c r="AQ9" s="235"/>
      <c r="AR9" s="235"/>
      <c r="AS9" s="235"/>
      <c r="AT9" s="235"/>
      <c r="AU9" s="235"/>
      <c r="AV9" s="235"/>
      <c r="AW9" s="235"/>
      <c r="AX9" s="235"/>
      <c r="AY9" s="235"/>
      <c r="AZ9" s="235"/>
    </row>
    <row r="10" s="236" customFormat="true" ht="14.7" hidden="false" customHeight="true" outlineLevel="0" collapsed="false">
      <c r="A10" s="235"/>
      <c r="B10" s="279" t="n">
        <f aca="false">Consolidado!D22</f>
        <v>0.160776524477142</v>
      </c>
      <c r="C10" s="246"/>
      <c r="D10" s="279" t="n">
        <f aca="false">'Vendas 12 M.'!O15</f>
        <v>1.40512598786326</v>
      </c>
      <c r="E10" s="248"/>
      <c r="F10" s="290" t="n">
        <f aca="false">J10/Q11</f>
        <v>0.295006233771831</v>
      </c>
      <c r="G10" s="248"/>
      <c r="H10" s="291" t="n">
        <v>6230.18</v>
      </c>
      <c r="I10" s="248"/>
      <c r="J10" s="291" t="n">
        <f aca="false">Consolidado!C33</f>
        <v>22541.15</v>
      </c>
      <c r="K10" s="250"/>
      <c r="L10" s="235"/>
      <c r="M10" s="235"/>
      <c r="N10" s="287"/>
      <c r="O10" s="287"/>
      <c r="P10" s="287"/>
      <c r="Q10" s="287"/>
      <c r="R10" s="235"/>
      <c r="S10" s="235"/>
      <c r="T10" s="289" t="s">
        <v>166</v>
      </c>
      <c r="U10" s="289"/>
      <c r="V10" s="235"/>
      <c r="W10" s="235"/>
      <c r="X10" s="235"/>
      <c r="Y10" s="235"/>
      <c r="Z10" s="235"/>
      <c r="AA10" s="235"/>
      <c r="AB10" s="235"/>
      <c r="AC10" s="292" t="n">
        <f aca="false">'Vendas 12 M.'!C4</f>
        <v>44593</v>
      </c>
      <c r="AD10" s="292" t="n">
        <f aca="false">'Vendas 12 M.'!D4</f>
        <v>44621</v>
      </c>
      <c r="AE10" s="292" t="n">
        <f aca="false">'Vendas 12 M.'!E4</f>
        <v>44652</v>
      </c>
      <c r="AF10" s="292" t="n">
        <f aca="false">'Vendas 12 M.'!F4</f>
        <v>44682</v>
      </c>
      <c r="AG10" s="292" t="n">
        <f aca="false">'Vendas 12 M.'!G4</f>
        <v>44713</v>
      </c>
      <c r="AH10" s="292" t="n">
        <f aca="false">'Vendas 12 M.'!H4</f>
        <v>44743</v>
      </c>
      <c r="AI10" s="292" t="n">
        <f aca="false">'Vendas 12 M.'!I4</f>
        <v>44774</v>
      </c>
      <c r="AJ10" s="292" t="n">
        <f aca="false">'Vendas 12 M.'!J4</f>
        <v>44805</v>
      </c>
      <c r="AK10" s="292" t="n">
        <f aca="false">'Vendas 12 M.'!K4</f>
        <v>44835</v>
      </c>
      <c r="AL10" s="292" t="n">
        <f aca="false">'Vendas 12 M.'!L4</f>
        <v>44866</v>
      </c>
      <c r="AM10" s="292" t="n">
        <f aca="false">'Vendas 12 M.'!M4</f>
        <v>44896</v>
      </c>
      <c r="AN10" s="292" t="n">
        <f aca="false">'Vendas 12 M.'!N4</f>
        <v>44927</v>
      </c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</row>
    <row r="11" s="236" customFormat="true" ht="34.2" hidden="false" customHeight="true" outlineLevel="0" collapsed="false">
      <c r="A11" s="235"/>
      <c r="B11" s="279"/>
      <c r="C11" s="246"/>
      <c r="D11" s="279"/>
      <c r="E11" s="248"/>
      <c r="F11" s="290"/>
      <c r="G11" s="248"/>
      <c r="H11" s="291"/>
      <c r="I11" s="248"/>
      <c r="J11" s="291"/>
      <c r="K11" s="250"/>
      <c r="L11" s="235"/>
      <c r="M11" s="235"/>
      <c r="N11" s="287"/>
      <c r="O11" s="287"/>
      <c r="P11" s="293" t="s">
        <v>167</v>
      </c>
      <c r="Q11" s="294" t="n">
        <f aca="false">'Vendas 12 M.'!N9</f>
        <v>76409.0633333333</v>
      </c>
      <c r="R11" s="235"/>
      <c r="S11" s="235"/>
      <c r="T11" s="289" t="s">
        <v>168</v>
      </c>
      <c r="U11" s="289" t="s">
        <v>162</v>
      </c>
      <c r="V11" s="235"/>
      <c r="W11" s="235"/>
      <c r="X11" s="235"/>
      <c r="Y11" s="235"/>
      <c r="Z11" s="235"/>
      <c r="AA11" s="235"/>
      <c r="AB11" s="251" t="s">
        <v>152</v>
      </c>
      <c r="AC11" s="252" t="n">
        <f aca="false">'Vendas 12 M.'!C5</f>
        <v>44287.76</v>
      </c>
      <c r="AD11" s="252" t="n">
        <f aca="false">'Vendas 12 M.'!D5</f>
        <v>58341.99</v>
      </c>
      <c r="AE11" s="252" t="n">
        <f aca="false">'Vendas 12 M.'!E5</f>
        <v>60662.3</v>
      </c>
      <c r="AF11" s="252" t="n">
        <f aca="false">'Vendas 12 M.'!F5</f>
        <v>73659.92</v>
      </c>
      <c r="AG11" s="252" t="n">
        <f aca="false">'Vendas 12 M.'!G5</f>
        <v>65724.08</v>
      </c>
      <c r="AH11" s="252" t="n">
        <f aca="false">'Vendas 12 M.'!H5</f>
        <v>86526.98</v>
      </c>
      <c r="AI11" s="252" t="n">
        <f aca="false">'Vendas 12 M.'!I5</f>
        <v>94314.39</v>
      </c>
      <c r="AJ11" s="252" t="n">
        <f aca="false">'Vendas 12 M.'!J5</f>
        <v>84215.3</v>
      </c>
      <c r="AK11" s="252" t="n">
        <f aca="false">'Vendas 12 M.'!K5</f>
        <v>82831.23</v>
      </c>
      <c r="AL11" s="252" t="n">
        <f aca="false">'Vendas 12 M.'!L5</f>
        <v>91562.04</v>
      </c>
      <c r="AM11" s="252" t="n">
        <f aca="false">'Vendas 12 M.'!M5</f>
        <v>83220.73</v>
      </c>
      <c r="AN11" s="252" t="n">
        <f aca="false">'Vendas 12 M.'!N5</f>
        <v>91562.04</v>
      </c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</row>
    <row r="12" s="236" customFormat="true" ht="34.2" hidden="false" customHeight="true" outlineLevel="0" collapsed="false">
      <c r="A12" s="235"/>
      <c r="B12" s="279"/>
      <c r="C12" s="246"/>
      <c r="D12" s="279"/>
      <c r="E12" s="248"/>
      <c r="F12" s="290"/>
      <c r="G12" s="248"/>
      <c r="H12" s="291"/>
      <c r="I12" s="248"/>
      <c r="J12" s="291"/>
      <c r="K12" s="250"/>
      <c r="L12" s="235"/>
      <c r="M12" s="235"/>
      <c r="N12" s="287"/>
      <c r="O12" s="287"/>
      <c r="P12" s="287"/>
      <c r="Q12" s="287"/>
      <c r="R12" s="235"/>
      <c r="S12" s="235"/>
      <c r="T12" s="289" t="s">
        <v>169</v>
      </c>
      <c r="U12" s="289" t="s">
        <v>170</v>
      </c>
      <c r="V12" s="235"/>
      <c r="W12" s="235"/>
      <c r="X12" s="235"/>
      <c r="Y12" s="235"/>
      <c r="Z12" s="235"/>
      <c r="AA12" s="235"/>
      <c r="AB12" s="251" t="s">
        <v>153</v>
      </c>
      <c r="AC12" s="252"/>
      <c r="AD12" s="252"/>
      <c r="AE12" s="252"/>
      <c r="AF12" s="252"/>
      <c r="AG12" s="252"/>
      <c r="AH12" s="252"/>
      <c r="AI12" s="252"/>
      <c r="AJ12" s="239"/>
      <c r="AK12" s="239"/>
      <c r="AL12" s="239"/>
      <c r="AM12" s="239"/>
      <c r="AN12" s="239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</row>
    <row r="13" s="236" customFormat="true" ht="34.2" hidden="false" customHeight="true" outlineLevel="0" collapsed="false">
      <c r="A13" s="235"/>
      <c r="B13" s="279"/>
      <c r="C13" s="246"/>
      <c r="D13" s="279"/>
      <c r="E13" s="248"/>
      <c r="F13" s="290"/>
      <c r="G13" s="248"/>
      <c r="H13" s="291"/>
      <c r="I13" s="248"/>
      <c r="J13" s="291"/>
      <c r="K13" s="250"/>
      <c r="L13" s="235"/>
      <c r="M13" s="235"/>
      <c r="N13" s="235"/>
      <c r="O13" s="235"/>
      <c r="P13" s="235"/>
      <c r="Q13" s="235"/>
      <c r="R13" s="235"/>
      <c r="S13" s="235"/>
      <c r="T13" s="289" t="s">
        <v>171</v>
      </c>
      <c r="U13" s="289" t="s">
        <v>172</v>
      </c>
      <c r="V13" s="235"/>
      <c r="W13" s="235"/>
      <c r="X13" s="235"/>
      <c r="Y13" s="235"/>
      <c r="Z13" s="235"/>
      <c r="AA13" s="235"/>
      <c r="AB13" s="251" t="s">
        <v>153</v>
      </c>
      <c r="AC13" s="239"/>
      <c r="AD13" s="239"/>
      <c r="AE13" s="239"/>
      <c r="AF13" s="239"/>
      <c r="AG13" s="239"/>
      <c r="AH13" s="239"/>
      <c r="AI13" s="239"/>
      <c r="AJ13" s="239"/>
      <c r="AK13" s="239"/>
      <c r="AL13" s="239"/>
      <c r="AM13" s="239"/>
      <c r="AN13" s="239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</row>
    <row r="14" s="236" customFormat="true" ht="34.2" hidden="false" customHeight="true" outlineLevel="0" collapsed="false">
      <c r="A14" s="235"/>
      <c r="B14" s="295" t="str">
        <f aca="false">'Dashboard Financeiro'!B23</f>
        <v>Excelente</v>
      </c>
      <c r="C14" s="246"/>
      <c r="D14" s="295" t="str">
        <f aca="false">IF($D$10&lt;5%,"Péssimo",IF($D$10&lt;10%,"Ruim",IF($D$10&lt;15%,"Bom",IF($D$10&lt;20%,"Excelente",IF($D$10&gt;=20%,"Sensacional")))))</f>
        <v>Sensacional</v>
      </c>
      <c r="E14" s="248"/>
      <c r="F14" s="295"/>
      <c r="G14" s="248"/>
      <c r="H14" s="296"/>
      <c r="I14" s="248"/>
      <c r="J14" s="296"/>
      <c r="K14" s="250"/>
      <c r="L14" s="235"/>
      <c r="M14" s="235"/>
      <c r="N14" s="235"/>
      <c r="O14" s="235"/>
      <c r="P14" s="235"/>
      <c r="Q14" s="235"/>
      <c r="R14" s="235"/>
      <c r="S14" s="235"/>
      <c r="T14" s="289" t="s">
        <v>173</v>
      </c>
      <c r="U14" s="289" t="s">
        <v>174</v>
      </c>
      <c r="V14" s="235"/>
      <c r="W14" s="235"/>
      <c r="X14" s="235"/>
      <c r="Y14" s="235"/>
      <c r="Z14" s="235"/>
      <c r="AA14" s="235"/>
      <c r="AB14" s="251" t="s">
        <v>153</v>
      </c>
      <c r="AC14" s="239"/>
      <c r="AD14" s="239"/>
      <c r="AE14" s="239"/>
      <c r="AF14" s="239"/>
      <c r="AG14" s="239"/>
      <c r="AH14" s="239"/>
      <c r="AI14" s="239"/>
      <c r="AJ14" s="239"/>
      <c r="AK14" s="239"/>
      <c r="AL14" s="239"/>
      <c r="AM14" s="239"/>
      <c r="AN14" s="239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</row>
    <row r="15" s="236" customFormat="true" ht="23.1" hidden="false" customHeight="true" outlineLevel="0" collapsed="false">
      <c r="A15" s="235"/>
      <c r="B15" s="235"/>
      <c r="C15" s="235"/>
      <c r="D15" s="253"/>
      <c r="E15" s="254"/>
      <c r="F15" s="254"/>
      <c r="G15" s="254"/>
      <c r="H15" s="254"/>
      <c r="I15" s="254"/>
      <c r="J15" s="254"/>
      <c r="K15" s="235"/>
      <c r="L15" s="235"/>
      <c r="M15" s="235"/>
      <c r="N15" s="235"/>
      <c r="O15" s="235"/>
      <c r="P15" s="268"/>
      <c r="Q15" s="235"/>
      <c r="R15" s="235"/>
      <c r="S15" s="235"/>
      <c r="T15" s="289" t="s">
        <v>175</v>
      </c>
      <c r="U15" s="289"/>
      <c r="V15" s="235"/>
      <c r="W15" s="235"/>
      <c r="X15" s="235"/>
      <c r="Y15" s="235"/>
      <c r="Z15" s="235"/>
      <c r="AA15" s="235"/>
      <c r="AB15" s="235"/>
      <c r="AC15" s="239"/>
      <c r="AD15" s="239"/>
      <c r="AE15" s="239"/>
      <c r="AF15" s="239"/>
      <c r="AG15" s="239"/>
      <c r="AH15" s="239"/>
      <c r="AI15" s="239"/>
      <c r="AJ15" s="239"/>
      <c r="AK15" s="239"/>
      <c r="AL15" s="239"/>
      <c r="AM15" s="239"/>
      <c r="AN15" s="239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</row>
    <row r="16" s="236" customFormat="true" ht="53.4" hidden="false" customHeight="true" outlineLevel="0" collapsed="false">
      <c r="A16" s="235"/>
      <c r="B16" s="297" t="s">
        <v>176</v>
      </c>
      <c r="C16" s="297"/>
      <c r="D16" s="297"/>
      <c r="E16" s="297"/>
      <c r="F16" s="297"/>
      <c r="G16" s="297"/>
      <c r="H16" s="297"/>
      <c r="I16" s="297"/>
      <c r="J16" s="297"/>
      <c r="K16" s="235"/>
      <c r="L16" s="235"/>
      <c r="M16" s="235"/>
      <c r="N16" s="275"/>
      <c r="O16" s="298"/>
      <c r="P16" s="275"/>
      <c r="Q16" s="275"/>
      <c r="R16" s="275"/>
      <c r="S16" s="275"/>
      <c r="T16" s="289" t="s">
        <v>177</v>
      </c>
      <c r="U16" s="289"/>
      <c r="V16" s="275"/>
      <c r="W16" s="275"/>
      <c r="X16" s="275"/>
      <c r="Y16" s="275"/>
      <c r="Z16" s="275"/>
      <c r="AA16" s="275"/>
      <c r="AB16" s="275"/>
      <c r="AC16" s="239"/>
      <c r="AD16" s="239"/>
      <c r="AE16" s="239"/>
      <c r="AF16" s="239"/>
      <c r="AG16" s="239"/>
      <c r="AH16" s="239"/>
      <c r="AI16" s="239"/>
      <c r="AJ16" s="239"/>
      <c r="AK16" s="239"/>
      <c r="AL16" s="239"/>
      <c r="AM16" s="239"/>
      <c r="AN16" s="239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</row>
    <row r="17" s="305" customFormat="true" ht="29.1" hidden="false" customHeight="true" outlineLevel="0" collapsed="false">
      <c r="A17" s="299"/>
      <c r="B17" s="300"/>
      <c r="C17" s="300"/>
      <c r="D17" s="300"/>
      <c r="E17" s="300"/>
      <c r="F17" s="300"/>
      <c r="G17" s="300"/>
      <c r="H17" s="300"/>
      <c r="I17" s="300"/>
      <c r="J17" s="300"/>
      <c r="K17" s="299"/>
      <c r="L17" s="299"/>
      <c r="M17" s="299"/>
      <c r="N17" s="301"/>
      <c r="O17" s="302"/>
      <c r="P17" s="302"/>
      <c r="Q17" s="302"/>
      <c r="R17" s="302"/>
      <c r="S17" s="302"/>
      <c r="T17" s="303" t="s">
        <v>178</v>
      </c>
      <c r="U17" s="303"/>
      <c r="V17" s="302"/>
      <c r="W17" s="302"/>
      <c r="X17" s="302"/>
      <c r="Y17" s="302"/>
      <c r="Z17" s="302"/>
      <c r="AA17" s="302"/>
      <c r="AB17" s="302" t="s">
        <v>153</v>
      </c>
      <c r="AC17" s="304"/>
      <c r="AD17" s="304"/>
      <c r="AE17" s="304"/>
      <c r="AF17" s="304"/>
      <c r="AG17" s="304"/>
      <c r="AH17" s="304"/>
      <c r="AI17" s="304"/>
      <c r="AJ17" s="304"/>
      <c r="AK17" s="304"/>
      <c r="AL17" s="304"/>
      <c r="AM17" s="304"/>
      <c r="AN17" s="304"/>
      <c r="AO17" s="299"/>
      <c r="AP17" s="299"/>
      <c r="AQ17" s="299"/>
      <c r="AR17" s="299"/>
      <c r="AS17" s="299"/>
      <c r="AT17" s="299"/>
      <c r="AU17" s="299"/>
      <c r="AV17" s="299"/>
      <c r="AW17" s="299"/>
      <c r="AX17" s="299"/>
      <c r="AY17" s="299"/>
      <c r="AZ17" s="299"/>
    </row>
    <row r="18" s="305" customFormat="true" ht="29.1" hidden="false" customHeight="true" outlineLevel="0" collapsed="false">
      <c r="A18" s="299"/>
      <c r="B18" s="300"/>
      <c r="C18" s="300"/>
      <c r="D18" s="300"/>
      <c r="E18" s="300"/>
      <c r="F18" s="300"/>
      <c r="G18" s="300"/>
      <c r="H18" s="300"/>
      <c r="I18" s="300"/>
      <c r="J18" s="300"/>
      <c r="K18" s="299"/>
      <c r="L18" s="299"/>
      <c r="M18" s="299"/>
      <c r="N18" s="301" t="s">
        <v>160</v>
      </c>
      <c r="O18" s="302" t="s">
        <v>139</v>
      </c>
      <c r="P18" s="302"/>
      <c r="Q18" s="302"/>
      <c r="R18" s="302"/>
      <c r="S18" s="302"/>
      <c r="T18" s="303" t="s">
        <v>179</v>
      </c>
      <c r="U18" s="303"/>
      <c r="V18" s="302"/>
      <c r="W18" s="302"/>
      <c r="X18" s="302"/>
      <c r="Y18" s="302"/>
      <c r="Z18" s="302"/>
      <c r="AA18" s="302"/>
      <c r="AB18" s="302" t="s">
        <v>153</v>
      </c>
      <c r="AC18" s="304"/>
      <c r="AD18" s="304"/>
      <c r="AE18" s="304"/>
      <c r="AF18" s="304"/>
      <c r="AG18" s="304"/>
      <c r="AH18" s="304"/>
      <c r="AI18" s="304"/>
      <c r="AJ18" s="304"/>
      <c r="AK18" s="304"/>
      <c r="AL18" s="304"/>
      <c r="AM18" s="304"/>
      <c r="AN18" s="304"/>
      <c r="AO18" s="299"/>
      <c r="AP18" s="299"/>
      <c r="AQ18" s="299"/>
      <c r="AR18" s="299"/>
      <c r="AS18" s="299"/>
      <c r="AT18" s="299"/>
      <c r="AU18" s="299"/>
      <c r="AV18" s="299"/>
      <c r="AW18" s="299"/>
      <c r="AX18" s="299"/>
      <c r="AY18" s="299"/>
      <c r="AZ18" s="299"/>
    </row>
    <row r="19" s="305" customFormat="true" ht="29.1" hidden="false" customHeight="true" outlineLevel="0" collapsed="false">
      <c r="A19" s="299"/>
      <c r="B19" s="300"/>
      <c r="C19" s="300"/>
      <c r="D19" s="300"/>
      <c r="E19" s="300"/>
      <c r="F19" s="300"/>
      <c r="G19" s="300"/>
      <c r="H19" s="300"/>
      <c r="I19" s="300"/>
      <c r="J19" s="300"/>
      <c r="K19" s="299"/>
      <c r="L19" s="299"/>
      <c r="M19" s="299"/>
      <c r="N19" s="301"/>
      <c r="O19" s="302"/>
      <c r="P19" s="302"/>
      <c r="Q19" s="302"/>
      <c r="R19" s="302"/>
      <c r="S19" s="302"/>
      <c r="T19" s="303"/>
      <c r="U19" s="303"/>
      <c r="V19" s="302"/>
      <c r="W19" s="302"/>
      <c r="X19" s="302"/>
      <c r="Y19" s="302"/>
      <c r="Z19" s="302"/>
      <c r="AA19" s="302"/>
      <c r="AB19" s="302"/>
      <c r="AC19" s="304"/>
      <c r="AD19" s="304"/>
      <c r="AE19" s="304"/>
      <c r="AF19" s="304"/>
      <c r="AG19" s="304"/>
      <c r="AH19" s="304"/>
      <c r="AI19" s="304"/>
      <c r="AJ19" s="304"/>
      <c r="AK19" s="304"/>
      <c r="AL19" s="304"/>
      <c r="AM19" s="304"/>
      <c r="AN19" s="304"/>
      <c r="AO19" s="299"/>
      <c r="AP19" s="299"/>
      <c r="AQ19" s="299"/>
      <c r="AR19" s="299"/>
      <c r="AS19" s="299"/>
      <c r="AT19" s="299"/>
      <c r="AU19" s="299"/>
      <c r="AV19" s="299"/>
      <c r="AW19" s="299"/>
      <c r="AX19" s="299"/>
      <c r="AY19" s="299"/>
      <c r="AZ19" s="299"/>
    </row>
    <row r="20" s="305" customFormat="true" ht="29.1" hidden="false" customHeight="true" outlineLevel="0" collapsed="false">
      <c r="A20" s="299"/>
      <c r="B20" s="300"/>
      <c r="C20" s="300"/>
      <c r="D20" s="300"/>
      <c r="E20" s="300"/>
      <c r="F20" s="300"/>
      <c r="G20" s="300"/>
      <c r="H20" s="300"/>
      <c r="I20" s="300"/>
      <c r="J20" s="300"/>
      <c r="K20" s="299"/>
      <c r="L20" s="299"/>
      <c r="M20" s="299"/>
      <c r="N20" s="301"/>
      <c r="O20" s="302"/>
      <c r="P20" s="302"/>
      <c r="Q20" s="302"/>
      <c r="R20" s="302"/>
      <c r="S20" s="302"/>
      <c r="T20" s="303"/>
      <c r="U20" s="303"/>
      <c r="V20" s="302"/>
      <c r="W20" s="302"/>
      <c r="X20" s="302"/>
      <c r="Y20" s="302"/>
      <c r="Z20" s="302"/>
      <c r="AA20" s="302"/>
      <c r="AB20" s="302"/>
      <c r="AC20" s="304"/>
      <c r="AD20" s="304"/>
      <c r="AE20" s="304"/>
      <c r="AF20" s="304"/>
      <c r="AG20" s="304"/>
      <c r="AH20" s="304"/>
      <c r="AI20" s="304"/>
      <c r="AJ20" s="304"/>
      <c r="AK20" s="304"/>
      <c r="AL20" s="304"/>
      <c r="AM20" s="304"/>
      <c r="AN20" s="304"/>
      <c r="AO20" s="299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299"/>
    </row>
    <row r="21" s="305" customFormat="true" ht="29.1" hidden="false" customHeight="true" outlineLevel="0" collapsed="false">
      <c r="A21" s="299"/>
      <c r="B21" s="300"/>
      <c r="C21" s="300"/>
      <c r="D21" s="300"/>
      <c r="E21" s="300"/>
      <c r="F21" s="300"/>
      <c r="G21" s="300"/>
      <c r="H21" s="300"/>
      <c r="I21" s="300"/>
      <c r="J21" s="300"/>
      <c r="K21" s="299"/>
      <c r="L21" s="299"/>
      <c r="M21" s="299"/>
      <c r="N21" s="301"/>
      <c r="O21" s="302"/>
      <c r="P21" s="302"/>
      <c r="Q21" s="302"/>
      <c r="R21" s="302"/>
      <c r="S21" s="302"/>
      <c r="T21" s="303"/>
      <c r="U21" s="303"/>
      <c r="V21" s="302"/>
      <c r="W21" s="302"/>
      <c r="X21" s="302"/>
      <c r="Y21" s="302"/>
      <c r="Z21" s="302"/>
      <c r="AA21" s="302"/>
      <c r="AB21" s="302"/>
      <c r="AC21" s="304"/>
      <c r="AD21" s="304"/>
      <c r="AE21" s="304"/>
      <c r="AF21" s="304"/>
      <c r="AG21" s="304"/>
      <c r="AH21" s="304"/>
      <c r="AI21" s="304"/>
      <c r="AJ21" s="304"/>
      <c r="AK21" s="304"/>
      <c r="AL21" s="304"/>
      <c r="AM21" s="304"/>
      <c r="AN21" s="304"/>
      <c r="AO21" s="299"/>
      <c r="AP21" s="299"/>
      <c r="AQ21" s="299"/>
      <c r="AR21" s="299"/>
      <c r="AS21" s="299"/>
      <c r="AT21" s="299"/>
      <c r="AU21" s="299"/>
      <c r="AV21" s="299"/>
      <c r="AW21" s="299"/>
      <c r="AX21" s="299"/>
      <c r="AY21" s="299"/>
      <c r="AZ21" s="299"/>
    </row>
    <row r="22" s="305" customFormat="true" ht="29.1" hidden="false" customHeight="true" outlineLevel="0" collapsed="false">
      <c r="A22" s="299"/>
      <c r="B22" s="300"/>
      <c r="C22" s="300"/>
      <c r="D22" s="300"/>
      <c r="E22" s="300"/>
      <c r="F22" s="300"/>
      <c r="G22" s="300"/>
      <c r="H22" s="300"/>
      <c r="I22" s="300"/>
      <c r="J22" s="300"/>
      <c r="K22" s="299"/>
      <c r="L22" s="299"/>
      <c r="M22" s="299"/>
      <c r="N22" s="301"/>
      <c r="O22" s="302"/>
      <c r="P22" s="302"/>
      <c r="Q22" s="302"/>
      <c r="R22" s="302"/>
      <c r="S22" s="302"/>
      <c r="T22" s="303"/>
      <c r="U22" s="303"/>
      <c r="V22" s="302"/>
      <c r="W22" s="302"/>
      <c r="X22" s="302"/>
      <c r="Y22" s="302"/>
      <c r="Z22" s="302"/>
      <c r="AA22" s="302"/>
      <c r="AB22" s="302"/>
      <c r="AC22" s="304"/>
      <c r="AD22" s="304"/>
      <c r="AE22" s="304"/>
      <c r="AF22" s="304"/>
      <c r="AG22" s="304"/>
      <c r="AH22" s="304"/>
      <c r="AI22" s="304"/>
      <c r="AJ22" s="304"/>
      <c r="AK22" s="304"/>
      <c r="AL22" s="304"/>
      <c r="AM22" s="304"/>
      <c r="AN22" s="304"/>
      <c r="AO22" s="299"/>
      <c r="AP22" s="299"/>
      <c r="AQ22" s="299"/>
      <c r="AR22" s="299"/>
      <c r="AS22" s="299"/>
      <c r="AT22" s="299"/>
      <c r="AU22" s="299"/>
      <c r="AV22" s="299"/>
      <c r="AW22" s="299"/>
      <c r="AX22" s="299"/>
      <c r="AY22" s="299"/>
      <c r="AZ22" s="299"/>
    </row>
    <row r="23" s="305" customFormat="true" ht="29.1" hidden="false" customHeight="true" outlineLevel="0" collapsed="false">
      <c r="A23" s="299"/>
      <c r="B23" s="300"/>
      <c r="C23" s="300"/>
      <c r="D23" s="300"/>
      <c r="E23" s="300"/>
      <c r="F23" s="300"/>
      <c r="G23" s="300"/>
      <c r="H23" s="300"/>
      <c r="I23" s="300"/>
      <c r="J23" s="300"/>
      <c r="K23" s="299"/>
      <c r="L23" s="299"/>
      <c r="M23" s="306"/>
      <c r="N23" s="301" t="n">
        <f aca="false">Consolidado!$AM$6</f>
        <v>0.238373337453892</v>
      </c>
      <c r="O23" s="301" t="n">
        <f aca="false">Consolidado!$AM$18</f>
        <v>0.0179252467580904</v>
      </c>
      <c r="P23" s="301" t="n">
        <f aca="false">Consolidado!$AM$6</f>
        <v>0.238373337453892</v>
      </c>
      <c r="Q23" s="301" t="n">
        <f aca="false">Consolidado!$AM$6</f>
        <v>0.238373337453892</v>
      </c>
      <c r="R23" s="302"/>
      <c r="S23" s="302"/>
      <c r="T23" s="303" t="s">
        <v>180</v>
      </c>
      <c r="U23" s="303"/>
      <c r="V23" s="302"/>
      <c r="W23" s="302"/>
      <c r="X23" s="302"/>
      <c r="Y23" s="302"/>
      <c r="Z23" s="302"/>
      <c r="AA23" s="302"/>
      <c r="AB23" s="302" t="s">
        <v>153</v>
      </c>
      <c r="AC23" s="304"/>
      <c r="AD23" s="304"/>
      <c r="AE23" s="304"/>
      <c r="AF23" s="304"/>
      <c r="AG23" s="304"/>
      <c r="AH23" s="304"/>
      <c r="AI23" s="304"/>
      <c r="AJ23" s="304"/>
      <c r="AK23" s="304"/>
      <c r="AL23" s="304"/>
      <c r="AM23" s="304"/>
      <c r="AN23" s="304"/>
      <c r="AO23" s="299"/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</row>
    <row r="24" s="305" customFormat="true" ht="29.1" hidden="false" customHeight="true" outlineLevel="0" collapsed="false">
      <c r="A24" s="299"/>
      <c r="B24" s="300"/>
      <c r="C24" s="300"/>
      <c r="D24" s="300"/>
      <c r="E24" s="300"/>
      <c r="F24" s="300"/>
      <c r="G24" s="300"/>
      <c r="H24" s="300"/>
      <c r="I24" s="300"/>
      <c r="J24" s="300"/>
      <c r="K24" s="299"/>
      <c r="L24" s="299"/>
      <c r="M24" s="306"/>
      <c r="N24" s="301"/>
      <c r="O24" s="301"/>
      <c r="P24" s="301"/>
      <c r="Q24" s="301"/>
      <c r="R24" s="302"/>
      <c r="S24" s="302"/>
      <c r="T24" s="303"/>
      <c r="U24" s="303"/>
      <c r="V24" s="302"/>
      <c r="W24" s="302"/>
      <c r="X24" s="302"/>
      <c r="Y24" s="302"/>
      <c r="Z24" s="302"/>
      <c r="AA24" s="302"/>
      <c r="AB24" s="302"/>
      <c r="AC24" s="304"/>
      <c r="AD24" s="304"/>
      <c r="AE24" s="304"/>
      <c r="AF24" s="304"/>
      <c r="AG24" s="304"/>
      <c r="AH24" s="304"/>
      <c r="AI24" s="304"/>
      <c r="AJ24" s="304"/>
      <c r="AK24" s="304"/>
      <c r="AL24" s="304"/>
      <c r="AM24" s="304"/>
      <c r="AN24" s="304"/>
      <c r="AO24" s="299"/>
      <c r="AP24" s="299"/>
      <c r="AQ24" s="299"/>
      <c r="AR24" s="299"/>
      <c r="AS24" s="299"/>
      <c r="AT24" s="299"/>
      <c r="AU24" s="299"/>
      <c r="AV24" s="299"/>
      <c r="AW24" s="299"/>
      <c r="AX24" s="299"/>
      <c r="AY24" s="299"/>
      <c r="AZ24" s="299"/>
    </row>
    <row r="25" s="305" customFormat="true" ht="29.1" hidden="false" customHeight="true" outlineLevel="0" collapsed="false">
      <c r="A25" s="299"/>
      <c r="B25" s="300"/>
      <c r="C25" s="300"/>
      <c r="D25" s="300"/>
      <c r="E25" s="300"/>
      <c r="F25" s="300"/>
      <c r="G25" s="300"/>
      <c r="H25" s="300"/>
      <c r="I25" s="300"/>
      <c r="J25" s="300"/>
      <c r="K25" s="299"/>
      <c r="L25" s="299"/>
      <c r="M25" s="306"/>
      <c r="N25" s="301"/>
      <c r="O25" s="301"/>
      <c r="P25" s="301"/>
      <c r="Q25" s="301"/>
      <c r="R25" s="302"/>
      <c r="S25" s="302"/>
      <c r="T25" s="303"/>
      <c r="U25" s="303"/>
      <c r="V25" s="302"/>
      <c r="W25" s="302"/>
      <c r="X25" s="302"/>
      <c r="Y25" s="302"/>
      <c r="Z25" s="302"/>
      <c r="AA25" s="302"/>
      <c r="AB25" s="302"/>
      <c r="AC25" s="304"/>
      <c r="AD25" s="304"/>
      <c r="AE25" s="304"/>
      <c r="AF25" s="304"/>
      <c r="AG25" s="304"/>
      <c r="AH25" s="304"/>
      <c r="AI25" s="304"/>
      <c r="AJ25" s="304"/>
      <c r="AK25" s="304"/>
      <c r="AL25" s="304"/>
      <c r="AM25" s="304"/>
      <c r="AN25" s="304"/>
      <c r="AO25" s="299"/>
      <c r="AP25" s="299"/>
      <c r="AQ25" s="299"/>
      <c r="AR25" s="299"/>
      <c r="AS25" s="299"/>
      <c r="AT25" s="299"/>
      <c r="AU25" s="299"/>
      <c r="AV25" s="299"/>
      <c r="AW25" s="299"/>
      <c r="AX25" s="299"/>
      <c r="AY25" s="299"/>
      <c r="AZ25" s="299"/>
    </row>
    <row r="26" s="305" customFormat="true" ht="29.1" hidden="false" customHeight="true" outlineLevel="0" collapsed="false">
      <c r="A26" s="299"/>
      <c r="B26" s="300"/>
      <c r="C26" s="300"/>
      <c r="D26" s="300"/>
      <c r="E26" s="300"/>
      <c r="F26" s="300"/>
      <c r="G26" s="300"/>
      <c r="H26" s="300"/>
      <c r="I26" s="300"/>
      <c r="J26" s="300"/>
      <c r="K26" s="299"/>
      <c r="L26" s="299"/>
      <c r="M26" s="299"/>
      <c r="N26" s="301" t="n">
        <f aca="false">Consolidado!$AM$18</f>
        <v>0.0179252467580904</v>
      </c>
      <c r="O26" s="301" t="n">
        <f aca="false">Consolidado!$AM$18</f>
        <v>0.0179252467580904</v>
      </c>
      <c r="P26" s="301" t="n">
        <f aca="false">Consolidado!$AM$18</f>
        <v>0.0179252467580904</v>
      </c>
      <c r="Q26" s="301" t="n">
        <f aca="false">Consolidado!$AM$18</f>
        <v>0.0179252467580904</v>
      </c>
      <c r="R26" s="302"/>
      <c r="S26" s="302"/>
      <c r="T26" s="303"/>
      <c r="U26" s="303"/>
      <c r="V26" s="302"/>
      <c r="W26" s="302"/>
      <c r="X26" s="302"/>
      <c r="Y26" s="302"/>
      <c r="Z26" s="302"/>
      <c r="AA26" s="302"/>
      <c r="AB26" s="302" t="s">
        <v>157</v>
      </c>
      <c r="AC26" s="307" t="n">
        <f aca="false">85%</f>
        <v>0.85</v>
      </c>
      <c r="AD26" s="304"/>
      <c r="AE26" s="304"/>
      <c r="AF26" s="304"/>
      <c r="AG26" s="304"/>
      <c r="AH26" s="304"/>
      <c r="AI26" s="304"/>
      <c r="AJ26" s="304"/>
      <c r="AK26" s="304"/>
      <c r="AL26" s="304"/>
      <c r="AM26" s="304"/>
      <c r="AN26" s="304"/>
      <c r="AO26" s="299"/>
      <c r="AP26" s="299"/>
      <c r="AQ26" s="299"/>
      <c r="AR26" s="299"/>
      <c r="AS26" s="299"/>
      <c r="AT26" s="299"/>
      <c r="AU26" s="299"/>
      <c r="AV26" s="299"/>
      <c r="AW26" s="299"/>
      <c r="AX26" s="299"/>
      <c r="AY26" s="299"/>
      <c r="AZ26" s="299"/>
    </row>
    <row r="27" s="305" customFormat="true" ht="29.1" hidden="false" customHeight="true" outlineLevel="0" collapsed="false">
      <c r="A27" s="299"/>
      <c r="B27" s="300"/>
      <c r="C27" s="300"/>
      <c r="D27" s="300"/>
      <c r="E27" s="300"/>
      <c r="F27" s="300"/>
      <c r="G27" s="300"/>
      <c r="H27" s="300"/>
      <c r="I27" s="300"/>
      <c r="J27" s="300"/>
      <c r="K27" s="299"/>
      <c r="L27" s="299"/>
      <c r="M27" s="299"/>
      <c r="N27" s="302"/>
      <c r="O27" s="302"/>
      <c r="P27" s="302"/>
      <c r="Q27" s="302"/>
      <c r="R27" s="302"/>
      <c r="S27" s="302"/>
      <c r="T27" s="303"/>
      <c r="U27" s="303"/>
      <c r="V27" s="302"/>
      <c r="W27" s="302"/>
      <c r="X27" s="302"/>
      <c r="Y27" s="302"/>
      <c r="Z27" s="302"/>
      <c r="AA27" s="302"/>
      <c r="AB27" s="302" t="s">
        <v>158</v>
      </c>
      <c r="AC27" s="307" t="n">
        <f aca="false">100%-AC26</f>
        <v>0.15</v>
      </c>
      <c r="AD27" s="304"/>
      <c r="AE27" s="304"/>
      <c r="AF27" s="304"/>
      <c r="AG27" s="304"/>
      <c r="AH27" s="304"/>
      <c r="AI27" s="304"/>
      <c r="AJ27" s="304"/>
      <c r="AK27" s="304"/>
      <c r="AL27" s="304"/>
      <c r="AM27" s="304"/>
      <c r="AN27" s="304"/>
      <c r="AO27" s="299"/>
      <c r="AP27" s="299"/>
      <c r="AQ27" s="299"/>
      <c r="AR27" s="299"/>
      <c r="AS27" s="299"/>
      <c r="AT27" s="299"/>
      <c r="AU27" s="299"/>
      <c r="AV27" s="299"/>
      <c r="AW27" s="299"/>
      <c r="AX27" s="299"/>
      <c r="AY27" s="299"/>
      <c r="AZ27" s="299"/>
    </row>
    <row r="28" s="305" customFormat="true" ht="29.1" hidden="false" customHeight="true" outlineLevel="0" collapsed="false">
      <c r="A28" s="299"/>
      <c r="B28" s="300"/>
      <c r="C28" s="300"/>
      <c r="D28" s="300"/>
      <c r="E28" s="300"/>
      <c r="F28" s="300"/>
      <c r="G28" s="300"/>
      <c r="H28" s="300"/>
      <c r="I28" s="300"/>
      <c r="J28" s="300"/>
      <c r="K28" s="299"/>
      <c r="L28" s="299"/>
      <c r="M28" s="299"/>
      <c r="N28" s="302"/>
      <c r="O28" s="302"/>
      <c r="P28" s="302"/>
      <c r="Q28" s="302"/>
      <c r="R28" s="302"/>
      <c r="S28" s="302"/>
      <c r="T28" s="302"/>
      <c r="U28" s="302"/>
      <c r="V28" s="302"/>
      <c r="W28" s="302"/>
      <c r="X28" s="302"/>
      <c r="Y28" s="302"/>
      <c r="Z28" s="302"/>
      <c r="AA28" s="302"/>
      <c r="AB28" s="302"/>
      <c r="AC28" s="304"/>
      <c r="AD28" s="304"/>
      <c r="AE28" s="304"/>
      <c r="AF28" s="304"/>
      <c r="AG28" s="304"/>
      <c r="AH28" s="304"/>
      <c r="AI28" s="304"/>
      <c r="AJ28" s="304"/>
      <c r="AK28" s="304"/>
      <c r="AL28" s="304"/>
      <c r="AM28" s="304"/>
      <c r="AN28" s="304"/>
      <c r="AO28" s="299"/>
      <c r="AP28" s="299"/>
      <c r="AQ28" s="299"/>
      <c r="AR28" s="299"/>
      <c r="AS28" s="299"/>
      <c r="AT28" s="299"/>
      <c r="AU28" s="299"/>
      <c r="AV28" s="299"/>
      <c r="AW28" s="299"/>
      <c r="AX28" s="299"/>
      <c r="AY28" s="299"/>
      <c r="AZ28" s="299"/>
    </row>
    <row r="29" s="305" customFormat="true" ht="29.1" hidden="false" customHeight="true" outlineLevel="0" collapsed="false">
      <c r="A29" s="299"/>
      <c r="B29" s="300"/>
      <c r="C29" s="300"/>
      <c r="D29" s="300"/>
      <c r="E29" s="300"/>
      <c r="F29" s="300"/>
      <c r="G29" s="300"/>
      <c r="H29" s="300"/>
      <c r="I29" s="300"/>
      <c r="J29" s="300"/>
      <c r="K29" s="299"/>
      <c r="L29" s="299"/>
      <c r="M29" s="299"/>
      <c r="N29" s="302"/>
      <c r="O29" s="302"/>
      <c r="P29" s="302"/>
      <c r="Q29" s="302"/>
      <c r="R29" s="302"/>
      <c r="S29" s="302"/>
      <c r="T29" s="302"/>
      <c r="U29" s="302"/>
      <c r="V29" s="302"/>
      <c r="W29" s="302"/>
      <c r="X29" s="302"/>
      <c r="Y29" s="302"/>
      <c r="Z29" s="302"/>
      <c r="AA29" s="302"/>
      <c r="AB29" s="302"/>
      <c r="AC29" s="304"/>
      <c r="AD29" s="304"/>
      <c r="AE29" s="304"/>
      <c r="AF29" s="304"/>
      <c r="AG29" s="304"/>
      <c r="AH29" s="304"/>
      <c r="AI29" s="304"/>
      <c r="AJ29" s="304"/>
      <c r="AK29" s="304"/>
      <c r="AL29" s="304"/>
      <c r="AM29" s="304"/>
      <c r="AN29" s="304"/>
      <c r="AO29" s="299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</row>
    <row r="30" s="305" customFormat="true" ht="29.1" hidden="false" customHeight="true" outlineLevel="0" collapsed="false">
      <c r="A30" s="299"/>
      <c r="B30" s="300"/>
      <c r="C30" s="300"/>
      <c r="D30" s="300"/>
      <c r="E30" s="300"/>
      <c r="F30" s="300"/>
      <c r="G30" s="300"/>
      <c r="H30" s="300"/>
      <c r="I30" s="300"/>
      <c r="J30" s="300"/>
      <c r="K30" s="299"/>
      <c r="L30" s="299"/>
      <c r="M30" s="299"/>
      <c r="N30" s="299"/>
      <c r="O30" s="299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99"/>
      <c r="AB30" s="299"/>
      <c r="AC30" s="304"/>
      <c r="AD30" s="304"/>
      <c r="AE30" s="304"/>
      <c r="AF30" s="304"/>
      <c r="AG30" s="304"/>
      <c r="AH30" s="304"/>
      <c r="AI30" s="304"/>
      <c r="AJ30" s="304"/>
      <c r="AK30" s="304"/>
      <c r="AL30" s="304"/>
      <c r="AM30" s="304"/>
      <c r="AN30" s="304"/>
      <c r="AO30" s="299"/>
      <c r="AP30" s="299"/>
      <c r="AQ30" s="299"/>
      <c r="AR30" s="299"/>
      <c r="AS30" s="299"/>
      <c r="AT30" s="299"/>
      <c r="AU30" s="299"/>
      <c r="AV30" s="299"/>
      <c r="AW30" s="299"/>
      <c r="AX30" s="299"/>
      <c r="AY30" s="299"/>
      <c r="AZ30" s="299"/>
    </row>
    <row r="31" s="236" customFormat="true" ht="23.1" hidden="false" customHeight="true" outlineLevel="0" collapsed="false">
      <c r="A31" s="235"/>
      <c r="B31" s="235"/>
      <c r="C31" s="235"/>
      <c r="D31" s="253"/>
      <c r="E31" s="254"/>
      <c r="F31" s="254"/>
      <c r="G31" s="254"/>
      <c r="H31" s="254"/>
      <c r="I31" s="254"/>
      <c r="J31" s="254"/>
      <c r="K31" s="235"/>
      <c r="L31" s="235"/>
      <c r="M31" s="235"/>
      <c r="N31" s="235"/>
      <c r="O31" s="235"/>
      <c r="P31" s="235"/>
      <c r="Q31" s="235"/>
      <c r="R31" s="235"/>
      <c r="S31" s="235"/>
      <c r="T31" s="289" t="s">
        <v>181</v>
      </c>
      <c r="U31" s="289"/>
      <c r="V31" s="235"/>
      <c r="W31" s="235"/>
      <c r="X31" s="235"/>
      <c r="Y31" s="235"/>
      <c r="Z31" s="235"/>
      <c r="AA31" s="235"/>
      <c r="AB31" s="235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</row>
    <row r="32" s="236" customFormat="true" ht="23.1" hidden="false" customHeight="true" outlineLevel="0" collapsed="false">
      <c r="A32" s="235"/>
      <c r="B32" s="235"/>
      <c r="C32" s="235"/>
      <c r="D32" s="253"/>
      <c r="E32" s="254"/>
      <c r="F32" s="254"/>
      <c r="G32" s="254"/>
      <c r="H32" s="254"/>
      <c r="I32" s="254"/>
      <c r="J32" s="254"/>
      <c r="K32" s="235"/>
      <c r="L32" s="235"/>
      <c r="M32" s="235"/>
      <c r="N32" s="235"/>
      <c r="O32" s="235"/>
      <c r="P32" s="235"/>
      <c r="Q32" s="235"/>
      <c r="R32" s="235"/>
      <c r="S32" s="235"/>
      <c r="T32" s="289"/>
      <c r="U32" s="289"/>
      <c r="V32" s="235"/>
      <c r="W32" s="235"/>
      <c r="X32" s="235"/>
      <c r="Y32" s="235"/>
      <c r="Z32" s="235"/>
      <c r="AA32" s="235"/>
      <c r="AB32" s="235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</row>
    <row r="33" s="310" customFormat="true" ht="14.7" hidden="false" customHeight="true" outlineLevel="0" collapsed="false">
      <c r="A33" s="250"/>
      <c r="B33" s="308" t="str">
        <f aca="false">IF(F10&gt;=1,"Parabéns pelo excelente índice de liquidez da sua operação","Atenção ao seu nível de liquidez avaliando o ciclo operacional / vendas / custos. O nível ideal é entre 1,0 - 1,5")</f>
        <v>Atenção ao seu nível de liquidez avaliando o ciclo operacional / vendas / custos. O nível ideal é entre 1,0 - 1,5</v>
      </c>
      <c r="C33" s="308"/>
      <c r="D33" s="308"/>
      <c r="E33" s="308"/>
      <c r="F33" s="308"/>
      <c r="G33" s="308"/>
      <c r="H33" s="308"/>
      <c r="I33" s="308"/>
      <c r="J33" s="308"/>
      <c r="K33" s="250"/>
      <c r="L33" s="250"/>
      <c r="M33" s="250"/>
      <c r="N33" s="250"/>
      <c r="O33" s="250"/>
      <c r="P33" s="250"/>
      <c r="Q33" s="250"/>
      <c r="R33" s="250"/>
      <c r="S33" s="250"/>
      <c r="T33" s="250"/>
      <c r="U33" s="250"/>
      <c r="V33" s="250"/>
      <c r="W33" s="250"/>
      <c r="X33" s="250"/>
      <c r="Y33" s="250"/>
      <c r="Z33" s="250"/>
      <c r="AA33" s="250"/>
      <c r="AB33" s="250"/>
      <c r="AC33" s="309"/>
      <c r="AD33" s="309"/>
      <c r="AE33" s="309"/>
      <c r="AF33" s="309"/>
      <c r="AG33" s="309"/>
      <c r="AH33" s="309"/>
      <c r="AI33" s="309"/>
      <c r="AJ33" s="309"/>
      <c r="AK33" s="309"/>
      <c r="AL33" s="309"/>
      <c r="AM33" s="309"/>
      <c r="AN33" s="309"/>
      <c r="AO33" s="250"/>
      <c r="AP33" s="250"/>
      <c r="AQ33" s="250"/>
      <c r="AR33" s="250"/>
      <c r="AS33" s="250"/>
      <c r="AT33" s="250"/>
      <c r="AU33" s="250"/>
      <c r="AV33" s="250"/>
      <c r="AW33" s="250"/>
      <c r="AX33" s="250"/>
      <c r="AY33" s="250"/>
      <c r="AZ33" s="250"/>
    </row>
    <row r="34" s="310" customFormat="true" ht="14.7" hidden="false" customHeight="true" outlineLevel="0" collapsed="false">
      <c r="A34" s="250"/>
      <c r="B34" s="308" t="str">
        <f aca="false">IF(E2="Ano 1","Não deixe de definir e acompanhar as metas de vendas",IF(D10&lt;5%,"Atenção total ao crescimento de vendas acumulado",IF(D10&gt;=15%,"Excelente crescimento de vendas acumulado","Bom crescimento de vendas acumulado")))</f>
        <v>Não deixe de definir e acompanhar as metas de vendas</v>
      </c>
      <c r="C34" s="308"/>
      <c r="D34" s="308"/>
      <c r="E34" s="308"/>
      <c r="F34" s="308"/>
      <c r="G34" s="308"/>
      <c r="H34" s="308"/>
      <c r="I34" s="308"/>
      <c r="J34" s="308"/>
      <c r="K34" s="250"/>
      <c r="L34" s="250"/>
      <c r="M34" s="250"/>
      <c r="N34" s="250"/>
      <c r="O34" s="250"/>
      <c r="P34" s="250"/>
      <c r="Q34" s="250"/>
      <c r="R34" s="250"/>
      <c r="S34" s="250"/>
      <c r="T34" s="250"/>
      <c r="U34" s="250"/>
      <c r="V34" s="250"/>
      <c r="W34" s="250"/>
      <c r="X34" s="250"/>
      <c r="Y34" s="250"/>
      <c r="Z34" s="250"/>
      <c r="AA34" s="250"/>
      <c r="AB34" s="250"/>
      <c r="AC34" s="309"/>
      <c r="AD34" s="309"/>
      <c r="AE34" s="309"/>
      <c r="AF34" s="309"/>
      <c r="AG34" s="309"/>
      <c r="AH34" s="309"/>
      <c r="AI34" s="309"/>
      <c r="AJ34" s="309"/>
      <c r="AK34" s="309"/>
      <c r="AL34" s="309"/>
      <c r="AM34" s="309"/>
      <c r="AN34" s="309"/>
      <c r="AO34" s="250"/>
      <c r="AP34" s="250"/>
      <c r="AQ34" s="250"/>
      <c r="AR34" s="250"/>
      <c r="AS34" s="250"/>
      <c r="AT34" s="250"/>
      <c r="AU34" s="250"/>
      <c r="AV34" s="250"/>
      <c r="AW34" s="250"/>
      <c r="AX34" s="250"/>
      <c r="AY34" s="250"/>
      <c r="AZ34" s="250"/>
    </row>
    <row r="35" s="310" customFormat="true" ht="16.5" hidden="false" customHeight="true" outlineLevel="0" collapsed="false">
      <c r="A35" s="250"/>
      <c r="B35" s="308" t="str">
        <f aca="false">IF($E$2="Ano 1","Busque compreender a sua margem de venda em função da precificação e do mix de produtos",IF('Dashboard Custos'!$D$10&gt;0,"Atenção ao seu CPV pois apresenta crescimento comparado ao ano anterior","A operação tem apresentado menor CPV comparado ao ano anterior"))</f>
        <v>Busque compreender a sua margem de venda em função da precificação e do mix de produtos</v>
      </c>
      <c r="C35" s="308"/>
      <c r="D35" s="308"/>
      <c r="E35" s="308"/>
      <c r="F35" s="308"/>
      <c r="G35" s="308"/>
      <c r="H35" s="308"/>
      <c r="I35" s="308"/>
      <c r="J35" s="308"/>
      <c r="K35" s="250"/>
      <c r="L35" s="250"/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250"/>
      <c r="X35" s="250"/>
      <c r="Y35" s="250"/>
      <c r="Z35" s="250"/>
      <c r="AA35" s="250"/>
      <c r="AB35" s="250"/>
      <c r="AC35" s="309"/>
      <c r="AD35" s="309"/>
      <c r="AE35" s="309"/>
      <c r="AF35" s="309"/>
      <c r="AG35" s="309"/>
      <c r="AH35" s="309"/>
      <c r="AI35" s="309"/>
      <c r="AJ35" s="309"/>
      <c r="AK35" s="309"/>
      <c r="AL35" s="309"/>
      <c r="AM35" s="309"/>
      <c r="AN35" s="309"/>
      <c r="AO35" s="250"/>
      <c r="AP35" s="250"/>
      <c r="AQ35" s="250"/>
      <c r="AR35" s="250"/>
      <c r="AS35" s="250"/>
      <c r="AT35" s="250"/>
      <c r="AU35" s="250"/>
      <c r="AV35" s="250"/>
      <c r="AW35" s="250"/>
      <c r="AX35" s="250"/>
      <c r="AY35" s="250"/>
      <c r="AZ35" s="250"/>
    </row>
    <row r="36" s="310" customFormat="true" ht="16.5" hidden="false" customHeight="true" outlineLevel="0" collapsed="false">
      <c r="A36" s="250"/>
      <c r="B36" s="308"/>
      <c r="C36" s="308"/>
      <c r="D36" s="308"/>
      <c r="E36" s="308"/>
      <c r="F36" s="308"/>
      <c r="G36" s="308"/>
      <c r="H36" s="308"/>
      <c r="I36" s="308"/>
      <c r="J36" s="308"/>
      <c r="K36" s="250"/>
      <c r="L36" s="250"/>
      <c r="M36" s="250"/>
      <c r="N36" s="250"/>
      <c r="O36" s="250"/>
      <c r="P36" s="250"/>
      <c r="Q36" s="250"/>
      <c r="R36" s="250"/>
      <c r="S36" s="250"/>
      <c r="T36" s="250"/>
      <c r="U36" s="250"/>
      <c r="V36" s="250"/>
      <c r="W36" s="250"/>
      <c r="X36" s="250"/>
      <c r="Y36" s="250"/>
      <c r="Z36" s="250"/>
      <c r="AA36" s="250"/>
      <c r="AB36" s="250"/>
      <c r="AC36" s="309"/>
      <c r="AD36" s="309"/>
      <c r="AE36" s="309"/>
      <c r="AF36" s="309"/>
      <c r="AG36" s="309"/>
      <c r="AH36" s="309"/>
      <c r="AI36" s="309"/>
      <c r="AJ36" s="309"/>
      <c r="AK36" s="309"/>
      <c r="AL36" s="309"/>
      <c r="AM36" s="309"/>
      <c r="AN36" s="309"/>
      <c r="AO36" s="250"/>
      <c r="AP36" s="250"/>
      <c r="AQ36" s="250"/>
      <c r="AR36" s="250"/>
      <c r="AS36" s="250"/>
      <c r="AT36" s="250"/>
      <c r="AU36" s="250"/>
      <c r="AV36" s="250"/>
      <c r="AW36" s="250"/>
      <c r="AX36" s="250"/>
      <c r="AY36" s="250"/>
      <c r="AZ36" s="250"/>
    </row>
    <row r="37" s="310" customFormat="true" ht="16.5" hidden="false" customHeight="true" outlineLevel="0" collapsed="false">
      <c r="A37" s="250"/>
      <c r="B37" s="308" t="str">
        <f aca="false">IF(E2="Ano 1","Busque compreender o impacto dos custos fixos na sua operação",IF('Dashboard Custos'!O19&gt;'Dashboard Custos'!N19,"Atenção ao seu custo fixo, pois está crescendo no ritmo maior do que as receitas","O custo fixo da operação está crescendo menos do que a sua receita, Parabéns!"))</f>
        <v>Busque compreender o impacto dos custos fixos na sua operação</v>
      </c>
      <c r="C37" s="308"/>
      <c r="D37" s="308"/>
      <c r="E37" s="308"/>
      <c r="F37" s="308"/>
      <c r="G37" s="308"/>
      <c r="H37" s="308"/>
      <c r="I37" s="308"/>
      <c r="J37" s="308"/>
      <c r="K37" s="250"/>
      <c r="L37" s="250"/>
      <c r="M37" s="250"/>
      <c r="N37" s="250"/>
      <c r="O37" s="250"/>
      <c r="P37" s="250"/>
      <c r="Q37" s="250"/>
      <c r="R37" s="250"/>
      <c r="S37" s="250"/>
      <c r="T37" s="250"/>
      <c r="U37" s="250"/>
      <c r="V37" s="250"/>
      <c r="W37" s="250"/>
      <c r="X37" s="250"/>
      <c r="Y37" s="250"/>
      <c r="Z37" s="250"/>
      <c r="AA37" s="250"/>
      <c r="AB37" s="250"/>
      <c r="AC37" s="309"/>
      <c r="AD37" s="309"/>
      <c r="AE37" s="309"/>
      <c r="AF37" s="309"/>
      <c r="AG37" s="309"/>
      <c r="AH37" s="309"/>
      <c r="AI37" s="309"/>
      <c r="AJ37" s="309"/>
      <c r="AK37" s="309"/>
      <c r="AL37" s="309"/>
      <c r="AM37" s="309"/>
      <c r="AN37" s="309"/>
      <c r="AO37" s="250"/>
      <c r="AP37" s="250"/>
      <c r="AQ37" s="250"/>
      <c r="AR37" s="250"/>
      <c r="AS37" s="250"/>
      <c r="AT37" s="250"/>
      <c r="AU37" s="250"/>
      <c r="AV37" s="250"/>
      <c r="AW37" s="250"/>
      <c r="AX37" s="250"/>
      <c r="AY37" s="250"/>
      <c r="AZ37" s="250"/>
    </row>
    <row r="38" s="310" customFormat="true" ht="16.5" hidden="false" customHeight="true" outlineLevel="0" collapsed="false">
      <c r="A38" s="250"/>
      <c r="B38" s="308"/>
      <c r="C38" s="308"/>
      <c r="D38" s="308"/>
      <c r="E38" s="308"/>
      <c r="F38" s="308"/>
      <c r="G38" s="308"/>
      <c r="H38" s="308"/>
      <c r="I38" s="308"/>
      <c r="J38" s="308"/>
      <c r="K38" s="250"/>
      <c r="L38" s="250"/>
      <c r="M38" s="250"/>
      <c r="N38" s="250"/>
      <c r="O38" s="250"/>
      <c r="P38" s="250"/>
      <c r="Q38" s="250"/>
      <c r="R38" s="250"/>
      <c r="S38" s="250"/>
      <c r="T38" s="250"/>
      <c r="U38" s="250"/>
      <c r="V38" s="250"/>
      <c r="W38" s="250"/>
      <c r="X38" s="250"/>
      <c r="Y38" s="250"/>
      <c r="Z38" s="250"/>
      <c r="AA38" s="250"/>
      <c r="AB38" s="250"/>
      <c r="AC38" s="309"/>
      <c r="AD38" s="309"/>
      <c r="AE38" s="309"/>
      <c r="AF38" s="309"/>
      <c r="AG38" s="309"/>
      <c r="AH38" s="309"/>
      <c r="AI38" s="309"/>
      <c r="AJ38" s="309"/>
      <c r="AK38" s="309"/>
      <c r="AL38" s="309"/>
      <c r="AM38" s="309"/>
      <c r="AN38" s="309"/>
      <c r="AO38" s="250"/>
      <c r="AP38" s="250"/>
      <c r="AQ38" s="250"/>
      <c r="AR38" s="250"/>
      <c r="AS38" s="250"/>
      <c r="AT38" s="250"/>
      <c r="AU38" s="250"/>
      <c r="AV38" s="250"/>
      <c r="AW38" s="250"/>
      <c r="AX38" s="250"/>
      <c r="AY38" s="250"/>
      <c r="AZ38" s="250"/>
    </row>
    <row r="39" s="310" customFormat="true" ht="16.5" hidden="false" customHeight="true" outlineLevel="0" collapsed="false">
      <c r="A39" s="250"/>
      <c r="B39" s="308" t="str">
        <f aca="false">IF(Consolidado!$D$24&gt;=8%,"Atenção em relação ao nível atual de investimentos pois estão acima do ideal","Excelente nível de investimento sobre o nível de receitas")</f>
        <v>Excelente nível de investimento sobre o nível de receitas</v>
      </c>
      <c r="C39" s="308"/>
      <c r="D39" s="308"/>
      <c r="E39" s="308"/>
      <c r="F39" s="308"/>
      <c r="G39" s="308"/>
      <c r="H39" s="308"/>
      <c r="I39" s="308"/>
      <c r="J39" s="308"/>
      <c r="K39" s="250"/>
      <c r="L39" s="250"/>
      <c r="M39" s="250"/>
      <c r="N39" s="250"/>
      <c r="O39" s="250"/>
      <c r="P39" s="250"/>
      <c r="Q39" s="250"/>
      <c r="R39" s="250"/>
      <c r="S39" s="250"/>
      <c r="T39" s="250"/>
      <c r="U39" s="250"/>
      <c r="V39" s="250"/>
      <c r="W39" s="250"/>
      <c r="X39" s="250"/>
      <c r="Y39" s="250"/>
      <c r="Z39" s="250"/>
      <c r="AA39" s="250"/>
      <c r="AB39" s="250"/>
      <c r="AC39" s="309"/>
      <c r="AD39" s="309"/>
      <c r="AE39" s="309"/>
      <c r="AF39" s="309"/>
      <c r="AG39" s="309"/>
      <c r="AH39" s="309"/>
      <c r="AI39" s="309"/>
      <c r="AJ39" s="309"/>
      <c r="AK39" s="309"/>
      <c r="AL39" s="309"/>
      <c r="AM39" s="309"/>
      <c r="AN39" s="309"/>
      <c r="AO39" s="250"/>
      <c r="AP39" s="250"/>
      <c r="AQ39" s="250"/>
      <c r="AR39" s="250"/>
      <c r="AS39" s="250"/>
      <c r="AT39" s="250"/>
      <c r="AU39" s="250"/>
      <c r="AV39" s="250"/>
      <c r="AW39" s="250"/>
      <c r="AX39" s="250"/>
      <c r="AY39" s="250"/>
      <c r="AZ39" s="250"/>
    </row>
    <row r="40" s="310" customFormat="true" ht="16.5" hidden="false" customHeight="true" outlineLevel="0" collapsed="false">
      <c r="A40" s="250"/>
      <c r="B40" s="308"/>
      <c r="C40" s="308"/>
      <c r="D40" s="308"/>
      <c r="E40" s="308"/>
      <c r="F40" s="308"/>
      <c r="G40" s="308"/>
      <c r="H40" s="308"/>
      <c r="I40" s="308"/>
      <c r="J40" s="308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250"/>
      <c r="AB40" s="250"/>
      <c r="AC40" s="309"/>
      <c r="AD40" s="309"/>
      <c r="AE40" s="309"/>
      <c r="AF40" s="309"/>
      <c r="AG40" s="309"/>
      <c r="AH40" s="309"/>
      <c r="AI40" s="309"/>
      <c r="AJ40" s="309"/>
      <c r="AK40" s="309"/>
      <c r="AL40" s="309"/>
      <c r="AM40" s="309"/>
      <c r="AN40" s="309"/>
      <c r="AO40" s="250"/>
      <c r="AP40" s="250"/>
      <c r="AQ40" s="250"/>
      <c r="AR40" s="250"/>
      <c r="AS40" s="250"/>
      <c r="AT40" s="250"/>
      <c r="AU40" s="250"/>
      <c r="AV40" s="250"/>
      <c r="AW40" s="250"/>
      <c r="AX40" s="250"/>
      <c r="AY40" s="250"/>
      <c r="AZ40" s="250"/>
    </row>
    <row r="41" s="310" customFormat="true" ht="16.5" hidden="false" customHeight="true" outlineLevel="0" collapsed="false">
      <c r="A41" s="250"/>
      <c r="B41" s="308" t="str">
        <f aca="false">IF(Consolidado!$D$24&gt;=8%,"Atenção em relação ao nível atual de investimentos pois estão acima do ideal","Excelente nível de investimento sobre o nível de receitas")</f>
        <v>Excelente nível de investimento sobre o nível de receitas</v>
      </c>
      <c r="C41" s="308"/>
      <c r="D41" s="308"/>
      <c r="E41" s="308"/>
      <c r="F41" s="308"/>
      <c r="G41" s="308"/>
      <c r="H41" s="308"/>
      <c r="I41" s="308"/>
      <c r="J41" s="308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250"/>
      <c r="AB41" s="250"/>
      <c r="AC41" s="309"/>
      <c r="AD41" s="309"/>
      <c r="AE41" s="309"/>
      <c r="AF41" s="309"/>
      <c r="AG41" s="309"/>
      <c r="AH41" s="309"/>
      <c r="AI41" s="309"/>
      <c r="AJ41" s="309"/>
      <c r="AK41" s="309"/>
      <c r="AL41" s="309"/>
      <c r="AM41" s="309"/>
      <c r="AN41" s="309"/>
      <c r="AO41" s="250"/>
      <c r="AP41" s="250"/>
      <c r="AQ41" s="250"/>
      <c r="AR41" s="250"/>
      <c r="AS41" s="250"/>
      <c r="AT41" s="250"/>
      <c r="AU41" s="250"/>
      <c r="AV41" s="250"/>
      <c r="AW41" s="250"/>
      <c r="AX41" s="250"/>
      <c r="AY41" s="250"/>
      <c r="AZ41" s="250"/>
    </row>
    <row r="42" s="310" customFormat="true" ht="16.5" hidden="false" customHeight="true" outlineLevel="0" collapsed="false">
      <c r="A42" s="250"/>
      <c r="B42" s="308"/>
      <c r="C42" s="308"/>
      <c r="D42" s="308"/>
      <c r="E42" s="308"/>
      <c r="F42" s="308"/>
      <c r="G42" s="308"/>
      <c r="H42" s="308"/>
      <c r="I42" s="308"/>
      <c r="J42" s="308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309"/>
      <c r="AD42" s="309"/>
      <c r="AE42" s="309"/>
      <c r="AF42" s="309"/>
      <c r="AG42" s="309"/>
      <c r="AH42" s="309"/>
      <c r="AI42" s="309"/>
      <c r="AJ42" s="309"/>
      <c r="AK42" s="309"/>
      <c r="AL42" s="309"/>
      <c r="AM42" s="309"/>
      <c r="AN42" s="309"/>
      <c r="AO42" s="250"/>
      <c r="AP42" s="250"/>
      <c r="AQ42" s="250"/>
      <c r="AR42" s="250"/>
      <c r="AS42" s="250"/>
      <c r="AT42" s="250"/>
      <c r="AU42" s="250"/>
      <c r="AV42" s="250"/>
      <c r="AW42" s="250"/>
      <c r="AX42" s="250"/>
      <c r="AY42" s="250"/>
      <c r="AZ42" s="250"/>
    </row>
    <row r="43" s="310" customFormat="true" ht="16.5" hidden="false" customHeight="true" outlineLevel="0" collapsed="false">
      <c r="A43" s="250"/>
      <c r="B43" s="308" t="str">
        <f aca="false">IF(E2="Ano 1","Concentre a energia na propaganda médica pois ela é vital para o seu crescimento comercial",IF($N$1=1,"Siga e acompanhe com rigor o seu planejamento estratégicos (Premissas / Meta / Objetivos)",IF($N$1=2,"Avalie os resultados comparativos de performance por pessoa (Ex: faturamento por pessoa / lucro por pessoa)",IF($N$1=3,"Avalie com rigor as recomendações do relatório de inteligência de negócios",IF($N$1=4,"Compreenda os sinais emitidos pela sua operação (Expansão / Manutenção / Queda / Insolvência)")))))</f>
        <v>Concentre a energia na propaganda médica pois ela é vital para o seu crescimento comercial</v>
      </c>
      <c r="C43" s="308"/>
      <c r="D43" s="308"/>
      <c r="E43" s="308"/>
      <c r="F43" s="308"/>
      <c r="G43" s="308"/>
      <c r="H43" s="308"/>
      <c r="I43" s="308"/>
      <c r="J43" s="308"/>
      <c r="K43" s="250"/>
      <c r="L43" s="250"/>
      <c r="M43" s="250"/>
      <c r="N43" s="250"/>
      <c r="O43" s="250"/>
      <c r="P43" s="250"/>
      <c r="Q43" s="250"/>
      <c r="R43" s="250"/>
      <c r="S43" s="250"/>
      <c r="T43" s="250"/>
      <c r="U43" s="250"/>
      <c r="V43" s="250"/>
      <c r="W43" s="250"/>
      <c r="X43" s="250"/>
      <c r="Y43" s="250"/>
      <c r="Z43" s="250"/>
      <c r="AA43" s="250"/>
      <c r="AB43" s="250"/>
      <c r="AC43" s="309"/>
      <c r="AD43" s="309"/>
      <c r="AE43" s="309"/>
      <c r="AF43" s="309"/>
      <c r="AG43" s="309"/>
      <c r="AH43" s="309"/>
      <c r="AI43" s="309"/>
      <c r="AJ43" s="309"/>
      <c r="AK43" s="309"/>
      <c r="AL43" s="309"/>
      <c r="AM43" s="309"/>
      <c r="AN43" s="309"/>
      <c r="AO43" s="250"/>
      <c r="AP43" s="250"/>
      <c r="AQ43" s="250"/>
      <c r="AR43" s="250"/>
      <c r="AS43" s="250"/>
      <c r="AT43" s="250"/>
      <c r="AU43" s="250"/>
      <c r="AV43" s="250"/>
      <c r="AW43" s="250"/>
      <c r="AX43" s="250"/>
      <c r="AY43" s="250"/>
      <c r="AZ43" s="250"/>
    </row>
    <row r="44" s="236" customFormat="true" ht="18.6" hidden="false" customHeight="false" outlineLevel="0" collapsed="false">
      <c r="A44" s="235"/>
      <c r="B44" s="235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35"/>
      <c r="R44" s="235"/>
      <c r="S44" s="235"/>
      <c r="T44" s="235"/>
      <c r="U44" s="235"/>
      <c r="V44" s="235"/>
      <c r="W44" s="235"/>
      <c r="X44" s="235"/>
      <c r="Y44" s="235"/>
      <c r="Z44" s="235"/>
      <c r="AA44" s="235"/>
      <c r="AB44" s="235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5"/>
      <c r="AP44" s="235"/>
      <c r="AQ44" s="235"/>
      <c r="AR44" s="235"/>
      <c r="AS44" s="235"/>
      <c r="AT44" s="235"/>
      <c r="AU44" s="235"/>
      <c r="AV44" s="235"/>
      <c r="AW44" s="235"/>
      <c r="AX44" s="235"/>
      <c r="AY44" s="235"/>
      <c r="AZ44" s="235"/>
    </row>
  </sheetData>
  <mergeCells count="23">
    <mergeCell ref="N1:N3"/>
    <mergeCell ref="B2:D4"/>
    <mergeCell ref="E2:F4"/>
    <mergeCell ref="H2:I4"/>
    <mergeCell ref="B8:B9"/>
    <mergeCell ref="D8:D9"/>
    <mergeCell ref="F8:F9"/>
    <mergeCell ref="H8:H9"/>
    <mergeCell ref="J8:J9"/>
    <mergeCell ref="B10:B13"/>
    <mergeCell ref="D10:D13"/>
    <mergeCell ref="F10:F13"/>
    <mergeCell ref="H10:H13"/>
    <mergeCell ref="J10:J13"/>
    <mergeCell ref="B16:J16"/>
    <mergeCell ref="B17:J30"/>
    <mergeCell ref="B33:J33"/>
    <mergeCell ref="B34:J34"/>
    <mergeCell ref="B35:J36"/>
    <mergeCell ref="B37:J38"/>
    <mergeCell ref="B39:J40"/>
    <mergeCell ref="B41:J42"/>
    <mergeCell ref="B43:J43"/>
  </mergeCells>
  <conditionalFormatting sqref="B14">
    <cfRule type="cellIs" priority="2" operator="equal" aboveAverage="0" equalAverage="0" bottom="0" percent="0" rank="0" text="" dxfId="41">
      <formula>"Bom"</formula>
    </cfRule>
    <cfRule type="cellIs" priority="3" operator="equal" aboveAverage="0" equalAverage="0" bottom="0" percent="0" rank="0" text="" dxfId="42">
      <formula>"Sensacional"</formula>
    </cfRule>
    <cfRule type="cellIs" priority="4" operator="equal" aboveAverage="0" equalAverage="0" bottom="0" percent="0" rank="0" text="" dxfId="43">
      <formula>"Ruim"</formula>
    </cfRule>
    <cfRule type="cellIs" priority="5" operator="equal" aboveAverage="0" equalAverage="0" bottom="0" percent="0" rank="0" text="" dxfId="44">
      <formula>"Péssimo"</formula>
    </cfRule>
    <cfRule type="cellIs" priority="6" operator="equal" aboveAverage="0" equalAverage="0" bottom="0" percent="0" rank="0" text="" dxfId="45">
      <formula>"Excelente"</formula>
    </cfRule>
  </conditionalFormatting>
  <conditionalFormatting sqref="D14">
    <cfRule type="cellIs" priority="7" operator="equal" aboveAverage="0" equalAverage="0" bottom="0" percent="0" rank="0" text="" dxfId="46">
      <formula>"Bom"</formula>
    </cfRule>
    <cfRule type="cellIs" priority="8" operator="equal" aboveAverage="0" equalAverage="0" bottom="0" percent="0" rank="0" text="" dxfId="47">
      <formula>"Sensacional"</formula>
    </cfRule>
    <cfRule type="cellIs" priority="9" operator="equal" aboveAverage="0" equalAverage="0" bottom="0" percent="0" rank="0" text="" dxfId="48">
      <formula>"Ruim"</formula>
    </cfRule>
    <cfRule type="cellIs" priority="10" operator="equal" aboveAverage="0" equalAverage="0" bottom="0" percent="0" rank="0" text="" dxfId="49">
      <formula>"Péssimo"</formula>
    </cfRule>
    <cfRule type="cellIs" priority="11" operator="equal" aboveAverage="0" equalAverage="0" bottom="0" percent="0" rank="0" text="" dxfId="50">
      <formula>"Excelente"</formula>
    </cfRule>
  </conditionalFormatting>
  <conditionalFormatting sqref="F14">
    <cfRule type="cellIs" priority="12" operator="equal" aboveAverage="0" equalAverage="0" bottom="0" percent="0" rank="0" text="" dxfId="51">
      <formula>"Bom"</formula>
    </cfRule>
    <cfRule type="cellIs" priority="13" operator="equal" aboveAverage="0" equalAverage="0" bottom="0" percent="0" rank="0" text="" dxfId="52">
      <formula>"Sensacional"</formula>
    </cfRule>
    <cfRule type="cellIs" priority="14" operator="equal" aboveAverage="0" equalAverage="0" bottom="0" percent="0" rank="0" text="" dxfId="53">
      <formula>"Ruim"</formula>
    </cfRule>
    <cfRule type="cellIs" priority="15" operator="equal" aboveAverage="0" equalAverage="0" bottom="0" percent="0" rank="0" text="" dxfId="54">
      <formula>"Péssimo"</formula>
    </cfRule>
    <cfRule type="cellIs" priority="16" operator="equal" aboveAverage="0" equalAverage="0" bottom="0" percent="0" rank="0" text="" dxfId="55">
      <formula>"Excelente"</formula>
    </cfRule>
  </conditionalFormatting>
  <dataValidations count="2">
    <dataValidation allowBlank="true" errorStyle="stop" operator="between" showDropDown="false" showErrorMessage="true" showInputMessage="true" sqref="H2:I4" type="list">
      <formula1>$T$8:$T$23</formula1>
      <formula2>0</formula2>
    </dataValidation>
    <dataValidation allowBlank="true" errorStyle="stop" operator="between" showDropDown="false" showErrorMessage="true" showInputMessage="true" sqref="E2:F4" type="list">
      <formula1>$U$11:$U$14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6796875" defaultRowHeight="14.4" zeroHeight="false" outlineLevelRow="0" outlineLevelCol="0"/>
  <cols>
    <col collapsed="false" customWidth="true" hidden="false" outlineLevel="0" max="1" min="1" style="2" width="0.67"/>
    <col collapsed="false" customWidth="true" hidden="false" outlineLevel="0" max="2" min="2" style="2" width="18.56"/>
    <col collapsed="false" customWidth="true" hidden="false" outlineLevel="0" max="4" min="3" style="2" width="18.44"/>
    <col collapsed="false" customWidth="false" hidden="false" outlineLevel="0" max="1024" min="5" style="2" width="8.67"/>
  </cols>
  <sheetData>
    <row r="1" s="15" customFormat="true" ht="17.7" hidden="false" customHeight="true" outlineLevel="0" collapsed="false">
      <c r="D1" s="16"/>
      <c r="E1" s="16"/>
      <c r="F1" s="16"/>
      <c r="K1" s="311" t="s">
        <v>0</v>
      </c>
      <c r="L1" s="311"/>
    </row>
    <row r="2" customFormat="false" ht="14.7" hidden="false" customHeight="true" outlineLevel="0" collapsed="false">
      <c r="K2" s="311"/>
      <c r="L2" s="311"/>
    </row>
    <row r="3" customFormat="false" ht="14.4" hidden="false" customHeight="false" outlineLevel="0" collapsed="false">
      <c r="K3" s="311"/>
      <c r="L3" s="311"/>
    </row>
    <row r="4" customFormat="false" ht="14.4" hidden="false" customHeight="false" outlineLevel="0" collapsed="false">
      <c r="B4" s="312"/>
      <c r="C4" s="313" t="s">
        <v>182</v>
      </c>
      <c r="D4" s="313" t="s">
        <v>53</v>
      </c>
    </row>
    <row r="5" customFormat="false" ht="14.4" hidden="false" customHeight="false" outlineLevel="0" collapsed="false">
      <c r="B5" s="314" t="s">
        <v>160</v>
      </c>
      <c r="C5" s="315" t="n">
        <f aca="false">'R.T - Fluxo de Caixa'!E8</f>
        <v>0</v>
      </c>
      <c r="D5" s="315" t="n">
        <f aca="false">'R.T - Fluxo de Caixa'!F8</f>
        <v>95289.72</v>
      </c>
    </row>
    <row r="6" customFormat="false" ht="14.4" hidden="false" customHeight="false" outlineLevel="0" collapsed="false">
      <c r="B6" s="314" t="s">
        <v>79</v>
      </c>
      <c r="C6" s="315" t="n">
        <f aca="false">'R.T - Fluxo de Caixa'!E27</f>
        <v>0</v>
      </c>
      <c r="D6" s="315" t="n">
        <f aca="false">'R.T - Fluxo de Caixa'!F27</f>
        <v>55166.83</v>
      </c>
    </row>
    <row r="7" customFormat="false" ht="14.4" hidden="false" customHeight="false" outlineLevel="0" collapsed="false">
      <c r="B7" s="314" t="s">
        <v>87</v>
      </c>
      <c r="C7" s="315" t="n">
        <f aca="false">'R.T - Fluxo de Caixa'!E48</f>
        <v>0</v>
      </c>
      <c r="D7" s="315" t="n">
        <f aca="false">'R.T - Fluxo de Caixa'!F48</f>
        <v>29969.37</v>
      </c>
    </row>
    <row r="8" customFormat="false" ht="14.4" hidden="false" customHeight="false" outlineLevel="0" collapsed="false">
      <c r="B8" s="314" t="s">
        <v>29</v>
      </c>
      <c r="C8" s="315" t="n">
        <f aca="false">'R.T - Fluxo de Caixa'!E106</f>
        <v>0</v>
      </c>
      <c r="D8" s="315" t="n">
        <f aca="false">'R.T - Fluxo de Caixa'!F106</f>
        <v>6025.42</v>
      </c>
    </row>
    <row r="9" customFormat="false" ht="14.4" hidden="false" customHeight="false" outlineLevel="0" collapsed="false">
      <c r="B9" s="314" t="s">
        <v>92</v>
      </c>
      <c r="C9" s="315" t="n">
        <f aca="false">C5-SUM(C6:C8)</f>
        <v>0</v>
      </c>
      <c r="D9" s="315" t="n">
        <f aca="false">D5-SUM(D6:D8)</f>
        <v>4128.09999999999</v>
      </c>
    </row>
  </sheetData>
  <mergeCells count="1">
    <mergeCell ref="K1:L3"/>
  </mergeCells>
  <hyperlinks>
    <hyperlink ref="K1" location="Menu!A1" display="MENU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21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X12" activeCellId="0" sqref="X12"/>
    </sheetView>
  </sheetViews>
  <sheetFormatPr defaultColWidth="9.34375" defaultRowHeight="16.8" zeroHeight="false" outlineLevelRow="0" outlineLevelCol="0"/>
  <cols>
    <col collapsed="false" customWidth="true" hidden="false" outlineLevel="0" max="1" min="1" style="316" width="1.56"/>
    <col collapsed="false" customWidth="true" hidden="false" outlineLevel="0" max="2" min="2" style="316" width="41"/>
    <col collapsed="false" customWidth="true" hidden="false" outlineLevel="0" max="3" min="3" style="316" width="0.56"/>
    <col collapsed="false" customWidth="true" hidden="true" outlineLevel="0" max="6" min="4" style="316" width="14.66"/>
    <col collapsed="false" customWidth="true" hidden="false" outlineLevel="0" max="12" min="7" style="316" width="15.66"/>
    <col collapsed="false" customWidth="true" hidden="false" outlineLevel="0" max="13" min="13" style="316" width="14.66"/>
    <col collapsed="false" customWidth="true" hidden="true" outlineLevel="0" max="14" min="14" style="316" width="15.66"/>
    <col collapsed="false" customWidth="true" hidden="true" outlineLevel="0" max="15" min="15" style="316" width="13.55"/>
    <col collapsed="false" customWidth="true" hidden="false" outlineLevel="0" max="21" min="16" style="316" width="14.66"/>
    <col collapsed="false" customWidth="true" hidden="true" outlineLevel="0" max="22" min="22" style="316" width="15.66"/>
    <col collapsed="false" customWidth="true" hidden="true" outlineLevel="0" max="23" min="23" style="316" width="13.55"/>
    <col collapsed="false" customWidth="true" hidden="false" outlineLevel="0" max="24" min="24" style="316" width="16.44"/>
    <col collapsed="false" customWidth="true" hidden="false" outlineLevel="0" max="25" min="25" style="316" width="12.33"/>
    <col collapsed="false" customWidth="true" hidden="false" outlineLevel="0" max="26" min="26" style="316" width="1.44"/>
    <col collapsed="false" customWidth="false" hidden="false" outlineLevel="0" max="1024" min="27" style="316" width="9.33"/>
  </cols>
  <sheetData>
    <row r="1" customFormat="false" ht="17.7" hidden="false" customHeight="true" outlineLevel="0" collapsed="false"/>
    <row r="3" customFormat="false" ht="4.5" hidden="false" customHeight="true" outlineLevel="0" collapsed="false"/>
    <row r="4" customFormat="false" ht="26.1" hidden="false" customHeight="true" outlineLevel="0" collapsed="false">
      <c r="B4" s="317" t="s">
        <v>70</v>
      </c>
      <c r="C4" s="318"/>
      <c r="D4" s="319" t="s">
        <v>183</v>
      </c>
      <c r="E4" s="320" t="s">
        <v>184</v>
      </c>
      <c r="F4" s="321" t="s">
        <v>185</v>
      </c>
      <c r="G4" s="322" t="s">
        <v>186</v>
      </c>
      <c r="H4" s="318" t="str">
        <f aca="false">"JAN"&amp;". "&amp;MID(Menu!L1,3,4)</f>
        <v>JAN. 23</v>
      </c>
      <c r="I4" s="318" t="str">
        <f aca="false">"FEV"&amp;". "&amp;MID(Menu!L1,3,4)</f>
        <v>FEV. 23</v>
      </c>
      <c r="J4" s="318" t="str">
        <f aca="false">"MAR"&amp;". "&amp;MID(Menu!L1,3,4)</f>
        <v>MAR. 23</v>
      </c>
      <c r="K4" s="318" t="str">
        <f aca="false">"ABR"&amp;". "&amp;MID(Menu!L1,3,4)</f>
        <v>ABR. 23</v>
      </c>
      <c r="L4" s="318" t="str">
        <f aca="false">"MAI"&amp;". "&amp;MID(Menu!L1,3,4)</f>
        <v>MAI. 23</v>
      </c>
      <c r="M4" s="318" t="str">
        <f aca="false">"JUN"&amp;". "&amp;MID(Menu!L1,3,4)</f>
        <v>JUN. 23</v>
      </c>
      <c r="N4" s="318"/>
      <c r="O4" s="318"/>
      <c r="P4" s="318" t="str">
        <f aca="false">"JUL"&amp;". "&amp;MID(Menu!L1,3,4)</f>
        <v>JUL. 23</v>
      </c>
      <c r="Q4" s="318" t="str">
        <f aca="false">"AGO"&amp;". "&amp;MID(Menu!L1,3,4)</f>
        <v>AGO. 23</v>
      </c>
      <c r="R4" s="318" t="str">
        <f aca="false">"SET"&amp;". "&amp;MID(Menu!L1,3,4)</f>
        <v>SET. 23</v>
      </c>
      <c r="S4" s="318" t="str">
        <f aca="false">"OUT"&amp;". "&amp;MID(Menu!L1,3,4)</f>
        <v>OUT. 23</v>
      </c>
      <c r="T4" s="318" t="str">
        <f aca="false">"NOV"&amp;". "&amp;MID(Menu!L1,3,4)</f>
        <v>NOV. 23</v>
      </c>
      <c r="U4" s="318" t="str">
        <f aca="false">"DEZ"&amp;". "&amp;MID(Menu!L1,3,4)</f>
        <v>DEZ. 23</v>
      </c>
      <c r="V4" s="318"/>
      <c r="W4" s="318"/>
      <c r="X4" s="318" t="str">
        <f aca="false">"MÉDIA"&amp;". "&amp;MID(Menu!L1,3,4)</f>
        <v>MÉDIA. 23</v>
      </c>
      <c r="Y4" s="318" t="s">
        <v>187</v>
      </c>
    </row>
    <row r="5" customFormat="false" ht="26.1" hidden="false" customHeight="true" outlineLevel="0" collapsed="false">
      <c r="B5" s="323"/>
      <c r="C5" s="324"/>
      <c r="D5" s="325"/>
      <c r="E5" s="326"/>
      <c r="F5" s="327"/>
      <c r="G5" s="328"/>
      <c r="H5" s="326"/>
      <c r="I5" s="326"/>
      <c r="J5" s="326"/>
      <c r="K5" s="326"/>
      <c r="L5" s="326"/>
      <c r="M5" s="326"/>
      <c r="N5" s="326"/>
      <c r="O5" s="329"/>
      <c r="P5" s="326"/>
      <c r="Q5" s="326"/>
      <c r="R5" s="326"/>
      <c r="S5" s="326"/>
      <c r="T5" s="326"/>
      <c r="U5" s="326"/>
      <c r="V5" s="326"/>
      <c r="W5" s="329"/>
      <c r="X5" s="326"/>
      <c r="Y5" s="329"/>
    </row>
    <row r="6" s="330" customFormat="true" ht="26.1" hidden="false" customHeight="true" outlineLevel="0" collapsed="false">
      <c r="B6" s="331" t="s">
        <v>76</v>
      </c>
      <c r="C6" s="331"/>
      <c r="D6" s="332" t="n">
        <v>204254.0225</v>
      </c>
      <c r="E6" s="333" t="n">
        <v>256014.555</v>
      </c>
      <c r="F6" s="334" t="n">
        <v>314232.985</v>
      </c>
      <c r="G6" s="334" t="n">
        <f aca="false">Consolidado!P6</f>
        <v>76947.49</v>
      </c>
      <c r="H6" s="333" t="n">
        <f aca="false">Consolidado!R6</f>
        <v>95289.72</v>
      </c>
      <c r="I6" s="333" t="n">
        <f aca="false">Consolidado!S6</f>
        <v>0</v>
      </c>
      <c r="J6" s="333" t="n">
        <f aca="false">Consolidado!T6</f>
        <v>0</v>
      </c>
      <c r="K6" s="333" t="n">
        <f aca="false">Consolidado!U6</f>
        <v>0</v>
      </c>
      <c r="L6" s="333" t="n">
        <f aca="false">Consolidado!V6</f>
        <v>0</v>
      </c>
      <c r="M6" s="333" t="n">
        <f aca="false">Consolidado!W6</f>
        <v>0</v>
      </c>
      <c r="N6" s="335"/>
      <c r="O6" s="336"/>
      <c r="P6" s="333" t="n">
        <f aca="false">Consolidado!Z6</f>
        <v>0</v>
      </c>
      <c r="Q6" s="333" t="n">
        <f aca="false">Consolidado!AA6</f>
        <v>0</v>
      </c>
      <c r="R6" s="333" t="n">
        <f aca="false">Consolidado!AB6</f>
        <v>0</v>
      </c>
      <c r="S6" s="333" t="n">
        <f aca="false">Consolidado!AC6</f>
        <v>0</v>
      </c>
      <c r="T6" s="333" t="n">
        <f aca="false">Consolidado!AD6</f>
        <v>0</v>
      </c>
      <c r="U6" s="333" t="n">
        <f aca="false">Consolidado!AE6</f>
        <v>0</v>
      </c>
      <c r="V6" s="335"/>
      <c r="W6" s="336"/>
      <c r="X6" s="335" t="n">
        <f aca="false">AVERAGE(H6:U6)</f>
        <v>7940.81</v>
      </c>
      <c r="Y6" s="336" t="n">
        <f aca="false">(X6-G6)/G6</f>
        <v>-0.896802221878842</v>
      </c>
    </row>
    <row r="7" s="330" customFormat="true" ht="26.1" hidden="false" customHeight="true" outlineLevel="0" collapsed="false">
      <c r="B7" s="337" t="s">
        <v>87</v>
      </c>
      <c r="C7" s="338"/>
      <c r="D7" s="339" t="n">
        <v>66668.3525</v>
      </c>
      <c r="E7" s="339" t="n">
        <v>84147.5383333333</v>
      </c>
      <c r="F7" s="340" t="n">
        <v>88431.2508333333</v>
      </c>
      <c r="G7" s="340" t="n">
        <f aca="false">Consolidado!P18</f>
        <v>29441.6216666667</v>
      </c>
      <c r="H7" s="339" t="n">
        <f aca="false">Consolidado!R18</f>
        <v>29969.37</v>
      </c>
      <c r="I7" s="339" t="n">
        <f aca="false">Consolidado!S18</f>
        <v>0</v>
      </c>
      <c r="J7" s="339" t="n">
        <f aca="false">Consolidado!T18</f>
        <v>0</v>
      </c>
      <c r="K7" s="339" t="n">
        <f aca="false">Consolidado!U18</f>
        <v>0</v>
      </c>
      <c r="L7" s="339" t="n">
        <f aca="false">Consolidado!V18</f>
        <v>0</v>
      </c>
      <c r="M7" s="339" t="n">
        <f aca="false">Consolidado!W18</f>
        <v>0</v>
      </c>
      <c r="N7" s="341"/>
      <c r="O7" s="342"/>
      <c r="P7" s="339" t="n">
        <f aca="false">Consolidado!Z18</f>
        <v>0</v>
      </c>
      <c r="Q7" s="339" t="n">
        <f aca="false">Consolidado!AA18</f>
        <v>0</v>
      </c>
      <c r="R7" s="339" t="n">
        <f aca="false">Consolidado!AB18</f>
        <v>0</v>
      </c>
      <c r="S7" s="339" t="n">
        <f aca="false">Consolidado!AC18</f>
        <v>0</v>
      </c>
      <c r="T7" s="339" t="n">
        <f aca="false">Consolidado!AD18</f>
        <v>0</v>
      </c>
      <c r="U7" s="339" t="n">
        <f aca="false">Consolidado!AE18</f>
        <v>0</v>
      </c>
      <c r="V7" s="341"/>
      <c r="W7" s="342"/>
      <c r="X7" s="341" t="n">
        <f aca="false">AVERAGE(H7:U7)</f>
        <v>2497.4475</v>
      </c>
      <c r="Y7" s="342" t="n">
        <f aca="false">(X7-G7)/G7</f>
        <v>-0.915172896103492</v>
      </c>
      <c r="AA7" s="343"/>
      <c r="AB7" s="343"/>
      <c r="AC7" s="343"/>
      <c r="AD7" s="343"/>
    </row>
    <row r="8" s="15" customFormat="true" ht="26.1" hidden="false" customHeight="true" outlineLevel="0" collapsed="false">
      <c r="B8" s="344" t="s">
        <v>88</v>
      </c>
      <c r="C8" s="344"/>
      <c r="D8" s="345" t="n">
        <v>32769.625</v>
      </c>
      <c r="E8" s="346" t="n">
        <v>38410.1041666667</v>
      </c>
      <c r="F8" s="347" t="n">
        <v>39063.6383333333</v>
      </c>
      <c r="G8" s="348" t="n">
        <f aca="false">Consolidado!P19</f>
        <v>16560.9783333333</v>
      </c>
      <c r="H8" s="346" t="n">
        <f aca="false">Consolidado!R19</f>
        <v>13481.32</v>
      </c>
      <c r="I8" s="346" t="n">
        <f aca="false">Consolidado!S19</f>
        <v>0</v>
      </c>
      <c r="J8" s="346" t="n">
        <f aca="false">Consolidado!T19</f>
        <v>0</v>
      </c>
      <c r="K8" s="346" t="n">
        <f aca="false">Consolidado!U19</f>
        <v>0</v>
      </c>
      <c r="L8" s="346" t="n">
        <f aca="false">Consolidado!V19</f>
        <v>0</v>
      </c>
      <c r="M8" s="346" t="n">
        <f aca="false">Consolidado!W19</f>
        <v>0</v>
      </c>
      <c r="N8" s="349"/>
      <c r="O8" s="350"/>
      <c r="P8" s="346" t="n">
        <f aca="false">Consolidado!Z19</f>
        <v>0</v>
      </c>
      <c r="Q8" s="346" t="n">
        <f aca="false">Consolidado!AA19</f>
        <v>0</v>
      </c>
      <c r="R8" s="346" t="n">
        <f aca="false">Consolidado!AB19</f>
        <v>0</v>
      </c>
      <c r="S8" s="346" t="n">
        <f aca="false">Consolidado!AC19</f>
        <v>0</v>
      </c>
      <c r="T8" s="346" t="n">
        <f aca="false">Consolidado!AD19</f>
        <v>0</v>
      </c>
      <c r="U8" s="346" t="n">
        <f aca="false">Consolidado!AE19</f>
        <v>0</v>
      </c>
      <c r="V8" s="349"/>
      <c r="W8" s="350"/>
      <c r="X8" s="349" t="n">
        <f aca="false">AVERAGE(H8:U8)</f>
        <v>1123.44333333333</v>
      </c>
      <c r="Y8" s="350" t="n">
        <f aca="false">(X8-G8)/G8</f>
        <v>-0.932163226669278</v>
      </c>
    </row>
    <row r="9" s="15" customFormat="true" ht="26.1" hidden="false" customHeight="true" outlineLevel="0" collapsed="false">
      <c r="B9" s="344" t="s">
        <v>89</v>
      </c>
      <c r="C9" s="344"/>
      <c r="D9" s="345" t="n">
        <v>33898.7275</v>
      </c>
      <c r="E9" s="346" t="n">
        <v>45737.4341666667</v>
      </c>
      <c r="F9" s="347" t="n">
        <v>49367.6125</v>
      </c>
      <c r="G9" s="348" t="n">
        <f aca="false">Consolidado!P20</f>
        <v>12880.6433333333</v>
      </c>
      <c r="H9" s="346" t="n">
        <f aca="false">Consolidado!R20</f>
        <v>16488.05</v>
      </c>
      <c r="I9" s="346" t="n">
        <f aca="false">Consolidado!S20</f>
        <v>0</v>
      </c>
      <c r="J9" s="346" t="n">
        <f aca="false">Consolidado!T20</f>
        <v>0</v>
      </c>
      <c r="K9" s="346" t="n">
        <f aca="false">Consolidado!U20</f>
        <v>0</v>
      </c>
      <c r="L9" s="346" t="n">
        <f aca="false">Consolidado!V20</f>
        <v>0</v>
      </c>
      <c r="M9" s="346" t="n">
        <f aca="false">Consolidado!W20</f>
        <v>0</v>
      </c>
      <c r="N9" s="349"/>
      <c r="O9" s="350"/>
      <c r="P9" s="346" t="n">
        <f aca="false">Consolidado!Z20</f>
        <v>0</v>
      </c>
      <c r="Q9" s="346" t="n">
        <f aca="false">Consolidado!AA20</f>
        <v>0</v>
      </c>
      <c r="R9" s="346" t="n">
        <f aca="false">Consolidado!AB20</f>
        <v>0</v>
      </c>
      <c r="S9" s="346" t="n">
        <f aca="false">Consolidado!AC20</f>
        <v>0</v>
      </c>
      <c r="T9" s="346" t="n">
        <f aca="false">Consolidado!AD20</f>
        <v>0</v>
      </c>
      <c r="U9" s="346" t="n">
        <f aca="false">Consolidado!AE20</f>
        <v>0</v>
      </c>
      <c r="V9" s="349"/>
      <c r="W9" s="350"/>
      <c r="X9" s="349" t="n">
        <f aca="false">AVERAGE(H9:U9)</f>
        <v>1374.00416666667</v>
      </c>
      <c r="Y9" s="350" t="n">
        <f aca="false">(X9-G9)/G9</f>
        <v>-0.893327985946872</v>
      </c>
    </row>
    <row r="10" s="330" customFormat="true" ht="26.1" hidden="false" customHeight="true" outlineLevel="0" collapsed="false">
      <c r="B10" s="337" t="s">
        <v>90</v>
      </c>
      <c r="C10" s="337"/>
      <c r="D10" s="351" t="n">
        <v>32565.5705</v>
      </c>
      <c r="E10" s="339" t="n">
        <v>38236.8741666667</v>
      </c>
      <c r="F10" s="340" t="n">
        <v>61792.4416666667</v>
      </c>
      <c r="G10" s="352" t="n">
        <f aca="false">Consolidado!P22</f>
        <v>3560.11833333333</v>
      </c>
      <c r="H10" s="339" t="n">
        <f aca="false">Consolidado!R22</f>
        <v>10153.52</v>
      </c>
      <c r="I10" s="339" t="n">
        <f aca="false">Consolidado!S22</f>
        <v>0</v>
      </c>
      <c r="J10" s="339" t="n">
        <f aca="false">Consolidado!T22</f>
        <v>0</v>
      </c>
      <c r="K10" s="339" t="n">
        <f aca="false">Consolidado!U22</f>
        <v>0</v>
      </c>
      <c r="L10" s="339" t="n">
        <f aca="false">Consolidado!V22</f>
        <v>0</v>
      </c>
      <c r="M10" s="339" t="n">
        <f aca="false">Consolidado!W22</f>
        <v>0</v>
      </c>
      <c r="N10" s="349"/>
      <c r="O10" s="342"/>
      <c r="P10" s="339" t="n">
        <f aca="false">Consolidado!Z22</f>
        <v>0</v>
      </c>
      <c r="Q10" s="339" t="n">
        <f aca="false">Consolidado!AA22</f>
        <v>0</v>
      </c>
      <c r="R10" s="339" t="n">
        <f aca="false">Consolidado!AB22</f>
        <v>0</v>
      </c>
      <c r="S10" s="339" t="n">
        <f aca="false">Consolidado!AC22</f>
        <v>0</v>
      </c>
      <c r="T10" s="339" t="n">
        <f aca="false">Consolidado!AD22</f>
        <v>0</v>
      </c>
      <c r="U10" s="339" t="n">
        <f aca="false">Consolidado!AE22</f>
        <v>0</v>
      </c>
      <c r="V10" s="349"/>
      <c r="W10" s="342"/>
      <c r="X10" s="341" t="n">
        <f aca="false">AVERAGE(H10:U10)</f>
        <v>846.126666666666</v>
      </c>
      <c r="Y10" s="342" t="n">
        <f aca="false">(X10-G10)/G10</f>
        <v>-0.762331870054881</v>
      </c>
      <c r="AA10" s="353"/>
      <c r="AB10" s="353"/>
      <c r="AC10" s="353"/>
      <c r="AD10" s="353"/>
    </row>
    <row r="11" s="330" customFormat="true" ht="26.1" hidden="false" customHeight="true" outlineLevel="0" collapsed="false">
      <c r="B11" s="354" t="s">
        <v>92</v>
      </c>
      <c r="C11" s="354"/>
      <c r="D11" s="355" t="n">
        <v>29436.8533333333</v>
      </c>
      <c r="E11" s="356" t="n">
        <v>38011.135</v>
      </c>
      <c r="F11" s="357" t="n">
        <v>33871.2025</v>
      </c>
      <c r="G11" s="358" t="n">
        <f aca="false">Consolidado!P26</f>
        <v>-1530.98166666667</v>
      </c>
      <c r="H11" s="339" t="n">
        <f aca="false">Consolidado!R26</f>
        <v>4128.09999999999</v>
      </c>
      <c r="I11" s="339" t="n">
        <f aca="false">Consolidado!S26</f>
        <v>0</v>
      </c>
      <c r="J11" s="339" t="n">
        <f aca="false">Consolidado!T26</f>
        <v>0</v>
      </c>
      <c r="K11" s="339" t="n">
        <f aca="false">Consolidado!U26</f>
        <v>0</v>
      </c>
      <c r="L11" s="339" t="n">
        <f aca="false">Consolidado!V26</f>
        <v>0</v>
      </c>
      <c r="M11" s="339" t="n">
        <f aca="false">Consolidado!W26</f>
        <v>0</v>
      </c>
      <c r="N11" s="349"/>
      <c r="O11" s="342"/>
      <c r="P11" s="339" t="n">
        <f aca="false">Consolidado!Z26</f>
        <v>0</v>
      </c>
      <c r="Q11" s="339" t="n">
        <f aca="false">Consolidado!AA26</f>
        <v>0</v>
      </c>
      <c r="R11" s="339" t="n">
        <f aca="false">Consolidado!AB26</f>
        <v>0</v>
      </c>
      <c r="S11" s="339" t="n">
        <f aca="false">Consolidado!AC26</f>
        <v>0</v>
      </c>
      <c r="T11" s="339" t="n">
        <f aca="false">Consolidado!AD26</f>
        <v>0</v>
      </c>
      <c r="U11" s="339" t="n">
        <f aca="false">Consolidado!AE26</f>
        <v>0</v>
      </c>
      <c r="V11" s="349"/>
      <c r="W11" s="342"/>
      <c r="X11" s="341" t="n">
        <f aca="false">AVERAGE(H11:U11)</f>
        <v>344.008333333332</v>
      </c>
      <c r="Y11" s="342" t="n">
        <f aca="false">(X11-G11)/G11</f>
        <v>-1.22469787902969</v>
      </c>
    </row>
    <row r="12" s="330" customFormat="true" ht="26.1" hidden="false" customHeight="true" outlineLevel="0" collapsed="false">
      <c r="B12" s="359"/>
      <c r="C12" s="359"/>
      <c r="D12" s="360"/>
      <c r="E12" s="360"/>
      <c r="F12" s="360"/>
      <c r="G12" s="360"/>
      <c r="H12" s="360"/>
      <c r="I12" s="360"/>
      <c r="J12" s="360"/>
      <c r="K12" s="360"/>
      <c r="L12" s="360"/>
      <c r="M12" s="360"/>
      <c r="N12" s="360"/>
      <c r="O12" s="361"/>
      <c r="P12" s="360"/>
      <c r="Q12" s="360"/>
      <c r="R12" s="360"/>
      <c r="S12" s="360"/>
      <c r="T12" s="360"/>
      <c r="U12" s="360"/>
      <c r="V12" s="360"/>
      <c r="W12" s="361"/>
      <c r="X12" s="360"/>
      <c r="Y12" s="361"/>
    </row>
    <row r="13" s="330" customFormat="true" ht="26.1" hidden="false" customHeight="true" outlineLevel="0" collapsed="false">
      <c r="B13" s="362" t="s">
        <v>188</v>
      </c>
      <c r="C13" s="363"/>
      <c r="D13" s="364" t="n">
        <v>15.5</v>
      </c>
      <c r="E13" s="364" t="n">
        <v>19.6666666666667</v>
      </c>
      <c r="F13" s="364" t="n">
        <v>19.6666666666667</v>
      </c>
      <c r="G13" s="364" t="n">
        <v>32.75</v>
      </c>
      <c r="H13" s="364" t="n">
        <v>36</v>
      </c>
      <c r="I13" s="364" t="n">
        <f aca="false">3+25+8</f>
        <v>36</v>
      </c>
      <c r="J13" s="364" t="n">
        <f aca="false">25+3+8</f>
        <v>36</v>
      </c>
      <c r="K13" s="364" t="n">
        <f aca="false">25+3+8</f>
        <v>36</v>
      </c>
      <c r="L13" s="364" t="n">
        <v>35</v>
      </c>
      <c r="M13" s="364" t="n">
        <v>34</v>
      </c>
      <c r="N13" s="365"/>
      <c r="O13" s="365"/>
      <c r="P13" s="364" t="n">
        <v>37</v>
      </c>
      <c r="Q13" s="364" t="n">
        <v>38</v>
      </c>
      <c r="R13" s="364" t="n">
        <v>37</v>
      </c>
      <c r="S13" s="364" t="n">
        <v>36</v>
      </c>
      <c r="T13" s="364" t="n">
        <f aca="false">8+24+4</f>
        <v>36</v>
      </c>
      <c r="U13" s="364" t="n">
        <f aca="false">23+4+8</f>
        <v>35</v>
      </c>
      <c r="V13" s="365"/>
      <c r="W13" s="365"/>
      <c r="X13" s="364" t="n">
        <f aca="false">AVERAGE(H13:U13)</f>
        <v>36</v>
      </c>
      <c r="Y13" s="366" t="n">
        <f aca="false">(X13-G13)/G13</f>
        <v>0.0992366412213741</v>
      </c>
    </row>
    <row r="14" customFormat="false" ht="26.1" hidden="false" customHeight="true" outlineLevel="0" collapsed="false">
      <c r="X14" s="360"/>
    </row>
    <row r="15" s="330" customFormat="true" ht="26.1" hidden="false" customHeight="true" outlineLevel="0" collapsed="false">
      <c r="B15" s="331" t="s">
        <v>189</v>
      </c>
      <c r="C15" s="331"/>
      <c r="D15" s="367" t="n">
        <f aca="false">D6/D$13</f>
        <v>13177.6788709677</v>
      </c>
      <c r="E15" s="368" t="n">
        <f aca="false">E6/E$13</f>
        <v>13017.6892372881</v>
      </c>
      <c r="F15" s="369" t="n">
        <f aca="false">F6/F$13</f>
        <v>15977.9483898305</v>
      </c>
      <c r="G15" s="370" t="n">
        <f aca="false">G6/G$13</f>
        <v>2349.54167938931</v>
      </c>
      <c r="H15" s="333" t="n">
        <f aca="false">H6/H$13</f>
        <v>2646.93666666667</v>
      </c>
      <c r="I15" s="333" t="n">
        <f aca="false">I6/I$13</f>
        <v>0</v>
      </c>
      <c r="J15" s="333" t="n">
        <f aca="false">J6/J$13</f>
        <v>0</v>
      </c>
      <c r="K15" s="333" t="n">
        <f aca="false">K6/K$13</f>
        <v>0</v>
      </c>
      <c r="L15" s="333" t="n">
        <f aca="false">L6/L$13</f>
        <v>0</v>
      </c>
      <c r="M15" s="333" t="n">
        <f aca="false">M6/M$13</f>
        <v>0</v>
      </c>
      <c r="N15" s="335"/>
      <c r="O15" s="336"/>
      <c r="P15" s="333" t="n">
        <f aca="false">P6/P$13</f>
        <v>0</v>
      </c>
      <c r="Q15" s="333" t="n">
        <f aca="false">Q6/Q$13</f>
        <v>0</v>
      </c>
      <c r="R15" s="333" t="n">
        <f aca="false">R6/R$13</f>
        <v>0</v>
      </c>
      <c r="S15" s="333" t="n">
        <f aca="false">S6/S$13</f>
        <v>0</v>
      </c>
      <c r="T15" s="333" t="n">
        <f aca="false">T6/T$13</f>
        <v>0</v>
      </c>
      <c r="U15" s="333" t="n">
        <f aca="false">IF(U$13=0,"",U6/U$13)</f>
        <v>0</v>
      </c>
      <c r="V15" s="335"/>
      <c r="W15" s="336"/>
      <c r="X15" s="335" t="n">
        <f aca="false">AVERAGE(H15:U15)</f>
        <v>220.578055555556</v>
      </c>
      <c r="Y15" s="336" t="n">
        <f aca="false">(X15-G15)/G15</f>
        <v>-0.906118687959225</v>
      </c>
    </row>
    <row r="16" s="330" customFormat="true" ht="26.1" hidden="false" customHeight="true" outlineLevel="0" collapsed="false">
      <c r="B16" s="337" t="s">
        <v>190</v>
      </c>
      <c r="C16" s="337"/>
      <c r="D16" s="351" t="n">
        <f aca="false">D7/D$13</f>
        <v>4301.18403225806</v>
      </c>
      <c r="E16" s="339" t="n">
        <f aca="false">E7/E$13</f>
        <v>4278.68838983051</v>
      </c>
      <c r="F16" s="340" t="n">
        <f aca="false">F7/F$13</f>
        <v>4496.50427966102</v>
      </c>
      <c r="G16" s="352" t="n">
        <f aca="false">G7/G$13</f>
        <v>898.980814249364</v>
      </c>
      <c r="H16" s="339" t="n">
        <f aca="false">H7/H$13</f>
        <v>832.4825</v>
      </c>
      <c r="I16" s="339" t="n">
        <f aca="false">I7/I$13</f>
        <v>0</v>
      </c>
      <c r="J16" s="339" t="n">
        <f aca="false">J7/J$13</f>
        <v>0</v>
      </c>
      <c r="K16" s="339" t="n">
        <f aca="false">K7/K$13</f>
        <v>0</v>
      </c>
      <c r="L16" s="339" t="n">
        <f aca="false">L7/L$13</f>
        <v>0</v>
      </c>
      <c r="M16" s="339" t="n">
        <f aca="false">M7/M$13</f>
        <v>0</v>
      </c>
      <c r="N16" s="341"/>
      <c r="O16" s="342"/>
      <c r="P16" s="339" t="n">
        <f aca="false">P7/P$13</f>
        <v>0</v>
      </c>
      <c r="Q16" s="339" t="n">
        <f aca="false">Q7/Q$13</f>
        <v>0</v>
      </c>
      <c r="R16" s="339" t="n">
        <f aca="false">R7/R$13</f>
        <v>0</v>
      </c>
      <c r="S16" s="339" t="n">
        <f aca="false">S7/S$13</f>
        <v>0</v>
      </c>
      <c r="T16" s="339" t="n">
        <f aca="false">T7/T$13</f>
        <v>0</v>
      </c>
      <c r="U16" s="339" t="n">
        <f aca="false">IF(U$13=0,"",U7/U$13)</f>
        <v>0</v>
      </c>
      <c r="V16" s="341"/>
      <c r="W16" s="342"/>
      <c r="X16" s="341" t="n">
        <f aca="false">AVERAGE(H16:U16)</f>
        <v>69.3735416666667</v>
      </c>
      <c r="Y16" s="342" t="n">
        <f aca="false">(X16-G16)/G16</f>
        <v>-0.922830898538594</v>
      </c>
      <c r="AA16" s="343"/>
      <c r="AB16" s="343"/>
      <c r="AC16" s="343"/>
      <c r="AD16" s="343"/>
    </row>
    <row r="17" s="15" customFormat="true" ht="26.1" hidden="false" customHeight="true" outlineLevel="0" collapsed="false">
      <c r="B17" s="344" t="s">
        <v>191</v>
      </c>
      <c r="C17" s="344"/>
      <c r="D17" s="371" t="n">
        <f aca="false">D8/D$13</f>
        <v>2114.16935483871</v>
      </c>
      <c r="E17" s="372" t="n">
        <f aca="false">E8/E$13</f>
        <v>1953.0561440678</v>
      </c>
      <c r="F17" s="373" t="n">
        <f aca="false">F8/F$13</f>
        <v>1986.28669491525</v>
      </c>
      <c r="G17" s="374" t="n">
        <f aca="false">G8/G$13</f>
        <v>505.678727735369</v>
      </c>
      <c r="H17" s="372" t="n">
        <f aca="false">H8/H$13</f>
        <v>374.481111111111</v>
      </c>
      <c r="I17" s="372" t="n">
        <f aca="false">I8/I$13</f>
        <v>0</v>
      </c>
      <c r="J17" s="372" t="n">
        <f aca="false">J8/J$13</f>
        <v>0</v>
      </c>
      <c r="K17" s="372" t="n">
        <f aca="false">K8/K$13</f>
        <v>0</v>
      </c>
      <c r="L17" s="372" t="n">
        <f aca="false">L8/L$13</f>
        <v>0</v>
      </c>
      <c r="M17" s="372" t="n">
        <f aca="false">M8/M$13</f>
        <v>0</v>
      </c>
      <c r="N17" s="375"/>
      <c r="O17" s="376"/>
      <c r="P17" s="372" t="n">
        <f aca="false">P8/P$13</f>
        <v>0</v>
      </c>
      <c r="Q17" s="372" t="n">
        <f aca="false">Q8/Q$13</f>
        <v>0</v>
      </c>
      <c r="R17" s="372" t="n">
        <f aca="false">R8/R$13</f>
        <v>0</v>
      </c>
      <c r="S17" s="372" t="n">
        <f aca="false">S8/S$13</f>
        <v>0</v>
      </c>
      <c r="T17" s="372" t="n">
        <f aca="false">T8/T$13</f>
        <v>0</v>
      </c>
      <c r="U17" s="372" t="n">
        <f aca="false">IF(U$13=0,"",U8/U$13)</f>
        <v>0</v>
      </c>
      <c r="V17" s="375"/>
      <c r="W17" s="376"/>
      <c r="X17" s="375" t="n">
        <f aca="false">AVERAGE(H17:U17)</f>
        <v>31.2067592592593</v>
      </c>
      <c r="Y17" s="377" t="n">
        <f aca="false">(X17-G17)/G17</f>
        <v>-0.93828737981719</v>
      </c>
    </row>
    <row r="18" s="15" customFormat="true" ht="26.1" hidden="false" customHeight="true" outlineLevel="0" collapsed="false">
      <c r="B18" s="344" t="s">
        <v>192</v>
      </c>
      <c r="C18" s="344"/>
      <c r="D18" s="371" t="n">
        <f aca="false">D9/D$13</f>
        <v>2187.01467741935</v>
      </c>
      <c r="E18" s="372" t="n">
        <f aca="false">E9/E$13</f>
        <v>2325.63224576271</v>
      </c>
      <c r="F18" s="373" t="n">
        <f aca="false">F9/F$13</f>
        <v>2510.21758474576</v>
      </c>
      <c r="G18" s="374" t="n">
        <f aca="false">G9/G$13</f>
        <v>393.302086513995</v>
      </c>
      <c r="H18" s="372" t="n">
        <f aca="false">H9/H$13</f>
        <v>458.001388888889</v>
      </c>
      <c r="I18" s="372" t="n">
        <f aca="false">I9/I$13</f>
        <v>0</v>
      </c>
      <c r="J18" s="372" t="n">
        <f aca="false">J9/J$13</f>
        <v>0</v>
      </c>
      <c r="K18" s="372" t="n">
        <f aca="false">K9/K$13</f>
        <v>0</v>
      </c>
      <c r="L18" s="372" t="n">
        <f aca="false">L9/L$13</f>
        <v>0</v>
      </c>
      <c r="M18" s="372" t="n">
        <f aca="false">M9/M$13</f>
        <v>0</v>
      </c>
      <c r="N18" s="375"/>
      <c r="O18" s="376"/>
      <c r="P18" s="372" t="n">
        <f aca="false">P9/P$13</f>
        <v>0</v>
      </c>
      <c r="Q18" s="372" t="n">
        <f aca="false">Q9/Q$13</f>
        <v>0</v>
      </c>
      <c r="R18" s="372" t="n">
        <f aca="false">R9/R$13</f>
        <v>0</v>
      </c>
      <c r="S18" s="372" t="n">
        <f aca="false">S9/S$13</f>
        <v>0</v>
      </c>
      <c r="T18" s="372" t="n">
        <f aca="false">T9/T$13</f>
        <v>0</v>
      </c>
      <c r="U18" s="372" t="n">
        <f aca="false">IF(U$13=0,"",U9/U$13)</f>
        <v>0</v>
      </c>
      <c r="V18" s="375"/>
      <c r="W18" s="376"/>
      <c r="X18" s="375" t="n">
        <f aca="false">AVERAGE(H18:U18)</f>
        <v>38.1667824074074</v>
      </c>
      <c r="Y18" s="377" t="n">
        <f aca="false">(X18-G18)/G18</f>
        <v>-0.902958098326668</v>
      </c>
    </row>
    <row r="19" s="330" customFormat="true" ht="26.1" hidden="false" customHeight="true" outlineLevel="0" collapsed="false">
      <c r="B19" s="337" t="s">
        <v>193</v>
      </c>
      <c r="C19" s="337"/>
      <c r="D19" s="351" t="n">
        <f aca="false">D10/D$13</f>
        <v>2101.0045483871</v>
      </c>
      <c r="E19" s="339" t="n">
        <f aca="false">E10/E$13</f>
        <v>1944.24783898305</v>
      </c>
      <c r="F19" s="340" t="n">
        <f aca="false">F10/F$13</f>
        <v>3141.98855932203</v>
      </c>
      <c r="G19" s="352" t="n">
        <f aca="false">G10/G$13</f>
        <v>108.705903307888</v>
      </c>
      <c r="H19" s="339" t="n">
        <f aca="false">H10/H$13</f>
        <v>282.042222222222</v>
      </c>
      <c r="I19" s="339" t="n">
        <f aca="false">I10/I$13</f>
        <v>0</v>
      </c>
      <c r="J19" s="339" t="n">
        <f aca="false">J10/J$13</f>
        <v>0</v>
      </c>
      <c r="K19" s="339" t="n">
        <f aca="false">K10/K$13</f>
        <v>0</v>
      </c>
      <c r="L19" s="339" t="n">
        <f aca="false">L10/L$13</f>
        <v>0</v>
      </c>
      <c r="M19" s="339" t="n">
        <f aca="false">M10/M$13</f>
        <v>0</v>
      </c>
      <c r="N19" s="341"/>
      <c r="O19" s="342"/>
      <c r="P19" s="339" t="n">
        <f aca="false">P10/P$13</f>
        <v>0</v>
      </c>
      <c r="Q19" s="339" t="n">
        <f aca="false">Q10/Q$13</f>
        <v>0</v>
      </c>
      <c r="R19" s="339" t="n">
        <f aca="false">R10/R$13</f>
        <v>0</v>
      </c>
      <c r="S19" s="339" t="n">
        <f aca="false">S10/S$13</f>
        <v>0</v>
      </c>
      <c r="T19" s="339" t="n">
        <f aca="false">T10/T$13</f>
        <v>0</v>
      </c>
      <c r="U19" s="339" t="n">
        <f aca="false">IF(U$13=0,"",U10/U$13)</f>
        <v>0</v>
      </c>
      <c r="V19" s="341"/>
      <c r="W19" s="342"/>
      <c r="X19" s="341" t="n">
        <f aca="false">AVERAGE(H19:U19)</f>
        <v>23.5035185185185</v>
      </c>
      <c r="Y19" s="342" t="n">
        <f aca="false">(X19-G19)/G19</f>
        <v>-0.783788020674927</v>
      </c>
      <c r="AA19" s="353"/>
      <c r="AB19" s="353"/>
      <c r="AC19" s="353"/>
      <c r="AD19" s="353"/>
    </row>
    <row r="20" s="330" customFormat="true" ht="26.1" hidden="false" customHeight="true" outlineLevel="0" collapsed="false">
      <c r="B20" s="337" t="s">
        <v>194</v>
      </c>
      <c r="C20" s="337"/>
      <c r="D20" s="355" t="n">
        <f aca="false">D11/D$13</f>
        <v>1899.15182795699</v>
      </c>
      <c r="E20" s="356" t="n">
        <f aca="false">E11/E$13</f>
        <v>1932.76957627119</v>
      </c>
      <c r="F20" s="357" t="n">
        <f aca="false">F11/F$13</f>
        <v>1722.2645338983</v>
      </c>
      <c r="G20" s="378" t="n">
        <f aca="false">G11/G$13</f>
        <v>-46.7475318066158</v>
      </c>
      <c r="H20" s="339" t="n">
        <f aca="false">H11/H$13</f>
        <v>114.669444444444</v>
      </c>
      <c r="I20" s="339" t="n">
        <f aca="false">I11/I$13</f>
        <v>0</v>
      </c>
      <c r="J20" s="339" t="n">
        <f aca="false">J11/J$13</f>
        <v>0</v>
      </c>
      <c r="K20" s="339" t="n">
        <f aca="false">K11/K$13</f>
        <v>0</v>
      </c>
      <c r="L20" s="339" t="n">
        <f aca="false">L11/L$13</f>
        <v>0</v>
      </c>
      <c r="M20" s="339" t="n">
        <f aca="false">M11/M$13</f>
        <v>0</v>
      </c>
      <c r="N20" s="341"/>
      <c r="O20" s="342"/>
      <c r="P20" s="339" t="n">
        <f aca="false">P11/P$13</f>
        <v>0</v>
      </c>
      <c r="Q20" s="339" t="n">
        <f aca="false">Q11/Q$13</f>
        <v>0</v>
      </c>
      <c r="R20" s="339" t="n">
        <f aca="false">R11/R$13</f>
        <v>0</v>
      </c>
      <c r="S20" s="339" t="n">
        <f aca="false">S11/S$13</f>
        <v>0</v>
      </c>
      <c r="T20" s="339" t="n">
        <f aca="false">T11/T$13</f>
        <v>0</v>
      </c>
      <c r="U20" s="339" t="n">
        <f aca="false">IF(U$13=0,"",U11/U$13)</f>
        <v>0</v>
      </c>
      <c r="V20" s="341"/>
      <c r="W20" s="342"/>
      <c r="X20" s="341" t="n">
        <f aca="false">AVERAGE(H20:U20)</f>
        <v>9.55578703703701</v>
      </c>
      <c r="Y20" s="342" t="n">
        <f aca="false">(X20-G20)/G20</f>
        <v>-1.20441265383951</v>
      </c>
    </row>
    <row r="21" customFormat="false" ht="17.25" hidden="false" customHeight="true" outlineLevel="0" collapsed="false"/>
  </sheetData>
  <mergeCells count="2">
    <mergeCell ref="N13:O13"/>
    <mergeCell ref="V13:W1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LibreOffice/7.1.8.1$Linux_X86_64 LibreOffice_project/10$Build-1</Application>
  <AppVersion>15.0000</AppVersion>
  <DocSecurity>1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2014-01-13T15:22:16Z</dcterms:created>
  <dc:creator>Vinicius Leal Borges</dc:creator>
  <dc:description/>
  <dc:language>pt-BR</dc:language>
  <cp:lastModifiedBy/>
  <dcterms:modified xsi:type="dcterms:W3CDTF">2025-05-24T01:30:21Z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