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F:\Google Drive\Projetos\Budget automation\"/>
    </mc:Choice>
  </mc:AlternateContent>
  <xr:revisionPtr revIDLastSave="0" documentId="13_ncr:1_{1B7041CC-71EB-4A2F-94E8-BCADC6071418}" xr6:coauthVersionLast="46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FRONIUS-BYD 335Wp" sheetId="10" r:id="rId1"/>
    <sheet name="Preço SFCR-FRONIUS-BYD" sheetId="2" r:id="rId2"/>
    <sheet name="HCONSUMO" sheetId="1" r:id="rId3"/>
    <sheet name="Preço SFCR-GROWATT PHONO 450Wp" sheetId="50" r:id="rId4"/>
    <sheet name="GROWATT-PHONO 450Wp" sheetId="49" r:id="rId5"/>
    <sheet name="Preço SFCR-REFUSOL BYD 400Wp" sheetId="9" r:id="rId6"/>
    <sheet name="REFUSOL-BYD 400Wp" sheetId="16" r:id="rId7"/>
    <sheet name="Preço SFCR-GROWATT JINKO 460Wp" sheetId="36" r:id="rId8"/>
    <sheet name="GROWATT-JINKO 460Wp" sheetId="35" r:id="rId9"/>
    <sheet name="Preço SFCR-GROWATT TRINA 375Wp" sheetId="41" r:id="rId10"/>
    <sheet name="GROWATT-TRINA 375Wp" sheetId="40" r:id="rId11"/>
    <sheet name="Preço SFCR-GROWATT BYD 400Wp" sheetId="39" r:id="rId12"/>
    <sheet name="GROWATT-BYD 400Wp" sheetId="38" r:id="rId13"/>
    <sheet name="Preço SFCR-GROWATT BYD" sheetId="7" r:id="rId14"/>
    <sheet name="GROWATT-BYD 335Wp" sheetId="11" r:id="rId15"/>
    <sheet name="Preço SFCR-SMA JINKO" sheetId="34" r:id="rId16"/>
    <sheet name="SMA-JINKO 440Wp" sheetId="30" r:id="rId17"/>
    <sheet name="Preço SFCR-ABB-JINKO 440Wp" sheetId="46" r:id="rId18"/>
    <sheet name="ABB-JINKO 440Wp" sheetId="29" r:id="rId19"/>
    <sheet name="Preço SFCR-FRONIUS JINKO" sheetId="5" r:id="rId20"/>
    <sheet name="FRONIUS-JINKO 440Wp" sheetId="18" r:id="rId21"/>
    <sheet name="Preço SFCR-FRONIUS PHONO 450Wp" sheetId="53" r:id="rId22"/>
    <sheet name="FRONIUS-PHONO 450Wp" sheetId="52" r:id="rId23"/>
    <sheet name="Preço SFCR-REFUSOL BYD 335Wp" sheetId="6" r:id="rId24"/>
    <sheet name="REFUSOL-BYD 335Wp" sheetId="12" r:id="rId25"/>
    <sheet name="Tabela de Materiais" sheetId="19" r:id="rId26"/>
    <sheet name="Tabela de BDI" sheetId="20" r:id="rId27"/>
    <sheet name="PREÇO DE INVERSORES" sheetId="51" r:id="rId28"/>
  </sheets>
  <definedNames>
    <definedName name="_xlnm._FilterDatabase" localSheetId="25" hidden="1">'Tabela de Materiais'!$B$3:$D$52</definedName>
  </definedNames>
  <calcPr calcId="191029"/>
</workbook>
</file>

<file path=xl/calcChain.xml><?xml version="1.0" encoding="utf-8"?>
<calcChain xmlns="http://schemas.openxmlformats.org/spreadsheetml/2006/main">
  <c r="J33" i="49" l="1"/>
  <c r="J33" i="35"/>
  <c r="J32" i="35"/>
  <c r="K66" i="35"/>
  <c r="K65" i="35"/>
  <c r="K64" i="35"/>
  <c r="K63" i="35"/>
  <c r="K62" i="35"/>
  <c r="C52" i="35"/>
  <c r="K52" i="35"/>
  <c r="L52" i="35" s="1"/>
  <c r="S52" i="35"/>
  <c r="C51" i="35"/>
  <c r="K51" i="35"/>
  <c r="L51" i="35" s="1"/>
  <c r="S51" i="35"/>
  <c r="E24" i="35"/>
  <c r="C24" i="35" s="1"/>
  <c r="K24" i="35"/>
  <c r="L24" i="35" s="1"/>
  <c r="E20" i="35"/>
  <c r="C20" i="35" s="1"/>
  <c r="K20" i="35"/>
  <c r="L20" i="35" s="1"/>
  <c r="J67" i="49"/>
  <c r="K67" i="49" s="1"/>
  <c r="S24" i="35" l="1"/>
  <c r="S20" i="35"/>
  <c r="K66" i="49"/>
  <c r="K65" i="49"/>
  <c r="K64" i="49"/>
  <c r="K63" i="49"/>
  <c r="K62" i="49"/>
  <c r="K52" i="49"/>
  <c r="L52" i="49" s="1"/>
  <c r="C52" i="49"/>
  <c r="S52" i="49" s="1"/>
  <c r="K51" i="49"/>
  <c r="L51" i="49" s="1"/>
  <c r="C51" i="49"/>
  <c r="S51" i="49" s="1"/>
  <c r="K24" i="49"/>
  <c r="L24" i="49" s="1"/>
  <c r="E24" i="49"/>
  <c r="C24" i="49" s="1"/>
  <c r="J24" i="10"/>
  <c r="K24" i="10" s="1"/>
  <c r="C24" i="10"/>
  <c r="R24" i="10" s="1"/>
  <c r="E20" i="49"/>
  <c r="C20" i="49" s="1"/>
  <c r="K20" i="49"/>
  <c r="L20" i="49" s="1"/>
  <c r="J20" i="10"/>
  <c r="K20" i="10" s="1"/>
  <c r="C20" i="10"/>
  <c r="R20" i="10" s="1"/>
  <c r="J21" i="16"/>
  <c r="J20" i="16"/>
  <c r="J22" i="16"/>
  <c r="J23" i="16"/>
  <c r="L14" i="9"/>
  <c r="J14" i="9"/>
  <c r="H14" i="9"/>
  <c r="F14" i="9"/>
  <c r="J27" i="16"/>
  <c r="J28" i="16"/>
  <c r="J29" i="16"/>
  <c r="J30" i="16"/>
  <c r="L14" i="6"/>
  <c r="J14" i="6"/>
  <c r="H14" i="6"/>
  <c r="F14" i="6"/>
  <c r="L14" i="50"/>
  <c r="J14" i="50"/>
  <c r="H14" i="50"/>
  <c r="L14" i="36"/>
  <c r="J14" i="36"/>
  <c r="H14" i="36"/>
  <c r="F14" i="36"/>
  <c r="O2" i="50"/>
  <c r="L16" i="50" s="1"/>
  <c r="O2" i="36"/>
  <c r="F16" i="36" s="1"/>
  <c r="J34" i="49"/>
  <c r="F7" i="51"/>
  <c r="F8" i="51"/>
  <c r="F9" i="51"/>
  <c r="L21" i="53"/>
  <c r="J21" i="53"/>
  <c r="H21" i="53"/>
  <c r="F21" i="53"/>
  <c r="L16" i="53"/>
  <c r="J16" i="53"/>
  <c r="H16" i="53"/>
  <c r="F16" i="53"/>
  <c r="D45" i="53"/>
  <c r="H44" i="53"/>
  <c r="D44" i="53"/>
  <c r="D42" i="53"/>
  <c r="C33" i="53"/>
  <c r="N31" i="53"/>
  <c r="N30" i="53"/>
  <c r="N29" i="53"/>
  <c r="N28" i="53"/>
  <c r="N27" i="53"/>
  <c r="C27" i="53"/>
  <c r="L14" i="53"/>
  <c r="J14" i="53"/>
  <c r="H14" i="53"/>
  <c r="F14" i="53"/>
  <c r="L13" i="53"/>
  <c r="J13" i="53"/>
  <c r="J17" i="53" s="1"/>
  <c r="H13" i="53"/>
  <c r="F13" i="53"/>
  <c r="F12" i="53"/>
  <c r="H12" i="53" s="1"/>
  <c r="J12" i="53" s="1"/>
  <c r="L12" i="53" s="1"/>
  <c r="J10" i="53"/>
  <c r="K9" i="53" s="1"/>
  <c r="C2" i="53"/>
  <c r="I28" i="52"/>
  <c r="J28" i="52" s="1"/>
  <c r="K28" i="52" s="1"/>
  <c r="Q65" i="52"/>
  <c r="Q64" i="52"/>
  <c r="K63" i="52"/>
  <c r="F63" i="52" s="1"/>
  <c r="P63" i="52" s="1"/>
  <c r="C63" i="52"/>
  <c r="K62" i="52"/>
  <c r="C62" i="52"/>
  <c r="K61" i="52"/>
  <c r="F61" i="52" s="1"/>
  <c r="N61" i="52" s="1"/>
  <c r="C61" i="52"/>
  <c r="K60" i="52"/>
  <c r="F60" i="52" s="1"/>
  <c r="Q60" i="52" s="1"/>
  <c r="C60" i="52"/>
  <c r="R60" i="52" s="1"/>
  <c r="K59" i="52"/>
  <c r="F59" i="52" s="1"/>
  <c r="C59" i="52"/>
  <c r="K58" i="52"/>
  <c r="C58" i="52"/>
  <c r="K57" i="52"/>
  <c r="F57" i="52" s="1"/>
  <c r="C57" i="52"/>
  <c r="K56" i="52"/>
  <c r="F56" i="52" s="1"/>
  <c r="Q56" i="52" s="1"/>
  <c r="C56" i="52"/>
  <c r="R56" i="52" s="1"/>
  <c r="Q55" i="52"/>
  <c r="P55" i="52"/>
  <c r="O55" i="52"/>
  <c r="N55" i="52"/>
  <c r="K55" i="52"/>
  <c r="C55" i="52"/>
  <c r="R55" i="52" s="1"/>
  <c r="Q54" i="52"/>
  <c r="P54" i="52"/>
  <c r="O54" i="52"/>
  <c r="N54" i="52"/>
  <c r="K54" i="52"/>
  <c r="C54" i="52"/>
  <c r="Q53" i="52"/>
  <c r="P53" i="52"/>
  <c r="O53" i="52"/>
  <c r="N53" i="52"/>
  <c r="K53" i="52"/>
  <c r="C53" i="52"/>
  <c r="R53" i="52" s="1"/>
  <c r="Q52" i="52"/>
  <c r="P52" i="52"/>
  <c r="O52" i="52"/>
  <c r="N52" i="52"/>
  <c r="K52" i="52"/>
  <c r="C52" i="52"/>
  <c r="R52" i="52" s="1"/>
  <c r="Q51" i="52"/>
  <c r="P51" i="52"/>
  <c r="O51" i="52"/>
  <c r="N51" i="52"/>
  <c r="K51" i="52"/>
  <c r="C51" i="52"/>
  <c r="R51" i="52" s="1"/>
  <c r="Q50" i="52"/>
  <c r="P50" i="52"/>
  <c r="O50" i="52"/>
  <c r="N50" i="52"/>
  <c r="K50" i="52"/>
  <c r="C50" i="52"/>
  <c r="Q49" i="52"/>
  <c r="P49" i="52"/>
  <c r="O49" i="52"/>
  <c r="N49" i="52"/>
  <c r="K49" i="52"/>
  <c r="C49" i="52"/>
  <c r="R49" i="52" s="1"/>
  <c r="Q48" i="52"/>
  <c r="P48" i="52"/>
  <c r="O48" i="52"/>
  <c r="N48" i="52"/>
  <c r="K48" i="52"/>
  <c r="C48" i="52"/>
  <c r="R48" i="52" s="1"/>
  <c r="Q47" i="52"/>
  <c r="P47" i="52"/>
  <c r="O47" i="52"/>
  <c r="N47" i="52"/>
  <c r="L47" i="52"/>
  <c r="K47" i="52"/>
  <c r="C47" i="52"/>
  <c r="R47" i="52" s="1"/>
  <c r="K46" i="52"/>
  <c r="F46" i="52" s="1"/>
  <c r="N46" i="52" s="1"/>
  <c r="E46" i="52"/>
  <c r="C46" i="52" s="1"/>
  <c r="K45" i="52"/>
  <c r="F45" i="52" s="1"/>
  <c r="N45" i="52" s="1"/>
  <c r="E45" i="52"/>
  <c r="C45" i="52" s="1"/>
  <c r="K44" i="52"/>
  <c r="F44" i="52" s="1"/>
  <c r="N44" i="52" s="1"/>
  <c r="E44" i="52"/>
  <c r="C44" i="52" s="1"/>
  <c r="K43" i="52"/>
  <c r="F43" i="52" s="1"/>
  <c r="N43" i="52" s="1"/>
  <c r="E43" i="52"/>
  <c r="C43" i="52" s="1"/>
  <c r="J42" i="52"/>
  <c r="K42" i="52" s="1"/>
  <c r="E42" i="52"/>
  <c r="C42" i="52" s="1"/>
  <c r="J41" i="52"/>
  <c r="K41" i="52" s="1"/>
  <c r="E41" i="52"/>
  <c r="C41" i="52" s="1"/>
  <c r="R41" i="52" s="1"/>
  <c r="J40" i="52"/>
  <c r="K40" i="52" s="1"/>
  <c r="E40" i="52"/>
  <c r="C40" i="52" s="1"/>
  <c r="J39" i="52"/>
  <c r="K39" i="52" s="1"/>
  <c r="E39" i="52"/>
  <c r="C39" i="52" s="1"/>
  <c r="J38" i="52"/>
  <c r="K38" i="52" s="1"/>
  <c r="E38" i="52"/>
  <c r="C38" i="52" s="1"/>
  <c r="R38" i="52" s="1"/>
  <c r="J37" i="52"/>
  <c r="K37" i="52" s="1"/>
  <c r="E37" i="52"/>
  <c r="C37" i="52" s="1"/>
  <c r="R37" i="52" s="1"/>
  <c r="J36" i="52"/>
  <c r="K36" i="52" s="1"/>
  <c r="E36" i="52"/>
  <c r="C36" i="52" s="1"/>
  <c r="J35" i="52"/>
  <c r="K35" i="52" s="1"/>
  <c r="E35" i="52"/>
  <c r="C35" i="52" s="1"/>
  <c r="J34" i="52"/>
  <c r="K34" i="52" s="1"/>
  <c r="E34" i="52"/>
  <c r="C34" i="52" s="1"/>
  <c r="J33" i="52"/>
  <c r="K33" i="52" s="1"/>
  <c r="E33" i="52"/>
  <c r="C33" i="52" s="1"/>
  <c r="R33" i="52" s="1"/>
  <c r="J32" i="52"/>
  <c r="K32" i="52" s="1"/>
  <c r="E32" i="52"/>
  <c r="C32" i="52" s="1"/>
  <c r="L31" i="52"/>
  <c r="J31" i="52"/>
  <c r="K31" i="52" s="1"/>
  <c r="E31" i="52"/>
  <c r="C31" i="52" s="1"/>
  <c r="R31" i="52" s="1"/>
  <c r="J30" i="52"/>
  <c r="K30" i="52" s="1"/>
  <c r="E30" i="52"/>
  <c r="C30" i="52" s="1"/>
  <c r="R30" i="52" s="1"/>
  <c r="J29" i="52"/>
  <c r="K29" i="52" s="1"/>
  <c r="E29" i="52"/>
  <c r="C29" i="52" s="1"/>
  <c r="R29" i="52" s="1"/>
  <c r="E28" i="52"/>
  <c r="C28" i="52" s="1"/>
  <c r="R28" i="52" s="1"/>
  <c r="J27" i="52"/>
  <c r="K27" i="52" s="1"/>
  <c r="E27" i="52"/>
  <c r="C27" i="52"/>
  <c r="R27" i="52" s="1"/>
  <c r="J26" i="52"/>
  <c r="K26" i="52" s="1"/>
  <c r="E26" i="52"/>
  <c r="C26" i="52" s="1"/>
  <c r="R26" i="52" s="1"/>
  <c r="J25" i="52"/>
  <c r="K25" i="52" s="1"/>
  <c r="E25" i="52"/>
  <c r="C25" i="52" s="1"/>
  <c r="J24" i="52"/>
  <c r="K24" i="52" s="1"/>
  <c r="E24" i="52"/>
  <c r="C24" i="52" s="1"/>
  <c r="R24" i="52" s="1"/>
  <c r="J23" i="52"/>
  <c r="K23" i="52" s="1"/>
  <c r="E23" i="52"/>
  <c r="C23" i="52" s="1"/>
  <c r="J22" i="52"/>
  <c r="K22" i="52" s="1"/>
  <c r="E22" i="52"/>
  <c r="C22" i="52" s="1"/>
  <c r="R22" i="52" s="1"/>
  <c r="J21" i="52"/>
  <c r="K21" i="52" s="1"/>
  <c r="F21" i="52" s="1"/>
  <c r="O21" i="52" s="1"/>
  <c r="E21" i="52"/>
  <c r="C21" i="52" s="1"/>
  <c r="J20" i="52"/>
  <c r="K20" i="52" s="1"/>
  <c r="E20" i="52"/>
  <c r="C20" i="52" s="1"/>
  <c r="R20" i="52" s="1"/>
  <c r="J19" i="52"/>
  <c r="K19" i="52" s="1"/>
  <c r="E19" i="52"/>
  <c r="C19" i="52" s="1"/>
  <c r="R19" i="52" s="1"/>
  <c r="J18" i="52"/>
  <c r="K18" i="52" s="1"/>
  <c r="E18" i="52"/>
  <c r="C18" i="52" s="1"/>
  <c r="J17" i="52"/>
  <c r="K17" i="52" s="1"/>
  <c r="E17" i="52"/>
  <c r="C17" i="52" s="1"/>
  <c r="J16" i="52"/>
  <c r="K16" i="52" s="1"/>
  <c r="E16" i="52"/>
  <c r="C16" i="52" s="1"/>
  <c r="J15" i="52"/>
  <c r="K15" i="52" s="1"/>
  <c r="E15" i="52"/>
  <c r="C15" i="52" s="1"/>
  <c r="R15" i="52" s="1"/>
  <c r="J14" i="52"/>
  <c r="K14" i="52" s="1"/>
  <c r="E14" i="52"/>
  <c r="C14" i="52" s="1"/>
  <c r="J13" i="52"/>
  <c r="K13" i="52" s="1"/>
  <c r="E13" i="52"/>
  <c r="C13" i="52" s="1"/>
  <c r="J12" i="52"/>
  <c r="K12" i="52" s="1"/>
  <c r="E12" i="52"/>
  <c r="C12" i="52" s="1"/>
  <c r="J11" i="52"/>
  <c r="K11" i="52" s="1"/>
  <c r="E11" i="52"/>
  <c r="C11" i="52" s="1"/>
  <c r="R11" i="52" s="1"/>
  <c r="J10" i="52"/>
  <c r="K10" i="52" s="1"/>
  <c r="E10" i="52"/>
  <c r="C10" i="52" s="1"/>
  <c r="J9" i="52"/>
  <c r="K9" i="52" s="1"/>
  <c r="E9" i="52"/>
  <c r="C9" i="52" s="1"/>
  <c r="J8" i="52"/>
  <c r="K8" i="52" s="1"/>
  <c r="E8" i="52"/>
  <c r="C8" i="52" s="1"/>
  <c r="J7" i="52"/>
  <c r="K7" i="52" s="1"/>
  <c r="E7" i="52"/>
  <c r="C7" i="52" s="1"/>
  <c r="R7" i="52" s="1"/>
  <c r="L6" i="52"/>
  <c r="J6" i="52"/>
  <c r="K6" i="52" s="1"/>
  <c r="E6" i="52"/>
  <c r="C6" i="52" s="1"/>
  <c r="G13" i="51"/>
  <c r="F16" i="50" l="1"/>
  <c r="H16" i="50"/>
  <c r="S24" i="49"/>
  <c r="F24" i="10"/>
  <c r="S20" i="49"/>
  <c r="J16" i="36"/>
  <c r="J16" i="50"/>
  <c r="H16" i="36"/>
  <c r="L17" i="53"/>
  <c r="F22" i="53"/>
  <c r="F39" i="53" s="1"/>
  <c r="L16" i="36"/>
  <c r="O59" i="52"/>
  <c r="P59" i="52"/>
  <c r="F17" i="53"/>
  <c r="F37" i="53" s="1"/>
  <c r="H22" i="53"/>
  <c r="H25" i="53" s="1"/>
  <c r="H26" i="53" s="1"/>
  <c r="F10" i="53"/>
  <c r="G9" i="53" s="1"/>
  <c r="H17" i="53"/>
  <c r="J22" i="53"/>
  <c r="J39" i="53" s="1"/>
  <c r="M6" i="52"/>
  <c r="M31" i="52"/>
  <c r="L22" i="53"/>
  <c r="L39" i="53" s="1"/>
  <c r="F39" i="52"/>
  <c r="Q39" i="52" s="1"/>
  <c r="F9" i="52"/>
  <c r="P9" i="52" s="1"/>
  <c r="J18" i="53"/>
  <c r="J37" i="53"/>
  <c r="L37" i="53"/>
  <c r="L18" i="53"/>
  <c r="H18" i="53"/>
  <c r="H37" i="53"/>
  <c r="H10" i="53"/>
  <c r="I9" i="53" s="1"/>
  <c r="L10" i="53"/>
  <c r="M9" i="53" s="1"/>
  <c r="F26" i="52"/>
  <c r="N26" i="52" s="1"/>
  <c r="R44" i="52"/>
  <c r="R57" i="52"/>
  <c r="R61" i="52"/>
  <c r="R42" i="52"/>
  <c r="R46" i="52"/>
  <c r="R50" i="52"/>
  <c r="R54" i="52"/>
  <c r="R58" i="52"/>
  <c r="R62" i="52"/>
  <c r="F8" i="52"/>
  <c r="R10" i="52"/>
  <c r="R18" i="52"/>
  <c r="R21" i="52"/>
  <c r="R9" i="52"/>
  <c r="R17" i="52"/>
  <c r="R23" i="52"/>
  <c r="R6" i="52"/>
  <c r="R14" i="52"/>
  <c r="F16" i="52"/>
  <c r="F24" i="52"/>
  <c r="R13" i="52"/>
  <c r="R8" i="52"/>
  <c r="R12" i="52"/>
  <c r="R16" i="52"/>
  <c r="N21" i="52"/>
  <c r="F27" i="52"/>
  <c r="F33" i="52"/>
  <c r="R34" i="52"/>
  <c r="F37" i="52"/>
  <c r="F38" i="52"/>
  <c r="R39" i="52"/>
  <c r="F40" i="52"/>
  <c r="F42" i="52"/>
  <c r="Q57" i="52"/>
  <c r="P57" i="52"/>
  <c r="O57" i="52"/>
  <c r="F6" i="52"/>
  <c r="F18" i="52"/>
  <c r="P21" i="52"/>
  <c r="R25" i="52"/>
  <c r="R35" i="52"/>
  <c r="Q43" i="52"/>
  <c r="P43" i="52"/>
  <c r="O43" i="52"/>
  <c r="R43" i="52"/>
  <c r="Q45" i="52"/>
  <c r="P45" i="52"/>
  <c r="O45" i="52"/>
  <c r="R45" i="52"/>
  <c r="F7" i="52"/>
  <c r="Q21" i="52"/>
  <c r="P26" i="52"/>
  <c r="R32" i="52"/>
  <c r="R36" i="52"/>
  <c r="M47" i="52"/>
  <c r="P60" i="52"/>
  <c r="O60" i="52"/>
  <c r="N60" i="52"/>
  <c r="F62" i="52"/>
  <c r="R63" i="52"/>
  <c r="R40" i="52"/>
  <c r="F41" i="52"/>
  <c r="Q44" i="52"/>
  <c r="P44" i="52"/>
  <c r="O44" i="52"/>
  <c r="Q46" i="52"/>
  <c r="P46" i="52"/>
  <c r="O46" i="52"/>
  <c r="P56" i="52"/>
  <c r="O56" i="52"/>
  <c r="N56" i="52"/>
  <c r="N57" i="52"/>
  <c r="F58" i="52"/>
  <c r="R59" i="52"/>
  <c r="Q61" i="52"/>
  <c r="P61" i="52"/>
  <c r="O61" i="52"/>
  <c r="O63" i="52"/>
  <c r="N63" i="52"/>
  <c r="Q63" i="52"/>
  <c r="Q59" i="52"/>
  <c r="N59" i="52"/>
  <c r="N24" i="10" l="1"/>
  <c r="Q24" i="10"/>
  <c r="P24" i="10"/>
  <c r="O24" i="10"/>
  <c r="Q26" i="52"/>
  <c r="N20" i="10"/>
  <c r="O20" i="10"/>
  <c r="Q20" i="10"/>
  <c r="P20" i="10"/>
  <c r="Q9" i="52"/>
  <c r="L25" i="53"/>
  <c r="L26" i="53" s="1"/>
  <c r="L27" i="53" s="1"/>
  <c r="H39" i="53"/>
  <c r="F25" i="53"/>
  <c r="F26" i="53" s="1"/>
  <c r="F27" i="53" s="1"/>
  <c r="F18" i="53"/>
  <c r="L38" i="53"/>
  <c r="F36" i="53"/>
  <c r="J25" i="53"/>
  <c r="J26" i="53" s="1"/>
  <c r="J27" i="53" s="1"/>
  <c r="F38" i="53"/>
  <c r="J38" i="53"/>
  <c r="H38" i="53"/>
  <c r="J36" i="53"/>
  <c r="N39" i="52"/>
  <c r="O9" i="52"/>
  <c r="O39" i="52"/>
  <c r="N9" i="52"/>
  <c r="P39" i="52"/>
  <c r="H36" i="53"/>
  <c r="H27" i="53"/>
  <c r="L36" i="53"/>
  <c r="O26" i="52"/>
  <c r="O6" i="52"/>
  <c r="N6" i="52"/>
  <c r="Q6" i="52"/>
  <c r="P6" i="52"/>
  <c r="Q42" i="52"/>
  <c r="P42" i="52"/>
  <c r="O42" i="52"/>
  <c r="N42" i="52"/>
  <c r="N37" i="52"/>
  <c r="Q37" i="52"/>
  <c r="P37" i="52"/>
  <c r="O37" i="52"/>
  <c r="P24" i="52"/>
  <c r="Q24" i="52"/>
  <c r="O24" i="52"/>
  <c r="N24" i="52"/>
  <c r="N41" i="52"/>
  <c r="Q41" i="52"/>
  <c r="P41" i="52"/>
  <c r="O41" i="52"/>
  <c r="N33" i="52"/>
  <c r="Q33" i="52"/>
  <c r="P33" i="52"/>
  <c r="O33" i="52"/>
  <c r="Q27" i="52"/>
  <c r="O27" i="52"/>
  <c r="N27" i="52"/>
  <c r="P27" i="52"/>
  <c r="N58" i="52"/>
  <c r="Q58" i="52"/>
  <c r="P58" i="52"/>
  <c r="O58" i="52"/>
  <c r="N62" i="52"/>
  <c r="Q62" i="52"/>
  <c r="P62" i="52"/>
  <c r="O62" i="52"/>
  <c r="N7" i="52"/>
  <c r="Q7" i="52"/>
  <c r="P7" i="52"/>
  <c r="O7" i="52"/>
  <c r="O18" i="52"/>
  <c r="N18" i="52"/>
  <c r="Q18" i="52"/>
  <c r="P18" i="52"/>
  <c r="O40" i="52"/>
  <c r="N40" i="52"/>
  <c r="Q40" i="52"/>
  <c r="P40" i="52"/>
  <c r="Q38" i="52"/>
  <c r="P38" i="52"/>
  <c r="O38" i="52"/>
  <c r="N38" i="52"/>
  <c r="Q16" i="52"/>
  <c r="P16" i="52"/>
  <c r="O16" i="52"/>
  <c r="N16" i="52"/>
  <c r="Q8" i="52"/>
  <c r="P8" i="52"/>
  <c r="O8" i="52"/>
  <c r="N8" i="52"/>
  <c r="H13" i="51" l="1"/>
  <c r="F13" i="51"/>
  <c r="G9" i="51"/>
  <c r="H9" i="51" s="1"/>
  <c r="F10" i="51"/>
  <c r="G10" i="51" s="1"/>
  <c r="H10" i="51" s="1"/>
  <c r="F11" i="51"/>
  <c r="F12" i="51"/>
  <c r="F14" i="51"/>
  <c r="F15" i="51"/>
  <c r="G15" i="51" l="1"/>
  <c r="H15" i="51" s="1"/>
  <c r="G14" i="51"/>
  <c r="H14" i="51" s="1"/>
  <c r="G11" i="51"/>
  <c r="H11" i="51" s="1"/>
  <c r="G12" i="51"/>
  <c r="H12" i="51" s="1"/>
  <c r="G8" i="51"/>
  <c r="H8" i="51" s="1"/>
  <c r="K57" i="49"/>
  <c r="K56" i="49"/>
  <c r="K61" i="49"/>
  <c r="K60" i="49"/>
  <c r="K59" i="49"/>
  <c r="K58" i="49"/>
  <c r="E16" i="11" l="1"/>
  <c r="C16" i="11" s="1"/>
  <c r="J16" i="11"/>
  <c r="K16" i="11" s="1"/>
  <c r="E16" i="16"/>
  <c r="C16" i="16" s="1"/>
  <c r="K16" i="16"/>
  <c r="L16" i="16" s="1"/>
  <c r="E16" i="12"/>
  <c r="C16" i="12" s="1"/>
  <c r="K16" i="12"/>
  <c r="L16" i="12" s="1"/>
  <c r="E16" i="18"/>
  <c r="C16" i="18" s="1"/>
  <c r="J16" i="18"/>
  <c r="K16" i="18" s="1"/>
  <c r="E16" i="29"/>
  <c r="C16" i="29" s="1"/>
  <c r="J16" i="29"/>
  <c r="K16" i="29" s="1"/>
  <c r="L21" i="50"/>
  <c r="L22" i="50" s="1"/>
  <c r="J21" i="50"/>
  <c r="J22" i="50" s="1"/>
  <c r="D45" i="50"/>
  <c r="D44" i="50"/>
  <c r="D42" i="50"/>
  <c r="C33" i="50"/>
  <c r="N31" i="50"/>
  <c r="N30" i="50"/>
  <c r="N29" i="50"/>
  <c r="N28" i="50"/>
  <c r="N27" i="50"/>
  <c r="C27" i="50"/>
  <c r="L13" i="50"/>
  <c r="L10" i="50" s="1"/>
  <c r="M9" i="50" s="1"/>
  <c r="J13" i="50"/>
  <c r="J10" i="50" s="1"/>
  <c r="K9" i="50" s="1"/>
  <c r="H13" i="50"/>
  <c r="H10" i="50" s="1"/>
  <c r="I9" i="50" s="1"/>
  <c r="H17" i="50" s="1"/>
  <c r="F13" i="50"/>
  <c r="F10" i="50" s="1"/>
  <c r="G9" i="50" s="1"/>
  <c r="F12" i="50"/>
  <c r="H12" i="50" s="1"/>
  <c r="J12" i="50" s="1"/>
  <c r="L12" i="50" s="1"/>
  <c r="C2" i="50"/>
  <c r="E16" i="30"/>
  <c r="C16" i="30" s="1"/>
  <c r="J16" i="30"/>
  <c r="K16" i="30" s="1"/>
  <c r="E16" i="49"/>
  <c r="C16" i="49" s="1"/>
  <c r="K16" i="49"/>
  <c r="L16" i="49" s="1"/>
  <c r="E16" i="38"/>
  <c r="C16" i="38" s="1"/>
  <c r="R16" i="38" s="1"/>
  <c r="J16" i="38"/>
  <c r="K16" i="38" s="1"/>
  <c r="E16" i="40"/>
  <c r="C16" i="40" s="1"/>
  <c r="R16" i="40" s="1"/>
  <c r="J16" i="40"/>
  <c r="K16" i="40" s="1"/>
  <c r="E16" i="35"/>
  <c r="C16" i="35" s="1"/>
  <c r="S16" i="35" s="1"/>
  <c r="K16" i="35"/>
  <c r="L16" i="35" s="1"/>
  <c r="J16" i="10"/>
  <c r="K16" i="10" s="1"/>
  <c r="C16" i="10"/>
  <c r="R16" i="10" s="1"/>
  <c r="AB69" i="49"/>
  <c r="Z69" i="49"/>
  <c r="V69" i="49"/>
  <c r="W69" i="49" s="1"/>
  <c r="R69" i="49"/>
  <c r="AB68" i="49"/>
  <c r="Z68" i="49"/>
  <c r="V68" i="49"/>
  <c r="W68" i="49" s="1"/>
  <c r="R68" i="49"/>
  <c r="L67" i="49"/>
  <c r="V67" i="49" s="1"/>
  <c r="C67" i="49"/>
  <c r="S67" i="49" s="1"/>
  <c r="L66" i="49"/>
  <c r="C66" i="49"/>
  <c r="L65" i="49"/>
  <c r="C65" i="49"/>
  <c r="S65" i="49" s="1"/>
  <c r="L64" i="49"/>
  <c r="C64" i="49"/>
  <c r="S64" i="49" s="1"/>
  <c r="L63" i="49"/>
  <c r="C63" i="49"/>
  <c r="S63" i="49" s="1"/>
  <c r="L62" i="49"/>
  <c r="C62" i="49"/>
  <c r="L61" i="49"/>
  <c r="C61" i="49"/>
  <c r="S61" i="49" s="1"/>
  <c r="L60" i="49"/>
  <c r="C60" i="49"/>
  <c r="S60" i="49" s="1"/>
  <c r="L59" i="49"/>
  <c r="C59" i="49"/>
  <c r="S59" i="49" s="1"/>
  <c r="L58" i="49"/>
  <c r="C58" i="49"/>
  <c r="L57" i="49"/>
  <c r="C57" i="49"/>
  <c r="S57" i="49" s="1"/>
  <c r="L56" i="49"/>
  <c r="C56" i="49"/>
  <c r="S56" i="49" s="1"/>
  <c r="K55" i="49"/>
  <c r="L55" i="49" s="1"/>
  <c r="C55" i="49"/>
  <c r="K54" i="49"/>
  <c r="L54" i="49" s="1"/>
  <c r="C54" i="49"/>
  <c r="S54" i="49" s="1"/>
  <c r="K53" i="49"/>
  <c r="L53" i="49" s="1"/>
  <c r="C53" i="49"/>
  <c r="S53" i="49" s="1"/>
  <c r="M50" i="49"/>
  <c r="K50" i="49"/>
  <c r="L50" i="49" s="1"/>
  <c r="C50" i="49"/>
  <c r="K49" i="49"/>
  <c r="L49" i="49" s="1"/>
  <c r="C49" i="49"/>
  <c r="K48" i="49"/>
  <c r="L48" i="49" s="1"/>
  <c r="E48" i="49"/>
  <c r="C48" i="49" s="1"/>
  <c r="K47" i="49"/>
  <c r="L47" i="49" s="1"/>
  <c r="E47" i="49"/>
  <c r="C47" i="49" s="1"/>
  <c r="K46" i="49"/>
  <c r="L46" i="49" s="1"/>
  <c r="E46" i="49"/>
  <c r="C46" i="49" s="1"/>
  <c r="K45" i="49"/>
  <c r="L45" i="49" s="1"/>
  <c r="E45" i="49"/>
  <c r="C45" i="49" s="1"/>
  <c r="K44" i="49"/>
  <c r="L44" i="49" s="1"/>
  <c r="V44" i="49" s="1"/>
  <c r="E44" i="49"/>
  <c r="C44" i="49" s="1"/>
  <c r="K43" i="49"/>
  <c r="L43" i="49" s="1"/>
  <c r="E43" i="49"/>
  <c r="C43" i="49" s="1"/>
  <c r="K42" i="49"/>
  <c r="L42" i="49" s="1"/>
  <c r="E42" i="49"/>
  <c r="C42" i="49" s="1"/>
  <c r="K41" i="49"/>
  <c r="L41" i="49" s="1"/>
  <c r="E41" i="49"/>
  <c r="C41" i="49" s="1"/>
  <c r="K40" i="49"/>
  <c r="L40" i="49" s="1"/>
  <c r="E40" i="49"/>
  <c r="C40" i="49" s="1"/>
  <c r="K39" i="49"/>
  <c r="L39" i="49" s="1"/>
  <c r="E39" i="49"/>
  <c r="C39" i="49" s="1"/>
  <c r="K38" i="49"/>
  <c r="L38" i="49" s="1"/>
  <c r="E38" i="49"/>
  <c r="C38" i="49" s="1"/>
  <c r="K37" i="49"/>
  <c r="L37" i="49" s="1"/>
  <c r="E37" i="49"/>
  <c r="C37" i="49" s="1"/>
  <c r="K36" i="49"/>
  <c r="L36" i="49" s="1"/>
  <c r="E36" i="49"/>
  <c r="C36" i="49" s="1"/>
  <c r="K35" i="49"/>
  <c r="L35" i="49" s="1"/>
  <c r="E35" i="49"/>
  <c r="C35" i="49" s="1"/>
  <c r="S35" i="49" s="1"/>
  <c r="K34" i="49"/>
  <c r="L34" i="49" s="1"/>
  <c r="E34" i="49"/>
  <c r="C34" i="49" s="1"/>
  <c r="S34" i="49" s="1"/>
  <c r="M33" i="49"/>
  <c r="K33" i="49"/>
  <c r="L33" i="49" s="1"/>
  <c r="E33" i="49"/>
  <c r="C33" i="49" s="1"/>
  <c r="J32" i="49"/>
  <c r="K32" i="49" s="1"/>
  <c r="L32" i="49" s="1"/>
  <c r="E32" i="49"/>
  <c r="C32" i="49" s="1"/>
  <c r="S32" i="49" s="1"/>
  <c r="K31" i="49"/>
  <c r="L31" i="49" s="1"/>
  <c r="E31" i="49"/>
  <c r="C31" i="49" s="1"/>
  <c r="S31" i="49" s="1"/>
  <c r="K30" i="49"/>
  <c r="L30" i="49" s="1"/>
  <c r="E30" i="49"/>
  <c r="C30" i="49" s="1"/>
  <c r="S30" i="49" s="1"/>
  <c r="K29" i="49"/>
  <c r="L29" i="49" s="1"/>
  <c r="E29" i="49"/>
  <c r="C29" i="49" s="1"/>
  <c r="K28" i="49"/>
  <c r="L28" i="49" s="1"/>
  <c r="V28" i="49" s="1"/>
  <c r="E28" i="49"/>
  <c r="C28" i="49" s="1"/>
  <c r="S28" i="49" s="1"/>
  <c r="K27" i="49"/>
  <c r="L27" i="49" s="1"/>
  <c r="E27" i="49"/>
  <c r="C27" i="49" s="1"/>
  <c r="K26" i="49"/>
  <c r="L26" i="49" s="1"/>
  <c r="V26" i="49" s="1"/>
  <c r="E26" i="49"/>
  <c r="C26" i="49" s="1"/>
  <c r="S26" i="49" s="1"/>
  <c r="K25" i="49"/>
  <c r="L25" i="49" s="1"/>
  <c r="E25" i="49"/>
  <c r="C25" i="49" s="1"/>
  <c r="K23" i="49"/>
  <c r="L23" i="49" s="1"/>
  <c r="E23" i="49"/>
  <c r="C23" i="49" s="1"/>
  <c r="S23" i="49" s="1"/>
  <c r="K22" i="49"/>
  <c r="L22" i="49" s="1"/>
  <c r="E22" i="49"/>
  <c r="C22" i="49" s="1"/>
  <c r="K21" i="49"/>
  <c r="L21" i="49" s="1"/>
  <c r="E21" i="49"/>
  <c r="C21" i="49" s="1"/>
  <c r="K19" i="49"/>
  <c r="L19" i="49" s="1"/>
  <c r="V19" i="49" s="1"/>
  <c r="E19" i="49"/>
  <c r="C19" i="49" s="1"/>
  <c r="S19" i="49" s="1"/>
  <c r="K18" i="49"/>
  <c r="L18" i="49" s="1"/>
  <c r="E18" i="49"/>
  <c r="C18" i="49" s="1"/>
  <c r="K17" i="49"/>
  <c r="L17" i="49" s="1"/>
  <c r="E17" i="49"/>
  <c r="C17" i="49" s="1"/>
  <c r="K15" i="49"/>
  <c r="L15" i="49" s="1"/>
  <c r="E15" i="49"/>
  <c r="C15" i="49" s="1"/>
  <c r="K14" i="49"/>
  <c r="L14" i="49" s="1"/>
  <c r="E14" i="49"/>
  <c r="C14" i="49" s="1"/>
  <c r="K13" i="49"/>
  <c r="L13" i="49" s="1"/>
  <c r="E13" i="49"/>
  <c r="C13" i="49" s="1"/>
  <c r="S13" i="49" s="1"/>
  <c r="K12" i="49"/>
  <c r="L12" i="49" s="1"/>
  <c r="E12" i="49"/>
  <c r="C12" i="49" s="1"/>
  <c r="K11" i="49"/>
  <c r="L11" i="49" s="1"/>
  <c r="E11" i="49"/>
  <c r="C11" i="49" s="1"/>
  <c r="K10" i="49"/>
  <c r="L10" i="49" s="1"/>
  <c r="E10" i="49"/>
  <c r="C10" i="49" s="1"/>
  <c r="S10" i="49" s="1"/>
  <c r="K9" i="49"/>
  <c r="L9" i="49" s="1"/>
  <c r="E9" i="49"/>
  <c r="C9" i="49" s="1"/>
  <c r="S9" i="49" s="1"/>
  <c r="K8" i="49"/>
  <c r="L8" i="49" s="1"/>
  <c r="E8" i="49"/>
  <c r="C8" i="49" s="1"/>
  <c r="K7" i="49"/>
  <c r="L7" i="49" s="1"/>
  <c r="E7" i="49"/>
  <c r="C7" i="49" s="1"/>
  <c r="M6" i="49"/>
  <c r="K6" i="49"/>
  <c r="L6" i="49" s="1"/>
  <c r="E6" i="49"/>
  <c r="C3" i="20"/>
  <c r="F31" i="52" s="1"/>
  <c r="C6" i="49" l="1"/>
  <c r="S6" i="49" s="1"/>
  <c r="F14" i="50"/>
  <c r="M53" i="49"/>
  <c r="M54" i="49" s="1"/>
  <c r="M55" i="49" s="1"/>
  <c r="M51" i="49"/>
  <c r="O31" i="52"/>
  <c r="Q31" i="52"/>
  <c r="P31" i="52"/>
  <c r="N31" i="52"/>
  <c r="F16" i="16"/>
  <c r="J17" i="50"/>
  <c r="J18" i="50" s="1"/>
  <c r="L17" i="50"/>
  <c r="L37" i="50" s="1"/>
  <c r="L38" i="50" s="1"/>
  <c r="F17" i="50"/>
  <c r="F18" i="50" s="1"/>
  <c r="N6" i="49"/>
  <c r="F16" i="11"/>
  <c r="R16" i="11"/>
  <c r="S16" i="16"/>
  <c r="F16" i="12"/>
  <c r="S16" i="12"/>
  <c r="F16" i="18"/>
  <c r="R16" i="18"/>
  <c r="R16" i="29"/>
  <c r="L36" i="50"/>
  <c r="J36" i="50"/>
  <c r="J39" i="50"/>
  <c r="J25" i="50"/>
  <c r="J26" i="50" s="1"/>
  <c r="H18" i="50"/>
  <c r="H37" i="50"/>
  <c r="L25" i="50"/>
  <c r="L26" i="50" s="1"/>
  <c r="L39" i="50"/>
  <c r="F16" i="30"/>
  <c r="R16" i="30"/>
  <c r="S16" i="49"/>
  <c r="N53" i="49"/>
  <c r="F53" i="49" s="1"/>
  <c r="G53" i="49" s="1"/>
  <c r="S49" i="49"/>
  <c r="F16" i="38"/>
  <c r="F16" i="35"/>
  <c r="S33" i="49"/>
  <c r="S14" i="49"/>
  <c r="V17" i="49"/>
  <c r="S29" i="49"/>
  <c r="S22" i="49"/>
  <c r="S7" i="49"/>
  <c r="S17" i="49"/>
  <c r="V18" i="49"/>
  <c r="S21" i="49"/>
  <c r="S12" i="49"/>
  <c r="V13" i="49"/>
  <c r="S15" i="49"/>
  <c r="V21" i="49"/>
  <c r="S8" i="49"/>
  <c r="V11" i="49"/>
  <c r="V7" i="49"/>
  <c r="V9" i="49"/>
  <c r="S11" i="49"/>
  <c r="V15" i="49"/>
  <c r="S27" i="49"/>
  <c r="V6" i="49"/>
  <c r="W6" i="49" s="1"/>
  <c r="S18" i="49"/>
  <c r="V32" i="49"/>
  <c r="S36" i="49"/>
  <c r="V39" i="49"/>
  <c r="V46" i="49"/>
  <c r="V23" i="49"/>
  <c r="V27" i="49"/>
  <c r="V33" i="49"/>
  <c r="W33" i="49" s="1"/>
  <c r="N33" i="49"/>
  <c r="F33" i="49" s="1"/>
  <c r="G33" i="49" s="1"/>
  <c r="V34" i="49"/>
  <c r="S46" i="49"/>
  <c r="X68" i="49"/>
  <c r="Y68" i="49" s="1"/>
  <c r="V10" i="49"/>
  <c r="V29" i="49"/>
  <c r="F6" i="49"/>
  <c r="G6" i="49" s="1"/>
  <c r="V8" i="49"/>
  <c r="V12" i="49"/>
  <c r="V22" i="49"/>
  <c r="V25" i="49"/>
  <c r="S25" i="49"/>
  <c r="V35" i="49"/>
  <c r="S44" i="49"/>
  <c r="S62" i="49"/>
  <c r="V14" i="49"/>
  <c r="V30" i="49"/>
  <c r="V31" i="49"/>
  <c r="S40" i="49"/>
  <c r="V43" i="49"/>
  <c r="N50" i="49"/>
  <c r="F50" i="49" s="1"/>
  <c r="G50" i="49" s="1"/>
  <c r="V50" i="49"/>
  <c r="W50" i="49" s="1"/>
  <c r="N55" i="49"/>
  <c r="F55" i="49" s="1"/>
  <c r="G55" i="49" s="1"/>
  <c r="V55" i="49"/>
  <c r="W55" i="49" s="1"/>
  <c r="V66" i="49"/>
  <c r="V38" i="49"/>
  <c r="S39" i="49"/>
  <c r="V42" i="49"/>
  <c r="S43" i="49"/>
  <c r="S45" i="49"/>
  <c r="S47" i="49"/>
  <c r="X69" i="49"/>
  <c r="Y69" i="49" s="1"/>
  <c r="V37" i="49"/>
  <c r="S38" i="49"/>
  <c r="V41" i="49"/>
  <c r="S42" i="49"/>
  <c r="V45" i="49"/>
  <c r="V47" i="49"/>
  <c r="V54" i="49"/>
  <c r="W54" i="49" s="1"/>
  <c r="N54" i="49"/>
  <c r="F54" i="49" s="1"/>
  <c r="G54" i="49" s="1"/>
  <c r="V36" i="49"/>
  <c r="S37" i="49"/>
  <c r="V40" i="49"/>
  <c r="S41" i="49"/>
  <c r="S50" i="49"/>
  <c r="S55" i="49"/>
  <c r="V63" i="49"/>
  <c r="S66" i="49"/>
  <c r="V49" i="49"/>
  <c r="W49" i="49" s="1"/>
  <c r="V53" i="49"/>
  <c r="W53" i="49" s="1"/>
  <c r="M56" i="49"/>
  <c r="S58" i="49"/>
  <c r="V59" i="49"/>
  <c r="V62" i="49"/>
  <c r="S48" i="49"/>
  <c r="V48" i="49"/>
  <c r="N49" i="49"/>
  <c r="F49" i="49" s="1"/>
  <c r="V58" i="49"/>
  <c r="V56" i="49"/>
  <c r="V60" i="49"/>
  <c r="V64" i="49"/>
  <c r="V57" i="49"/>
  <c r="V61" i="49"/>
  <c r="V65" i="49"/>
  <c r="AA64" i="38"/>
  <c r="AA65" i="38"/>
  <c r="Y64" i="38"/>
  <c r="Y65" i="38"/>
  <c r="U64" i="38"/>
  <c r="V64" i="38" s="1"/>
  <c r="U65" i="38"/>
  <c r="V65" i="38" s="1"/>
  <c r="W65" i="38" s="1"/>
  <c r="X65" i="38" s="1"/>
  <c r="N51" i="49" l="1"/>
  <c r="F51" i="49" s="1"/>
  <c r="O51" i="49" s="1"/>
  <c r="M52" i="49"/>
  <c r="N52" i="49" s="1"/>
  <c r="F52" i="49" s="1"/>
  <c r="Q51" i="49"/>
  <c r="G51" i="49"/>
  <c r="P51" i="49"/>
  <c r="R51" i="49"/>
  <c r="R16" i="12"/>
  <c r="G16" i="12"/>
  <c r="P16" i="16"/>
  <c r="G16" i="16"/>
  <c r="Q16" i="16"/>
  <c r="F37" i="50"/>
  <c r="J37" i="50"/>
  <c r="J38" i="50" s="1"/>
  <c r="L18" i="50"/>
  <c r="O16" i="16"/>
  <c r="R16" i="16"/>
  <c r="Q16" i="12"/>
  <c r="P16" i="12"/>
  <c r="N16" i="11"/>
  <c r="P16" i="11"/>
  <c r="O16" i="11"/>
  <c r="Q16" i="11"/>
  <c r="O16" i="12"/>
  <c r="N16" i="18"/>
  <c r="P16" i="18"/>
  <c r="Q16" i="18"/>
  <c r="O16" i="18"/>
  <c r="J27" i="50"/>
  <c r="L27" i="50"/>
  <c r="P16" i="30"/>
  <c r="N16" i="30"/>
  <c r="O16" i="30"/>
  <c r="Q16" i="30"/>
  <c r="N16" i="38"/>
  <c r="O16" i="38"/>
  <c r="P16" i="38"/>
  <c r="Q16" i="38"/>
  <c r="O16" i="35"/>
  <c r="P16" i="35"/>
  <c r="Q16" i="35"/>
  <c r="R16" i="35"/>
  <c r="R50" i="49"/>
  <c r="Q50" i="49"/>
  <c r="O50" i="49"/>
  <c r="P50" i="49"/>
  <c r="P54" i="49"/>
  <c r="O54" i="49"/>
  <c r="R54" i="49"/>
  <c r="Q54" i="49"/>
  <c r="X55" i="49"/>
  <c r="Y55" i="49" s="1"/>
  <c r="Z55" i="49" s="1"/>
  <c r="AB55" i="49" s="1"/>
  <c r="X6" i="49"/>
  <c r="Y6" i="49" s="1"/>
  <c r="Z6" i="49" s="1"/>
  <c r="AB6" i="49" s="1"/>
  <c r="X53" i="49"/>
  <c r="Y53" i="49" s="1"/>
  <c r="Z53" i="49" s="1"/>
  <c r="AB53" i="49" s="1"/>
  <c r="P33" i="49"/>
  <c r="R33" i="49"/>
  <c r="O33" i="49"/>
  <c r="Q33" i="49"/>
  <c r="X33" i="49"/>
  <c r="Y33" i="49" s="1"/>
  <c r="Z33" i="49" s="1"/>
  <c r="AB33" i="49" s="1"/>
  <c r="O53" i="49"/>
  <c r="R53" i="49"/>
  <c r="P53" i="49"/>
  <c r="Q53" i="49"/>
  <c r="W56" i="49"/>
  <c r="M57" i="49"/>
  <c r="N56" i="49"/>
  <c r="F56" i="49" s="1"/>
  <c r="G56" i="49" s="1"/>
  <c r="O6" i="49"/>
  <c r="R6" i="49"/>
  <c r="P6" i="49"/>
  <c r="Q6" i="49"/>
  <c r="Q49" i="49"/>
  <c r="P49" i="49"/>
  <c r="R49" i="49"/>
  <c r="O49" i="49"/>
  <c r="X54" i="49"/>
  <c r="Y54" i="49" s="1"/>
  <c r="Z54" i="49" s="1"/>
  <c r="AB54" i="49" s="1"/>
  <c r="X50" i="49"/>
  <c r="Y50" i="49" s="1"/>
  <c r="Z50" i="49" s="1"/>
  <c r="AB50" i="49" s="1"/>
  <c r="X49" i="49"/>
  <c r="Y49" i="49" s="1"/>
  <c r="Z49" i="49" s="1"/>
  <c r="AB49" i="49" s="1"/>
  <c r="R55" i="49"/>
  <c r="Q55" i="49"/>
  <c r="P55" i="49"/>
  <c r="O55" i="49"/>
  <c r="W64" i="38"/>
  <c r="X64" i="38" s="1"/>
  <c r="O52" i="49" l="1"/>
  <c r="P52" i="49"/>
  <c r="Q52" i="49"/>
  <c r="R52" i="49"/>
  <c r="G52" i="49"/>
  <c r="O56" i="49"/>
  <c r="R56" i="49"/>
  <c r="Q56" i="49"/>
  <c r="P56" i="49"/>
  <c r="X56" i="49"/>
  <c r="Y56" i="49" s="1"/>
  <c r="Z56" i="49" s="1"/>
  <c r="AB56" i="49" s="1"/>
  <c r="W57" i="49"/>
  <c r="N57" i="49"/>
  <c r="F57" i="49" s="1"/>
  <c r="G57" i="49" s="1"/>
  <c r="M58" i="49"/>
  <c r="I32" i="29"/>
  <c r="R57" i="49" l="1"/>
  <c r="P57" i="49"/>
  <c r="Q57" i="49"/>
  <c r="O57" i="49"/>
  <c r="X57" i="49"/>
  <c r="Y57" i="49" s="1"/>
  <c r="Z57" i="49" s="1"/>
  <c r="AB57" i="49" s="1"/>
  <c r="M59" i="49"/>
  <c r="W58" i="49"/>
  <c r="N58" i="49"/>
  <c r="F58" i="49" s="1"/>
  <c r="G58" i="49" s="1"/>
  <c r="K56" i="35"/>
  <c r="K57" i="35"/>
  <c r="K58" i="35"/>
  <c r="K59" i="35"/>
  <c r="K60" i="35"/>
  <c r="K61" i="35"/>
  <c r="I41" i="30"/>
  <c r="I35" i="30"/>
  <c r="I32" i="30"/>
  <c r="I31" i="30"/>
  <c r="I30" i="30"/>
  <c r="I29" i="30"/>
  <c r="I28" i="30"/>
  <c r="I27" i="30"/>
  <c r="I25" i="30"/>
  <c r="L14" i="34"/>
  <c r="J14" i="34"/>
  <c r="H14" i="34"/>
  <c r="F14" i="34"/>
  <c r="O58" i="49" l="1"/>
  <c r="R58" i="49"/>
  <c r="Q58" i="49"/>
  <c r="P58" i="49"/>
  <c r="X58" i="49"/>
  <c r="Y58" i="49" s="1"/>
  <c r="Z58" i="49" s="1"/>
  <c r="AB58" i="49" s="1"/>
  <c r="M60" i="49"/>
  <c r="W59" i="49"/>
  <c r="N59" i="49"/>
  <c r="F59" i="49" s="1"/>
  <c r="G59" i="49" s="1"/>
  <c r="L14" i="46"/>
  <c r="J14" i="46"/>
  <c r="H14" i="46"/>
  <c r="F14" i="46"/>
  <c r="L21" i="46"/>
  <c r="L22" i="46" s="1"/>
  <c r="J21" i="46"/>
  <c r="J22" i="46" s="1"/>
  <c r="H21" i="46"/>
  <c r="H22" i="46" s="1"/>
  <c r="F21" i="46"/>
  <c r="F22" i="46" s="1"/>
  <c r="D45" i="46"/>
  <c r="D44" i="46"/>
  <c r="D42" i="46"/>
  <c r="C33" i="46"/>
  <c r="O31" i="46"/>
  <c r="N31" i="46"/>
  <c r="O30" i="46"/>
  <c r="N30" i="46"/>
  <c r="O29" i="46"/>
  <c r="N29" i="46"/>
  <c r="O28" i="46"/>
  <c r="N28" i="46"/>
  <c r="O27" i="46"/>
  <c r="N27" i="46"/>
  <c r="C27" i="46"/>
  <c r="L16" i="46"/>
  <c r="J16" i="46"/>
  <c r="H16" i="46"/>
  <c r="F16" i="46"/>
  <c r="L13" i="46"/>
  <c r="J13" i="46"/>
  <c r="J17" i="46" s="1"/>
  <c r="H13" i="46"/>
  <c r="F13" i="46"/>
  <c r="F12" i="46"/>
  <c r="H12" i="46" s="1"/>
  <c r="J12" i="46" s="1"/>
  <c r="L12" i="46" s="1"/>
  <c r="J10" i="46"/>
  <c r="K9" i="46" s="1"/>
  <c r="H10" i="46"/>
  <c r="I9" i="46" s="1"/>
  <c r="C2" i="46"/>
  <c r="L17" i="46" l="1"/>
  <c r="L18" i="46" s="1"/>
  <c r="F17" i="46"/>
  <c r="F37" i="46" s="1"/>
  <c r="F38" i="46" s="1"/>
  <c r="H17" i="46"/>
  <c r="F10" i="46"/>
  <c r="G9" i="46" s="1"/>
  <c r="P59" i="49"/>
  <c r="Q59" i="49"/>
  <c r="O59" i="49"/>
  <c r="R59" i="49"/>
  <c r="X59" i="49"/>
  <c r="Y59" i="49" s="1"/>
  <c r="Z59" i="49" s="1"/>
  <c r="AB59" i="49" s="1"/>
  <c r="W60" i="49"/>
  <c r="M61" i="49"/>
  <c r="N60" i="49"/>
  <c r="F60" i="49" s="1"/>
  <c r="G60" i="49" s="1"/>
  <c r="H39" i="46"/>
  <c r="H36" i="46"/>
  <c r="H25" i="46"/>
  <c r="H26" i="46" s="1"/>
  <c r="J25" i="46"/>
  <c r="J26" i="46" s="1"/>
  <c r="J39" i="46"/>
  <c r="J36" i="46"/>
  <c r="L25" i="46"/>
  <c r="L26" i="46" s="1"/>
  <c r="L39" i="46"/>
  <c r="J37" i="46"/>
  <c r="J38" i="46" s="1"/>
  <c r="J18" i="46"/>
  <c r="F18" i="46"/>
  <c r="H18" i="46"/>
  <c r="H37" i="46"/>
  <c r="H38" i="46" s="1"/>
  <c r="F25" i="46"/>
  <c r="F26" i="46" s="1"/>
  <c r="L10" i="46"/>
  <c r="M9" i="46" s="1"/>
  <c r="F39" i="46"/>
  <c r="F36" i="46" l="1"/>
  <c r="L37" i="46"/>
  <c r="L38" i="46" s="1"/>
  <c r="O60" i="49"/>
  <c r="Q60" i="49"/>
  <c r="P60" i="49"/>
  <c r="R60" i="49"/>
  <c r="M62" i="49"/>
  <c r="N61" i="49"/>
  <c r="F61" i="49" s="1"/>
  <c r="G61" i="49" s="1"/>
  <c r="W61" i="49"/>
  <c r="X60" i="49"/>
  <c r="Y60" i="49" s="1"/>
  <c r="Z60" i="49" s="1"/>
  <c r="AB60" i="49" s="1"/>
  <c r="J27" i="46"/>
  <c r="F27" i="46"/>
  <c r="L27" i="46"/>
  <c r="L36" i="46"/>
  <c r="H27" i="46"/>
  <c r="P61" i="49" l="1"/>
  <c r="Q61" i="49"/>
  <c r="O61" i="49"/>
  <c r="R61" i="49"/>
  <c r="X61" i="49"/>
  <c r="Y61" i="49" s="1"/>
  <c r="Z61" i="49" s="1"/>
  <c r="AB61" i="49" s="1"/>
  <c r="M63" i="49"/>
  <c r="W62" i="49"/>
  <c r="N62" i="49"/>
  <c r="F62" i="49" s="1"/>
  <c r="G62" i="49" s="1"/>
  <c r="Q62" i="49" l="1"/>
  <c r="R62" i="49"/>
  <c r="P62" i="49"/>
  <c r="O62" i="49"/>
  <c r="X62" i="49"/>
  <c r="Y62" i="49" s="1"/>
  <c r="Z62" i="49" s="1"/>
  <c r="AB62" i="49" s="1"/>
  <c r="M64" i="49"/>
  <c r="W63" i="49"/>
  <c r="N63" i="49"/>
  <c r="F63" i="49" s="1"/>
  <c r="G63" i="49" s="1"/>
  <c r="L21" i="41"/>
  <c r="L22" i="41" s="1"/>
  <c r="J21" i="41"/>
  <c r="J22" i="41" s="1"/>
  <c r="H21" i="41"/>
  <c r="H22" i="41" s="1"/>
  <c r="F21" i="41"/>
  <c r="F22" i="41" s="1"/>
  <c r="L14" i="41"/>
  <c r="J14" i="41"/>
  <c r="H14" i="41"/>
  <c r="F14" i="41"/>
  <c r="D45" i="41"/>
  <c r="D44" i="41"/>
  <c r="D42" i="41"/>
  <c r="C33" i="41"/>
  <c r="N31" i="41"/>
  <c r="N30" i="41"/>
  <c r="N29" i="41"/>
  <c r="N28" i="41"/>
  <c r="N27" i="41"/>
  <c r="C27" i="41"/>
  <c r="L16" i="41"/>
  <c r="J16" i="41"/>
  <c r="H16" i="41"/>
  <c r="F16" i="41"/>
  <c r="L13" i="41"/>
  <c r="L10" i="41" s="1"/>
  <c r="M9" i="41" s="1"/>
  <c r="J13" i="41"/>
  <c r="J10" i="41" s="1"/>
  <c r="K9" i="41" s="1"/>
  <c r="J17" i="41" s="1"/>
  <c r="H13" i="41"/>
  <c r="H10" i="41" s="1"/>
  <c r="I9" i="41" s="1"/>
  <c r="H17" i="41" s="1"/>
  <c r="F13" i="41"/>
  <c r="F12" i="41"/>
  <c r="H12" i="41" s="1"/>
  <c r="J12" i="41" s="1"/>
  <c r="L12" i="41" s="1"/>
  <c r="F10" i="41"/>
  <c r="G9" i="41" s="1"/>
  <c r="F17" i="41" s="1"/>
  <c r="C2" i="41"/>
  <c r="Q65" i="40"/>
  <c r="Q64" i="40"/>
  <c r="K63" i="40"/>
  <c r="F63" i="40" s="1"/>
  <c r="Q63" i="40" s="1"/>
  <c r="C63" i="40"/>
  <c r="R63" i="40" s="1"/>
  <c r="K62" i="40"/>
  <c r="F62" i="40" s="1"/>
  <c r="O62" i="40" s="1"/>
  <c r="C62" i="40"/>
  <c r="R62" i="40" s="1"/>
  <c r="K61" i="40"/>
  <c r="C61" i="40"/>
  <c r="K60" i="40"/>
  <c r="F60" i="40"/>
  <c r="C60" i="40"/>
  <c r="R60" i="40" s="1"/>
  <c r="K59" i="40"/>
  <c r="F59" i="40" s="1"/>
  <c r="N59" i="40" s="1"/>
  <c r="C59" i="40"/>
  <c r="K58" i="40"/>
  <c r="F58" i="40" s="1"/>
  <c r="O58" i="40" s="1"/>
  <c r="C58" i="40"/>
  <c r="R58" i="40" s="1"/>
  <c r="K57" i="40"/>
  <c r="C57" i="40"/>
  <c r="K56" i="40"/>
  <c r="F56" i="40" s="1"/>
  <c r="N56" i="40" s="1"/>
  <c r="C56" i="40"/>
  <c r="K55" i="40"/>
  <c r="F55" i="40" s="1"/>
  <c r="N55" i="40" s="1"/>
  <c r="C55" i="40"/>
  <c r="R55" i="40" s="1"/>
  <c r="K54" i="40"/>
  <c r="F54" i="40" s="1"/>
  <c r="O54" i="40" s="1"/>
  <c r="C54" i="40"/>
  <c r="K53" i="40"/>
  <c r="C53" i="40"/>
  <c r="K52" i="40"/>
  <c r="F52" i="40" s="1"/>
  <c r="N52" i="40" s="1"/>
  <c r="C52" i="40"/>
  <c r="R52" i="40" s="1"/>
  <c r="J51" i="40"/>
  <c r="K51" i="40" s="1"/>
  <c r="C51" i="40"/>
  <c r="R51" i="40" s="1"/>
  <c r="J50" i="40"/>
  <c r="K50" i="40" s="1"/>
  <c r="C50" i="40"/>
  <c r="J49" i="40"/>
  <c r="K49" i="40" s="1"/>
  <c r="C49" i="40"/>
  <c r="R49" i="40" s="1"/>
  <c r="L48" i="40"/>
  <c r="L49" i="40" s="1"/>
  <c r="L50" i="40" s="1"/>
  <c r="L51" i="40" s="1"/>
  <c r="L52" i="40" s="1"/>
  <c r="L53" i="40" s="1"/>
  <c r="L54" i="40" s="1"/>
  <c r="J48" i="40"/>
  <c r="K48" i="40" s="1"/>
  <c r="C48" i="40"/>
  <c r="R48" i="40" s="1"/>
  <c r="J47" i="40"/>
  <c r="K47" i="40" s="1"/>
  <c r="C47" i="40"/>
  <c r="R47" i="40" s="1"/>
  <c r="J46" i="40"/>
  <c r="K46" i="40" s="1"/>
  <c r="E46" i="40"/>
  <c r="C46" i="40" s="1"/>
  <c r="J45" i="40"/>
  <c r="K45" i="40" s="1"/>
  <c r="E45" i="40"/>
  <c r="C45" i="40" s="1"/>
  <c r="R45" i="40" s="1"/>
  <c r="J44" i="40"/>
  <c r="K44" i="40" s="1"/>
  <c r="E44" i="40"/>
  <c r="C44" i="40" s="1"/>
  <c r="J43" i="40"/>
  <c r="K43" i="40" s="1"/>
  <c r="E43" i="40"/>
  <c r="C43" i="40" s="1"/>
  <c r="J42" i="40"/>
  <c r="K42" i="40" s="1"/>
  <c r="E42" i="40"/>
  <c r="C42" i="40" s="1"/>
  <c r="J41" i="40"/>
  <c r="K41" i="40" s="1"/>
  <c r="E41" i="40"/>
  <c r="C41" i="40" s="1"/>
  <c r="R41" i="40" s="1"/>
  <c r="J40" i="40"/>
  <c r="K40" i="40" s="1"/>
  <c r="E40" i="40"/>
  <c r="C40" i="40" s="1"/>
  <c r="J39" i="40"/>
  <c r="K39" i="40" s="1"/>
  <c r="E39" i="40"/>
  <c r="C39" i="40" s="1"/>
  <c r="J38" i="40"/>
  <c r="K38" i="40" s="1"/>
  <c r="E38" i="40"/>
  <c r="C38" i="40" s="1"/>
  <c r="J37" i="40"/>
  <c r="K37" i="40" s="1"/>
  <c r="E37" i="40"/>
  <c r="C37" i="40" s="1"/>
  <c r="R37" i="40" s="1"/>
  <c r="J36" i="40"/>
  <c r="K36" i="40" s="1"/>
  <c r="E36" i="40"/>
  <c r="C36" i="40" s="1"/>
  <c r="J35" i="40"/>
  <c r="K35" i="40" s="1"/>
  <c r="E35" i="40"/>
  <c r="C35" i="40" s="1"/>
  <c r="J34" i="40"/>
  <c r="K34" i="40" s="1"/>
  <c r="E34" i="40"/>
  <c r="C34" i="40" s="1"/>
  <c r="J33" i="40"/>
  <c r="K33" i="40" s="1"/>
  <c r="E33" i="40"/>
  <c r="C33" i="40" s="1"/>
  <c r="R33" i="40" s="1"/>
  <c r="J32" i="40"/>
  <c r="K32" i="40" s="1"/>
  <c r="E32" i="40"/>
  <c r="C32" i="40" s="1"/>
  <c r="L31" i="40"/>
  <c r="J31" i="40"/>
  <c r="K31" i="40" s="1"/>
  <c r="E31" i="40"/>
  <c r="C31" i="40" s="1"/>
  <c r="J30" i="40"/>
  <c r="K30" i="40" s="1"/>
  <c r="E30" i="40"/>
  <c r="C30" i="40" s="1"/>
  <c r="R30" i="40" s="1"/>
  <c r="J29" i="40"/>
  <c r="K29" i="40" s="1"/>
  <c r="E29" i="40"/>
  <c r="C29" i="40" s="1"/>
  <c r="R29" i="40" s="1"/>
  <c r="J28" i="40"/>
  <c r="K28" i="40" s="1"/>
  <c r="E28" i="40"/>
  <c r="C28" i="40" s="1"/>
  <c r="R28" i="40" s="1"/>
  <c r="J27" i="40"/>
  <c r="K27" i="40" s="1"/>
  <c r="E27" i="40"/>
  <c r="C27" i="40" s="1"/>
  <c r="J26" i="40"/>
  <c r="K26" i="40" s="1"/>
  <c r="E26" i="40"/>
  <c r="C26" i="40" s="1"/>
  <c r="R26" i="40" s="1"/>
  <c r="J25" i="40"/>
  <c r="K25" i="40" s="1"/>
  <c r="E25" i="40"/>
  <c r="C25" i="40" s="1"/>
  <c r="J24" i="40"/>
  <c r="K24" i="40" s="1"/>
  <c r="E24" i="40"/>
  <c r="C24" i="40" s="1"/>
  <c r="R24" i="40" s="1"/>
  <c r="J23" i="40"/>
  <c r="K23" i="40" s="1"/>
  <c r="E23" i="40"/>
  <c r="C23" i="40" s="1"/>
  <c r="J22" i="40"/>
  <c r="K22" i="40" s="1"/>
  <c r="E22" i="40"/>
  <c r="C22" i="40" s="1"/>
  <c r="R22" i="40" s="1"/>
  <c r="J21" i="40"/>
  <c r="K21" i="40" s="1"/>
  <c r="E21" i="40"/>
  <c r="C21" i="40" s="1"/>
  <c r="R21" i="40" s="1"/>
  <c r="J20" i="40"/>
  <c r="K20" i="40" s="1"/>
  <c r="E20" i="40"/>
  <c r="C20" i="40" s="1"/>
  <c r="J19" i="40"/>
  <c r="K19" i="40" s="1"/>
  <c r="E19" i="40"/>
  <c r="C19" i="40" s="1"/>
  <c r="J18" i="40"/>
  <c r="K18" i="40" s="1"/>
  <c r="E18" i="40"/>
  <c r="C18" i="40" s="1"/>
  <c r="J17" i="40"/>
  <c r="K17" i="40" s="1"/>
  <c r="E17" i="40"/>
  <c r="C17" i="40" s="1"/>
  <c r="R17" i="40" s="1"/>
  <c r="J15" i="40"/>
  <c r="K15" i="40" s="1"/>
  <c r="E15" i="40"/>
  <c r="C15" i="40" s="1"/>
  <c r="R15" i="40" s="1"/>
  <c r="J14" i="40"/>
  <c r="K14" i="40" s="1"/>
  <c r="E14" i="40"/>
  <c r="C14" i="40" s="1"/>
  <c r="J13" i="40"/>
  <c r="K13" i="40" s="1"/>
  <c r="E13" i="40"/>
  <c r="C13" i="40" s="1"/>
  <c r="R13" i="40" s="1"/>
  <c r="J12" i="40"/>
  <c r="K12" i="40" s="1"/>
  <c r="E12" i="40"/>
  <c r="C12" i="40" s="1"/>
  <c r="R12" i="40" s="1"/>
  <c r="J11" i="40"/>
  <c r="K11" i="40" s="1"/>
  <c r="E11" i="40"/>
  <c r="C11" i="40" s="1"/>
  <c r="J10" i="40"/>
  <c r="K10" i="40" s="1"/>
  <c r="E10" i="40"/>
  <c r="C10" i="40" s="1"/>
  <c r="J9" i="40"/>
  <c r="K9" i="40" s="1"/>
  <c r="E9" i="40"/>
  <c r="C9" i="40" s="1"/>
  <c r="J8" i="40"/>
  <c r="K8" i="40" s="1"/>
  <c r="E8" i="40"/>
  <c r="C8" i="40" s="1"/>
  <c r="J7" i="40"/>
  <c r="K7" i="40" s="1"/>
  <c r="E7" i="40"/>
  <c r="C7" i="40" s="1"/>
  <c r="R7" i="40" s="1"/>
  <c r="L6" i="40"/>
  <c r="J6" i="40"/>
  <c r="K6" i="40" s="1"/>
  <c r="E6" i="40"/>
  <c r="C6" i="40" s="1"/>
  <c r="P63" i="49" l="1"/>
  <c r="R63" i="49"/>
  <c r="O63" i="49"/>
  <c r="Q63" i="49"/>
  <c r="L17" i="41"/>
  <c r="L37" i="41" s="1"/>
  <c r="L38" i="41" s="1"/>
  <c r="O56" i="40"/>
  <c r="X63" i="49"/>
  <c r="Y63" i="49" s="1"/>
  <c r="Z63" i="49" s="1"/>
  <c r="AB63" i="49" s="1"/>
  <c r="W64" i="49"/>
  <c r="N64" i="49"/>
  <c r="F64" i="49" s="1"/>
  <c r="G64" i="49" s="1"/>
  <c r="M65" i="49"/>
  <c r="P62" i="40"/>
  <c r="P54" i="40"/>
  <c r="P58" i="40"/>
  <c r="Q62" i="40"/>
  <c r="Q54" i="40"/>
  <c r="Q58" i="40"/>
  <c r="M6" i="40"/>
  <c r="F6" i="40" s="1"/>
  <c r="Q6" i="40" s="1"/>
  <c r="L36" i="41"/>
  <c r="H25" i="41"/>
  <c r="H26" i="41" s="1"/>
  <c r="H39" i="41"/>
  <c r="H36" i="41"/>
  <c r="F18" i="41"/>
  <c r="F37" i="41"/>
  <c r="F38" i="41" s="1"/>
  <c r="H18" i="41"/>
  <c r="H37" i="41"/>
  <c r="H38" i="41" s="1"/>
  <c r="J25" i="41"/>
  <c r="J26" i="41" s="1"/>
  <c r="J36" i="41"/>
  <c r="J39" i="41"/>
  <c r="F39" i="41"/>
  <c r="F25" i="41"/>
  <c r="F26" i="41" s="1"/>
  <c r="F36" i="41"/>
  <c r="J37" i="41"/>
  <c r="J38" i="41" s="1"/>
  <c r="J18" i="41"/>
  <c r="L25" i="41"/>
  <c r="L26" i="41" s="1"/>
  <c r="L39" i="41"/>
  <c r="R9" i="40"/>
  <c r="R25" i="40"/>
  <c r="R59" i="40"/>
  <c r="R56" i="40"/>
  <c r="R18" i="40"/>
  <c r="F21" i="40"/>
  <c r="M49" i="40"/>
  <c r="F49" i="40" s="1"/>
  <c r="R14" i="40"/>
  <c r="R20" i="40"/>
  <c r="R32" i="40"/>
  <c r="R35" i="40"/>
  <c r="F51" i="40"/>
  <c r="M51" i="40"/>
  <c r="R54" i="40"/>
  <c r="Q60" i="40"/>
  <c r="P60" i="40"/>
  <c r="O60" i="40"/>
  <c r="N60" i="40"/>
  <c r="R6" i="40"/>
  <c r="R8" i="40"/>
  <c r="R11" i="40"/>
  <c r="R23" i="40"/>
  <c r="R27" i="40"/>
  <c r="M31" i="40"/>
  <c r="F31" i="40" s="1"/>
  <c r="L55" i="40"/>
  <c r="M54" i="40"/>
  <c r="M50" i="40"/>
  <c r="F50" i="40" s="1"/>
  <c r="R39" i="40"/>
  <c r="R10" i="40"/>
  <c r="R19" i="40"/>
  <c r="R40" i="40"/>
  <c r="R43" i="40"/>
  <c r="P63" i="40"/>
  <c r="O63" i="40"/>
  <c r="N63" i="40"/>
  <c r="R31" i="40"/>
  <c r="R36" i="40"/>
  <c r="R44" i="40"/>
  <c r="M47" i="40"/>
  <c r="F47" i="40" s="1"/>
  <c r="Q52" i="40"/>
  <c r="P52" i="40"/>
  <c r="O52" i="40"/>
  <c r="F53" i="40"/>
  <c r="M53" i="40"/>
  <c r="R38" i="40"/>
  <c r="R46" i="40"/>
  <c r="R50" i="40"/>
  <c r="Q56" i="40"/>
  <c r="P56" i="40"/>
  <c r="P59" i="40"/>
  <c r="O59" i="40"/>
  <c r="Q59" i="40"/>
  <c r="R61" i="40"/>
  <c r="P55" i="40"/>
  <c r="O55" i="40"/>
  <c r="Q55" i="40"/>
  <c r="R57" i="40"/>
  <c r="F61" i="40"/>
  <c r="R34" i="40"/>
  <c r="R42" i="40"/>
  <c r="M48" i="40"/>
  <c r="F48" i="40" s="1"/>
  <c r="M52" i="40"/>
  <c r="R53" i="40"/>
  <c r="F57" i="40"/>
  <c r="N54" i="40"/>
  <c r="N58" i="40"/>
  <c r="N62" i="40"/>
  <c r="J32" i="12"/>
  <c r="J30" i="12"/>
  <c r="J21" i="39"/>
  <c r="J22" i="39" s="1"/>
  <c r="H21" i="39"/>
  <c r="H22" i="39" s="1"/>
  <c r="F21" i="39"/>
  <c r="F22" i="39" s="1"/>
  <c r="L14" i="39"/>
  <c r="J14" i="39"/>
  <c r="H14" i="39"/>
  <c r="F14" i="39"/>
  <c r="D45" i="39"/>
  <c r="D44" i="39"/>
  <c r="D42" i="39"/>
  <c r="C33" i="39"/>
  <c r="N31" i="39"/>
  <c r="N30" i="39"/>
  <c r="N29" i="39"/>
  <c r="N28" i="39"/>
  <c r="N27" i="39"/>
  <c r="C27" i="39"/>
  <c r="L16" i="39"/>
  <c r="J16" i="39"/>
  <c r="H16" i="39"/>
  <c r="F16" i="39"/>
  <c r="L13" i="39"/>
  <c r="L10" i="39" s="1"/>
  <c r="M9" i="39" s="1"/>
  <c r="J13" i="39"/>
  <c r="J10" i="39" s="1"/>
  <c r="K9" i="39" s="1"/>
  <c r="H13" i="39"/>
  <c r="H10" i="39" s="1"/>
  <c r="I9" i="39" s="1"/>
  <c r="H17" i="39" s="1"/>
  <c r="F13" i="39"/>
  <c r="F10" i="39" s="1"/>
  <c r="G9" i="39" s="1"/>
  <c r="F12" i="39"/>
  <c r="H12" i="39" s="1"/>
  <c r="J12" i="39" s="1"/>
  <c r="L12" i="39" s="1"/>
  <c r="C2" i="39"/>
  <c r="Q65" i="38"/>
  <c r="Q64" i="38"/>
  <c r="K63" i="38"/>
  <c r="F63" i="38" s="1"/>
  <c r="AA63" i="38" s="1"/>
  <c r="C63" i="38"/>
  <c r="R63" i="38" s="1"/>
  <c r="K62" i="38"/>
  <c r="F62" i="38" s="1"/>
  <c r="Q62" i="38" s="1"/>
  <c r="C62" i="38"/>
  <c r="R62" i="38" s="1"/>
  <c r="K61" i="38"/>
  <c r="C61" i="38"/>
  <c r="K60" i="38"/>
  <c r="F60" i="38" s="1"/>
  <c r="C60" i="38"/>
  <c r="K59" i="38"/>
  <c r="F59" i="38" s="1"/>
  <c r="C59" i="38"/>
  <c r="R59" i="38" s="1"/>
  <c r="K58" i="38"/>
  <c r="F58" i="38" s="1"/>
  <c r="Q58" i="38" s="1"/>
  <c r="C58" i="38"/>
  <c r="R58" i="38" s="1"/>
  <c r="K57" i="38"/>
  <c r="C57" i="38"/>
  <c r="K56" i="38"/>
  <c r="F56" i="38" s="1"/>
  <c r="C56" i="38"/>
  <c r="K55" i="38"/>
  <c r="F55" i="38" s="1"/>
  <c r="C55" i="38"/>
  <c r="R55" i="38" s="1"/>
  <c r="K54" i="38"/>
  <c r="C54" i="38"/>
  <c r="R54" i="38" s="1"/>
  <c r="K53" i="38"/>
  <c r="C53" i="38"/>
  <c r="K52" i="38"/>
  <c r="C52" i="38"/>
  <c r="R52" i="38" s="1"/>
  <c r="J51" i="38"/>
  <c r="K51" i="38" s="1"/>
  <c r="C51" i="38"/>
  <c r="R51" i="38" s="1"/>
  <c r="I50" i="38"/>
  <c r="J50" i="38" s="1"/>
  <c r="K50" i="38" s="1"/>
  <c r="C50" i="38"/>
  <c r="I49" i="38"/>
  <c r="J49" i="38" s="1"/>
  <c r="K49" i="38" s="1"/>
  <c r="C49" i="38"/>
  <c r="R49" i="38" s="1"/>
  <c r="L48" i="38"/>
  <c r="L49" i="38" s="1"/>
  <c r="L50" i="38" s="1"/>
  <c r="L51" i="38" s="1"/>
  <c r="I48" i="38"/>
  <c r="J48" i="38" s="1"/>
  <c r="K48" i="38" s="1"/>
  <c r="C48" i="38"/>
  <c r="R48" i="38" s="1"/>
  <c r="I47" i="38"/>
  <c r="J47" i="38" s="1"/>
  <c r="K47" i="38" s="1"/>
  <c r="C47" i="38"/>
  <c r="R47" i="38" s="1"/>
  <c r="I46" i="38"/>
  <c r="J46" i="38" s="1"/>
  <c r="K46" i="38" s="1"/>
  <c r="E46" i="38"/>
  <c r="C46" i="38" s="1"/>
  <c r="I45" i="38"/>
  <c r="J45" i="38" s="1"/>
  <c r="K45" i="38" s="1"/>
  <c r="E45" i="38"/>
  <c r="C45" i="38" s="1"/>
  <c r="R45" i="38" s="1"/>
  <c r="I44" i="38"/>
  <c r="J44" i="38" s="1"/>
  <c r="K44" i="38" s="1"/>
  <c r="E44" i="38"/>
  <c r="C44" i="38" s="1"/>
  <c r="I43" i="38"/>
  <c r="J43" i="38" s="1"/>
  <c r="K43" i="38" s="1"/>
  <c r="E43" i="38"/>
  <c r="C43" i="38" s="1"/>
  <c r="R43" i="38" s="1"/>
  <c r="I42" i="38"/>
  <c r="J42" i="38" s="1"/>
  <c r="K42" i="38" s="1"/>
  <c r="E42" i="38"/>
  <c r="C42" i="38" s="1"/>
  <c r="I41" i="38"/>
  <c r="J41" i="38" s="1"/>
  <c r="K41" i="38" s="1"/>
  <c r="E41" i="38"/>
  <c r="C41" i="38" s="1"/>
  <c r="R41" i="38" s="1"/>
  <c r="I40" i="38"/>
  <c r="J40" i="38" s="1"/>
  <c r="K40" i="38" s="1"/>
  <c r="E40" i="38"/>
  <c r="C40" i="38" s="1"/>
  <c r="I39" i="38"/>
  <c r="J39" i="38" s="1"/>
  <c r="K39" i="38" s="1"/>
  <c r="E39" i="38"/>
  <c r="C39" i="38" s="1"/>
  <c r="R39" i="38" s="1"/>
  <c r="I38" i="38"/>
  <c r="J38" i="38" s="1"/>
  <c r="K38" i="38" s="1"/>
  <c r="E38" i="38"/>
  <c r="C38" i="38" s="1"/>
  <c r="I37" i="38"/>
  <c r="J37" i="38" s="1"/>
  <c r="K37" i="38" s="1"/>
  <c r="E37" i="38"/>
  <c r="C37" i="38" s="1"/>
  <c r="R37" i="38" s="1"/>
  <c r="I36" i="38"/>
  <c r="J36" i="38" s="1"/>
  <c r="K36" i="38" s="1"/>
  <c r="E36" i="38"/>
  <c r="C36" i="38" s="1"/>
  <c r="I35" i="38"/>
  <c r="J35" i="38" s="1"/>
  <c r="K35" i="38" s="1"/>
  <c r="E35" i="38"/>
  <c r="C35" i="38" s="1"/>
  <c r="R35" i="38" s="1"/>
  <c r="I34" i="38"/>
  <c r="J34" i="38" s="1"/>
  <c r="K34" i="38" s="1"/>
  <c r="E34" i="38"/>
  <c r="C34" i="38" s="1"/>
  <c r="I33" i="38"/>
  <c r="J33" i="38" s="1"/>
  <c r="K33" i="38" s="1"/>
  <c r="E33" i="38"/>
  <c r="C33" i="38" s="1"/>
  <c r="R33" i="38" s="1"/>
  <c r="I32" i="38"/>
  <c r="J32" i="38" s="1"/>
  <c r="K32" i="38" s="1"/>
  <c r="E32" i="38"/>
  <c r="C32" i="38" s="1"/>
  <c r="L31" i="38"/>
  <c r="J31" i="38"/>
  <c r="K31" i="38" s="1"/>
  <c r="E31" i="38"/>
  <c r="C31" i="38" s="1"/>
  <c r="R31" i="38" s="1"/>
  <c r="J30" i="38"/>
  <c r="K30" i="38" s="1"/>
  <c r="E30" i="38"/>
  <c r="C30" i="38" s="1"/>
  <c r="J29" i="38"/>
  <c r="K29" i="38" s="1"/>
  <c r="E29" i="38"/>
  <c r="C29" i="38" s="1"/>
  <c r="R29" i="38" s="1"/>
  <c r="J28" i="38"/>
  <c r="K28" i="38" s="1"/>
  <c r="E28" i="38"/>
  <c r="C28" i="38" s="1"/>
  <c r="J27" i="38"/>
  <c r="K27" i="38" s="1"/>
  <c r="E27" i="38"/>
  <c r="C27" i="38" s="1"/>
  <c r="J26" i="38"/>
  <c r="K26" i="38" s="1"/>
  <c r="E26" i="38"/>
  <c r="C26" i="38" s="1"/>
  <c r="J25" i="38"/>
  <c r="K25" i="38" s="1"/>
  <c r="E25" i="38"/>
  <c r="C25" i="38" s="1"/>
  <c r="R25" i="38" s="1"/>
  <c r="J24" i="38"/>
  <c r="K24" i="38" s="1"/>
  <c r="E24" i="38"/>
  <c r="C24" i="38" s="1"/>
  <c r="J23" i="38"/>
  <c r="K23" i="38" s="1"/>
  <c r="E23" i="38"/>
  <c r="C23" i="38" s="1"/>
  <c r="J22" i="38"/>
  <c r="K22" i="38" s="1"/>
  <c r="E22" i="38"/>
  <c r="C22" i="38" s="1"/>
  <c r="R22" i="38" s="1"/>
  <c r="J21" i="38"/>
  <c r="K21" i="38" s="1"/>
  <c r="E21" i="38"/>
  <c r="C21" i="38" s="1"/>
  <c r="R21" i="38" s="1"/>
  <c r="J20" i="38"/>
  <c r="K20" i="38" s="1"/>
  <c r="E20" i="38"/>
  <c r="C20" i="38" s="1"/>
  <c r="J19" i="38"/>
  <c r="K19" i="38" s="1"/>
  <c r="E19" i="38"/>
  <c r="C19" i="38" s="1"/>
  <c r="J18" i="38"/>
  <c r="K18" i="38" s="1"/>
  <c r="E18" i="38"/>
  <c r="C18" i="38" s="1"/>
  <c r="J17" i="38"/>
  <c r="K17" i="38" s="1"/>
  <c r="E17" i="38"/>
  <c r="C17" i="38" s="1"/>
  <c r="R17" i="38" s="1"/>
  <c r="J15" i="38"/>
  <c r="K15" i="38" s="1"/>
  <c r="E15" i="38"/>
  <c r="C15" i="38" s="1"/>
  <c r="J14" i="38"/>
  <c r="K14" i="38" s="1"/>
  <c r="E14" i="38"/>
  <c r="C14" i="38" s="1"/>
  <c r="J13" i="38"/>
  <c r="K13" i="38" s="1"/>
  <c r="E13" i="38"/>
  <c r="C13" i="38" s="1"/>
  <c r="J12" i="38"/>
  <c r="K12" i="38" s="1"/>
  <c r="E12" i="38"/>
  <c r="C12" i="38" s="1"/>
  <c r="R12" i="38" s="1"/>
  <c r="J11" i="38"/>
  <c r="K11" i="38" s="1"/>
  <c r="E11" i="38"/>
  <c r="C11" i="38" s="1"/>
  <c r="J10" i="38"/>
  <c r="K10" i="38" s="1"/>
  <c r="E10" i="38"/>
  <c r="C10" i="38" s="1"/>
  <c r="J9" i="38"/>
  <c r="K9" i="38" s="1"/>
  <c r="E9" i="38"/>
  <c r="C9" i="38" s="1"/>
  <c r="J8" i="38"/>
  <c r="K8" i="38" s="1"/>
  <c r="E8" i="38"/>
  <c r="C8" i="38" s="1"/>
  <c r="R8" i="38" s="1"/>
  <c r="J7" i="38"/>
  <c r="K7" i="38" s="1"/>
  <c r="E7" i="38"/>
  <c r="C7" i="38" s="1"/>
  <c r="L6" i="38"/>
  <c r="J6" i="38"/>
  <c r="K6" i="38" s="1"/>
  <c r="E6" i="38"/>
  <c r="C6" i="38" s="1"/>
  <c r="F17" i="39" l="1"/>
  <c r="L18" i="41"/>
  <c r="O64" i="49"/>
  <c r="P64" i="49"/>
  <c r="R64" i="49"/>
  <c r="Q64" i="49"/>
  <c r="J17" i="39"/>
  <c r="J37" i="39" s="1"/>
  <c r="J38" i="39" s="1"/>
  <c r="L17" i="39"/>
  <c r="U53" i="38"/>
  <c r="Y53" i="38"/>
  <c r="U60" i="38"/>
  <c r="Y60" i="38"/>
  <c r="Y63" i="38"/>
  <c r="U63" i="38"/>
  <c r="F51" i="38"/>
  <c r="AA51" i="38" s="1"/>
  <c r="Y51" i="38"/>
  <c r="U51" i="38"/>
  <c r="V51" i="38" s="1"/>
  <c r="L52" i="38"/>
  <c r="L53" i="38" s="1"/>
  <c r="M53" i="38" s="1"/>
  <c r="Y56" i="38"/>
  <c r="U56" i="38"/>
  <c r="Y59" i="38"/>
  <c r="U59" i="38"/>
  <c r="Y62" i="38"/>
  <c r="U62" i="38"/>
  <c r="U54" i="38"/>
  <c r="Y54" i="38"/>
  <c r="U57" i="38"/>
  <c r="Y57" i="38"/>
  <c r="Y21" i="38"/>
  <c r="U21" i="38"/>
  <c r="U27" i="38"/>
  <c r="F52" i="38"/>
  <c r="AA52" i="38" s="1"/>
  <c r="U52" i="38"/>
  <c r="Y52" i="38"/>
  <c r="F54" i="38"/>
  <c r="N54" i="38" s="1"/>
  <c r="Y55" i="38"/>
  <c r="U55" i="38"/>
  <c r="U58" i="38"/>
  <c r="Y58" i="38"/>
  <c r="U61" i="38"/>
  <c r="Y61" i="38"/>
  <c r="X64" i="49"/>
  <c r="Y64" i="49" s="1"/>
  <c r="Z64" i="49" s="1"/>
  <c r="AB64" i="49" s="1"/>
  <c r="M66" i="49"/>
  <c r="N65" i="49"/>
  <c r="F65" i="49" s="1"/>
  <c r="G65" i="49" s="1"/>
  <c r="W65" i="49"/>
  <c r="O56" i="38"/>
  <c r="AA56" i="38"/>
  <c r="N55" i="38"/>
  <c r="AA55" i="38"/>
  <c r="O58" i="38"/>
  <c r="AA58" i="38"/>
  <c r="O60" i="38"/>
  <c r="AA60" i="38"/>
  <c r="N59" i="38"/>
  <c r="AA59" i="38"/>
  <c r="O62" i="38"/>
  <c r="AA62" i="38"/>
  <c r="P58" i="38"/>
  <c r="U14" i="38"/>
  <c r="U39" i="38"/>
  <c r="U37" i="38"/>
  <c r="Y50" i="38"/>
  <c r="U50" i="38"/>
  <c r="V50" i="38" s="1"/>
  <c r="W50" i="38" s="1"/>
  <c r="X50" i="38" s="1"/>
  <c r="U22" i="38"/>
  <c r="F24" i="38"/>
  <c r="AA24" i="38" s="1"/>
  <c r="Y24" i="38"/>
  <c r="U24" i="38"/>
  <c r="U23" i="38"/>
  <c r="U25" i="38"/>
  <c r="U26" i="38"/>
  <c r="U36" i="38"/>
  <c r="U38" i="38"/>
  <c r="U49" i="38"/>
  <c r="V49" i="38" s="1"/>
  <c r="W49" i="38" s="1"/>
  <c r="X49" i="38" s="1"/>
  <c r="Y49" i="38" s="1"/>
  <c r="U48" i="38"/>
  <c r="V48" i="38" s="1"/>
  <c r="U20" i="38"/>
  <c r="U41" i="38"/>
  <c r="U33" i="38"/>
  <c r="U17" i="38"/>
  <c r="U31" i="38"/>
  <c r="V31" i="38" s="1"/>
  <c r="U34" i="38"/>
  <c r="U45" i="38"/>
  <c r="U30" i="38"/>
  <c r="U18" i="38"/>
  <c r="U29" i="38"/>
  <c r="U32" i="38"/>
  <c r="U43" i="38"/>
  <c r="U47" i="38"/>
  <c r="V47" i="38" s="1"/>
  <c r="U15" i="38"/>
  <c r="U19" i="38"/>
  <c r="U28" i="38"/>
  <c r="U40" i="38"/>
  <c r="U35" i="38"/>
  <c r="U42" i="38"/>
  <c r="U44" i="38"/>
  <c r="U46" i="38"/>
  <c r="U11" i="38"/>
  <c r="U8" i="38"/>
  <c r="U10" i="38"/>
  <c r="U13" i="38"/>
  <c r="U9" i="38"/>
  <c r="U12" i="38"/>
  <c r="U7" i="38"/>
  <c r="U6" i="38"/>
  <c r="V6" i="38" s="1"/>
  <c r="N6" i="40"/>
  <c r="P6" i="40"/>
  <c r="O6" i="40"/>
  <c r="N56" i="38"/>
  <c r="P62" i="38"/>
  <c r="L27" i="41"/>
  <c r="J27" i="41"/>
  <c r="H27" i="41"/>
  <c r="F27" i="41"/>
  <c r="P31" i="40"/>
  <c r="O31" i="40"/>
  <c r="Q31" i="40"/>
  <c r="N31" i="40"/>
  <c r="P50" i="40"/>
  <c r="O50" i="40"/>
  <c r="N50" i="40"/>
  <c r="Q50" i="40"/>
  <c r="N53" i="40"/>
  <c r="Q53" i="40"/>
  <c r="P53" i="40"/>
  <c r="O53" i="40"/>
  <c r="P51" i="40"/>
  <c r="O51" i="40"/>
  <c r="Q51" i="40"/>
  <c r="N51" i="40"/>
  <c r="N57" i="40"/>
  <c r="Q57" i="40"/>
  <c r="P57" i="40"/>
  <c r="O57" i="40"/>
  <c r="N48" i="40"/>
  <c r="Q48" i="40"/>
  <c r="O48" i="40"/>
  <c r="P48" i="40"/>
  <c r="Q49" i="40"/>
  <c r="P49" i="40"/>
  <c r="O49" i="40"/>
  <c r="N49" i="40"/>
  <c r="O47" i="40"/>
  <c r="N47" i="40"/>
  <c r="Q47" i="40"/>
  <c r="P47" i="40"/>
  <c r="N61" i="40"/>
  <c r="Q61" i="40"/>
  <c r="P61" i="40"/>
  <c r="O61" i="40"/>
  <c r="L56" i="40"/>
  <c r="M55" i="40"/>
  <c r="Q21" i="40"/>
  <c r="N21" i="40"/>
  <c r="P21" i="40"/>
  <c r="O21" i="40"/>
  <c r="H18" i="39"/>
  <c r="H37" i="39"/>
  <c r="H38" i="39" s="1"/>
  <c r="J36" i="39"/>
  <c r="J39" i="39"/>
  <c r="J25" i="39"/>
  <c r="J26" i="39" s="1"/>
  <c r="L18" i="39"/>
  <c r="L37" i="39"/>
  <c r="J18" i="39"/>
  <c r="F18" i="39"/>
  <c r="F37" i="39"/>
  <c r="F38" i="39" s="1"/>
  <c r="F39" i="39"/>
  <c r="F25" i="39"/>
  <c r="F26" i="39" s="1"/>
  <c r="F36" i="39"/>
  <c r="H39" i="39"/>
  <c r="H36" i="39"/>
  <c r="H25" i="39"/>
  <c r="H26" i="39" s="1"/>
  <c r="M47" i="38"/>
  <c r="F47" i="38" s="1"/>
  <c r="R50" i="38"/>
  <c r="R60" i="38"/>
  <c r="R56" i="38"/>
  <c r="R9" i="38"/>
  <c r="R13" i="38"/>
  <c r="R15" i="38"/>
  <c r="R27" i="38"/>
  <c r="R30" i="38"/>
  <c r="Q52" i="38"/>
  <c r="N52" i="38"/>
  <c r="R7" i="38"/>
  <c r="R11" i="38"/>
  <c r="R23" i="38"/>
  <c r="M6" i="38"/>
  <c r="F6" i="38" s="1"/>
  <c r="R14" i="38"/>
  <c r="R20" i="38"/>
  <c r="Q51" i="38"/>
  <c r="N51" i="38"/>
  <c r="R28" i="38"/>
  <c r="M31" i="38"/>
  <c r="F31" i="38" s="1"/>
  <c r="R6" i="38"/>
  <c r="R10" i="38"/>
  <c r="R19" i="38"/>
  <c r="R24" i="38"/>
  <c r="M50" i="38"/>
  <c r="F50" i="38" s="1"/>
  <c r="Q60" i="38"/>
  <c r="P60" i="38"/>
  <c r="P63" i="38"/>
  <c r="O63" i="38"/>
  <c r="Q63" i="38"/>
  <c r="R18" i="38"/>
  <c r="R26" i="38"/>
  <c r="R44" i="38"/>
  <c r="R46" i="38"/>
  <c r="M51" i="38"/>
  <c r="Q56" i="38"/>
  <c r="P56" i="38"/>
  <c r="P59" i="38"/>
  <c r="O59" i="38"/>
  <c r="Q59" i="38"/>
  <c r="R61" i="38"/>
  <c r="R36" i="38"/>
  <c r="F53" i="38"/>
  <c r="AA53" i="38" s="1"/>
  <c r="R38" i="38"/>
  <c r="F21" i="38"/>
  <c r="AA21" i="38" s="1"/>
  <c r="R32" i="38"/>
  <c r="R40" i="38"/>
  <c r="P55" i="38"/>
  <c r="O55" i="38"/>
  <c r="Q55" i="38"/>
  <c r="R57" i="38"/>
  <c r="N60" i="38"/>
  <c r="F61" i="38"/>
  <c r="AA61" i="38" s="1"/>
  <c r="R34" i="38"/>
  <c r="R42" i="38"/>
  <c r="M48" i="38"/>
  <c r="F48" i="38" s="1"/>
  <c r="M49" i="38"/>
  <c r="F49" i="38" s="1"/>
  <c r="R53" i="38"/>
  <c r="F57" i="38"/>
  <c r="AA57" i="38" s="1"/>
  <c r="N63" i="38"/>
  <c r="N58" i="38"/>
  <c r="N62" i="38"/>
  <c r="O51" i="38" l="1"/>
  <c r="P51" i="38"/>
  <c r="O65" i="49"/>
  <c r="Q65" i="49"/>
  <c r="R65" i="49"/>
  <c r="P65" i="49"/>
  <c r="V52" i="38"/>
  <c r="O52" i="38"/>
  <c r="M52" i="38"/>
  <c r="P52" i="38"/>
  <c r="AA54" i="38"/>
  <c r="Q54" i="38"/>
  <c r="P54" i="38"/>
  <c r="O54" i="38"/>
  <c r="W52" i="38"/>
  <c r="X52" i="38" s="1"/>
  <c r="W51" i="38"/>
  <c r="X51" i="38" s="1"/>
  <c r="AA49" i="38"/>
  <c r="L54" i="38"/>
  <c r="V54" i="38" s="1"/>
  <c r="W54" i="38" s="1"/>
  <c r="X54" i="38" s="1"/>
  <c r="V53" i="38"/>
  <c r="W53" i="38" s="1"/>
  <c r="X53" i="38" s="1"/>
  <c r="P24" i="38"/>
  <c r="Q24" i="38"/>
  <c r="O24" i="38"/>
  <c r="N24" i="38"/>
  <c r="M67" i="49"/>
  <c r="W66" i="49"/>
  <c r="N66" i="49"/>
  <c r="F66" i="49" s="1"/>
  <c r="G66" i="49" s="1"/>
  <c r="X65" i="49"/>
  <c r="Y65" i="49" s="1"/>
  <c r="Z65" i="49" s="1"/>
  <c r="AB65" i="49" s="1"/>
  <c r="L21" i="39"/>
  <c r="L22" i="39" s="1"/>
  <c r="L39" i="39" s="1"/>
  <c r="AA50" i="38"/>
  <c r="W48" i="38"/>
  <c r="X48" i="38" s="1"/>
  <c r="Y48" i="38" s="1"/>
  <c r="AA48" i="38" s="1"/>
  <c r="W47" i="38"/>
  <c r="X47" i="38" s="1"/>
  <c r="Y47" i="38" s="1"/>
  <c r="AA47" i="38" s="1"/>
  <c r="W31" i="38"/>
  <c r="X31" i="38" s="1"/>
  <c r="Y31" i="38" s="1"/>
  <c r="AA31" i="38" s="1"/>
  <c r="W6" i="38"/>
  <c r="X6" i="38" s="1"/>
  <c r="Y6" i="38" s="1"/>
  <c r="AA6" i="38" s="1"/>
  <c r="L57" i="40"/>
  <c r="M56" i="40"/>
  <c r="F27" i="39"/>
  <c r="J27" i="39"/>
  <c r="H27" i="39"/>
  <c r="P47" i="38"/>
  <c r="Q47" i="38"/>
  <c r="N47" i="38"/>
  <c r="O47" i="38"/>
  <c r="P50" i="38"/>
  <c r="O50" i="38"/>
  <c r="N50" i="38"/>
  <c r="Q50" i="38"/>
  <c r="Q31" i="38"/>
  <c r="P31" i="38"/>
  <c r="N31" i="38"/>
  <c r="O31" i="38"/>
  <c r="Q49" i="38"/>
  <c r="P49" i="38"/>
  <c r="O49" i="38"/>
  <c r="N49" i="38"/>
  <c r="P6" i="38"/>
  <c r="O6" i="38"/>
  <c r="N6" i="38"/>
  <c r="Q6" i="38"/>
  <c r="N48" i="38"/>
  <c r="Q48" i="38"/>
  <c r="P48" i="38"/>
  <c r="O48" i="38"/>
  <c r="N61" i="38"/>
  <c r="Q61" i="38"/>
  <c r="P61" i="38"/>
  <c r="O61" i="38"/>
  <c r="N21" i="38"/>
  <c r="Q21" i="38"/>
  <c r="P21" i="38"/>
  <c r="O21" i="38"/>
  <c r="N53" i="38"/>
  <c r="Q53" i="38"/>
  <c r="P53" i="38"/>
  <c r="O53" i="38"/>
  <c r="N57" i="38"/>
  <c r="Q57" i="38"/>
  <c r="P57" i="38"/>
  <c r="O57" i="38"/>
  <c r="O66" i="49" l="1"/>
  <c r="Q66" i="49"/>
  <c r="R66" i="49"/>
  <c r="P66" i="49"/>
  <c r="M54" i="38"/>
  <c r="L55" i="38"/>
  <c r="X66" i="49"/>
  <c r="Y66" i="49" s="1"/>
  <c r="Z66" i="49" s="1"/>
  <c r="AB66" i="49" s="1"/>
  <c r="W67" i="49"/>
  <c r="N67" i="49"/>
  <c r="F67" i="49" s="1"/>
  <c r="G67" i="49" s="1"/>
  <c r="L25" i="39"/>
  <c r="L26" i="39" s="1"/>
  <c r="L27" i="39" s="1"/>
  <c r="L38" i="39"/>
  <c r="L36" i="39"/>
  <c r="L58" i="40"/>
  <c r="M57" i="40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5" i="29"/>
  <c r="J14" i="29"/>
  <c r="J13" i="29"/>
  <c r="J12" i="29"/>
  <c r="J11" i="29"/>
  <c r="J10" i="29"/>
  <c r="J9" i="29"/>
  <c r="J8" i="29"/>
  <c r="J7" i="29"/>
  <c r="K55" i="35"/>
  <c r="K54" i="35"/>
  <c r="K53" i="35"/>
  <c r="K26" i="35"/>
  <c r="K25" i="35"/>
  <c r="K23" i="35"/>
  <c r="K22" i="35"/>
  <c r="K21" i="35"/>
  <c r="K19" i="35"/>
  <c r="K18" i="35"/>
  <c r="K17" i="35"/>
  <c r="K15" i="35"/>
  <c r="K14" i="35"/>
  <c r="K13" i="35"/>
  <c r="K12" i="35"/>
  <c r="K11" i="35"/>
  <c r="K10" i="35"/>
  <c r="K9" i="35"/>
  <c r="K8" i="35"/>
  <c r="K7" i="35"/>
  <c r="J42" i="18"/>
  <c r="J41" i="18"/>
  <c r="J40" i="18"/>
  <c r="J39" i="18"/>
  <c r="J38" i="18"/>
  <c r="J37" i="18"/>
  <c r="J36" i="18"/>
  <c r="J35" i="18"/>
  <c r="J34" i="18"/>
  <c r="J33" i="18"/>
  <c r="J32" i="18"/>
  <c r="J31" i="18"/>
  <c r="J29" i="18"/>
  <c r="J27" i="18"/>
  <c r="J26" i="18"/>
  <c r="J25" i="18"/>
  <c r="J24" i="18"/>
  <c r="J23" i="18"/>
  <c r="J22" i="18"/>
  <c r="J21" i="18"/>
  <c r="J20" i="18"/>
  <c r="J19" i="18"/>
  <c r="J18" i="18"/>
  <c r="J17" i="18"/>
  <c r="J15" i="18"/>
  <c r="J14" i="18"/>
  <c r="J13" i="18"/>
  <c r="J12" i="18"/>
  <c r="J11" i="18"/>
  <c r="J10" i="18"/>
  <c r="J9" i="18"/>
  <c r="J8" i="18"/>
  <c r="J7" i="18"/>
  <c r="J63" i="11"/>
  <c r="J62" i="11"/>
  <c r="J61" i="11"/>
  <c r="J60" i="11"/>
  <c r="J59" i="11"/>
  <c r="J57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5" i="11"/>
  <c r="J14" i="11"/>
  <c r="J13" i="11"/>
  <c r="J12" i="11"/>
  <c r="J11" i="11"/>
  <c r="J10" i="11"/>
  <c r="J9" i="11"/>
  <c r="J8" i="11"/>
  <c r="J7" i="11"/>
  <c r="K63" i="12"/>
  <c r="K61" i="12"/>
  <c r="K60" i="12"/>
  <c r="K59" i="12"/>
  <c r="K58" i="12"/>
  <c r="K57" i="12"/>
  <c r="K56" i="12"/>
  <c r="K54" i="12"/>
  <c r="K53" i="12"/>
  <c r="K52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5" i="12"/>
  <c r="K14" i="12"/>
  <c r="K13" i="12"/>
  <c r="K12" i="12"/>
  <c r="K11" i="12"/>
  <c r="K10" i="12"/>
  <c r="K9" i="12"/>
  <c r="K8" i="12"/>
  <c r="P67" i="49" l="1"/>
  <c r="O67" i="49"/>
  <c r="Q67" i="49"/>
  <c r="R67" i="49"/>
  <c r="V55" i="38"/>
  <c r="M55" i="38"/>
  <c r="L56" i="38"/>
  <c r="X67" i="49"/>
  <c r="Y67" i="49" s="1"/>
  <c r="Z67" i="49" s="1"/>
  <c r="AB67" i="49" s="1"/>
  <c r="L59" i="40"/>
  <c r="M58" i="40"/>
  <c r="K50" i="35"/>
  <c r="K49" i="35"/>
  <c r="K48" i="35"/>
  <c r="K47" i="35"/>
  <c r="K46" i="35"/>
  <c r="K45" i="35"/>
  <c r="K44" i="35"/>
  <c r="K43" i="35"/>
  <c r="K42" i="35"/>
  <c r="K41" i="35"/>
  <c r="K40" i="35"/>
  <c r="K39" i="35"/>
  <c r="K37" i="35"/>
  <c r="K36" i="35"/>
  <c r="K35" i="35"/>
  <c r="K34" i="35"/>
  <c r="K33" i="35"/>
  <c r="K38" i="35"/>
  <c r="K32" i="35" l="1"/>
  <c r="V56" i="38"/>
  <c r="L57" i="38"/>
  <c r="M56" i="38"/>
  <c r="W55" i="38"/>
  <c r="X55" i="38" s="1"/>
  <c r="L60" i="40"/>
  <c r="M59" i="40"/>
  <c r="I28" i="18"/>
  <c r="J28" i="18" s="1"/>
  <c r="V57" i="38" l="1"/>
  <c r="W57" i="38" s="1"/>
  <c r="X57" i="38" s="1"/>
  <c r="M57" i="38"/>
  <c r="L58" i="38"/>
  <c r="W56" i="38"/>
  <c r="X56" i="38" s="1"/>
  <c r="L61" i="40"/>
  <c r="M60" i="40"/>
  <c r="K27" i="35"/>
  <c r="K31" i="35"/>
  <c r="K30" i="35"/>
  <c r="K29" i="35"/>
  <c r="K28" i="35"/>
  <c r="V58" i="38" l="1"/>
  <c r="W58" i="38" s="1"/>
  <c r="X58" i="38" s="1"/>
  <c r="L59" i="38"/>
  <c r="M58" i="38"/>
  <c r="L62" i="40"/>
  <c r="M61" i="40"/>
  <c r="E24" i="18"/>
  <c r="C24" i="18" s="1"/>
  <c r="K24" i="18"/>
  <c r="E21" i="18"/>
  <c r="C21" i="18" s="1"/>
  <c r="K21" i="18"/>
  <c r="E24" i="16"/>
  <c r="C24" i="16" s="1"/>
  <c r="K24" i="16"/>
  <c r="L24" i="16" s="1"/>
  <c r="E21" i="16"/>
  <c r="C21" i="16" s="1"/>
  <c r="K21" i="16"/>
  <c r="L21" i="16" s="1"/>
  <c r="E22" i="16"/>
  <c r="C22" i="16" s="1"/>
  <c r="K22" i="16"/>
  <c r="L22" i="16" s="1"/>
  <c r="E26" i="35"/>
  <c r="C26" i="35" s="1"/>
  <c r="L26" i="35"/>
  <c r="E22" i="35"/>
  <c r="C22" i="35" s="1"/>
  <c r="L22" i="35"/>
  <c r="E24" i="30"/>
  <c r="C24" i="30" s="1"/>
  <c r="J24" i="30"/>
  <c r="K24" i="30" s="1"/>
  <c r="E21" i="30"/>
  <c r="C21" i="30" s="1"/>
  <c r="J21" i="30"/>
  <c r="K21" i="30" s="1"/>
  <c r="E24" i="29"/>
  <c r="C24" i="29" s="1"/>
  <c r="R24" i="29" s="1"/>
  <c r="K24" i="29"/>
  <c r="E21" i="29"/>
  <c r="C21" i="29" s="1"/>
  <c r="R21" i="29" s="1"/>
  <c r="K21" i="29"/>
  <c r="E24" i="11"/>
  <c r="C24" i="11" s="1"/>
  <c r="K24" i="11"/>
  <c r="E21" i="11"/>
  <c r="C21" i="11" s="1"/>
  <c r="K21" i="11"/>
  <c r="E24" i="12"/>
  <c r="C24" i="12" s="1"/>
  <c r="L24" i="12"/>
  <c r="E21" i="12"/>
  <c r="C21" i="12" s="1"/>
  <c r="L21" i="12"/>
  <c r="J26" i="10"/>
  <c r="K26" i="10" s="1"/>
  <c r="C26" i="10"/>
  <c r="R26" i="10" s="1"/>
  <c r="J22" i="10"/>
  <c r="K22" i="10" s="1"/>
  <c r="C22" i="10"/>
  <c r="R22" i="10" s="1"/>
  <c r="V59" i="38" l="1"/>
  <c r="L60" i="38"/>
  <c r="M59" i="38"/>
  <c r="V26" i="35"/>
  <c r="V22" i="35"/>
  <c r="F24" i="30"/>
  <c r="Q24" i="30" s="1"/>
  <c r="L63" i="40"/>
  <c r="M63" i="40" s="1"/>
  <c r="M62" i="40"/>
  <c r="R24" i="18"/>
  <c r="R21" i="18"/>
  <c r="S24" i="16"/>
  <c r="S21" i="16"/>
  <c r="S22" i="16"/>
  <c r="S26" i="35"/>
  <c r="S22" i="35"/>
  <c r="R24" i="30"/>
  <c r="R21" i="30"/>
  <c r="F24" i="29"/>
  <c r="R24" i="11"/>
  <c r="R21" i="11"/>
  <c r="S24" i="12"/>
  <c r="S21" i="12"/>
  <c r="J21" i="36"/>
  <c r="H21" i="36"/>
  <c r="H22" i="36" s="1"/>
  <c r="D44" i="36"/>
  <c r="D42" i="36"/>
  <c r="N31" i="36"/>
  <c r="N30" i="36"/>
  <c r="N29" i="36"/>
  <c r="N28" i="36"/>
  <c r="N27" i="36"/>
  <c r="C27" i="36"/>
  <c r="L13" i="36"/>
  <c r="L10" i="36" s="1"/>
  <c r="M9" i="36" s="1"/>
  <c r="L17" i="36" s="1"/>
  <c r="J13" i="36"/>
  <c r="J10" i="36" s="1"/>
  <c r="K9" i="36" s="1"/>
  <c r="J17" i="36" s="1"/>
  <c r="H13" i="36"/>
  <c r="H10" i="36" s="1"/>
  <c r="I9" i="36" s="1"/>
  <c r="H17" i="36" s="1"/>
  <c r="F13" i="36"/>
  <c r="F10" i="36" s="1"/>
  <c r="G9" i="36" s="1"/>
  <c r="F12" i="36"/>
  <c r="H12" i="36" s="1"/>
  <c r="J12" i="36" s="1"/>
  <c r="L12" i="36" s="1"/>
  <c r="C2" i="36"/>
  <c r="R69" i="35"/>
  <c r="R68" i="35"/>
  <c r="L67" i="35"/>
  <c r="F67" i="35" s="1"/>
  <c r="C67" i="35"/>
  <c r="S67" i="35" s="1"/>
  <c r="L66" i="35"/>
  <c r="C66" i="35"/>
  <c r="S66" i="35" s="1"/>
  <c r="L65" i="35"/>
  <c r="C65" i="35"/>
  <c r="L64" i="35"/>
  <c r="C64" i="35"/>
  <c r="S64" i="35" s="1"/>
  <c r="L63" i="35"/>
  <c r="C63" i="35"/>
  <c r="S63" i="35" s="1"/>
  <c r="L62" i="35"/>
  <c r="C62" i="35"/>
  <c r="S62" i="35" s="1"/>
  <c r="L61" i="35"/>
  <c r="V61" i="35" s="1"/>
  <c r="C61" i="35"/>
  <c r="L60" i="35"/>
  <c r="V60" i="35" s="1"/>
  <c r="C60" i="35"/>
  <c r="L59" i="35"/>
  <c r="V59" i="35" s="1"/>
  <c r="C59" i="35"/>
  <c r="S59" i="35" s="1"/>
  <c r="L58" i="35"/>
  <c r="V58" i="35" s="1"/>
  <c r="C58" i="35"/>
  <c r="L57" i="35"/>
  <c r="V57" i="35" s="1"/>
  <c r="C57" i="35"/>
  <c r="L56" i="35"/>
  <c r="V56" i="35" s="1"/>
  <c r="C56" i="35"/>
  <c r="S56" i="35" s="1"/>
  <c r="L55" i="35"/>
  <c r="V55" i="35" s="1"/>
  <c r="C55" i="35"/>
  <c r="S55" i="35" s="1"/>
  <c r="L54" i="35"/>
  <c r="V54" i="35" s="1"/>
  <c r="C54" i="35"/>
  <c r="L53" i="35"/>
  <c r="V53" i="35" s="1"/>
  <c r="C53" i="35"/>
  <c r="S53" i="35" s="1"/>
  <c r="M50" i="35"/>
  <c r="L50" i="35"/>
  <c r="V50" i="35" s="1"/>
  <c r="C50" i="35"/>
  <c r="S50" i="35" s="1"/>
  <c r="L49" i="35"/>
  <c r="V49" i="35" s="1"/>
  <c r="W49" i="35" s="1"/>
  <c r="C49" i="35"/>
  <c r="L48" i="35"/>
  <c r="E48" i="35"/>
  <c r="C48" i="35" s="1"/>
  <c r="L47" i="35"/>
  <c r="E47" i="35"/>
  <c r="C47" i="35" s="1"/>
  <c r="L46" i="35"/>
  <c r="E46" i="35"/>
  <c r="C46" i="35" s="1"/>
  <c r="L45" i="35"/>
  <c r="E45" i="35"/>
  <c r="C45" i="35" s="1"/>
  <c r="L44" i="35"/>
  <c r="E44" i="35"/>
  <c r="C44" i="35" s="1"/>
  <c r="L43" i="35"/>
  <c r="E43" i="35"/>
  <c r="C43" i="35" s="1"/>
  <c r="L42" i="35"/>
  <c r="E42" i="35"/>
  <c r="C42" i="35" s="1"/>
  <c r="L41" i="35"/>
  <c r="E41" i="35"/>
  <c r="C41" i="35" s="1"/>
  <c r="L40" i="35"/>
  <c r="V40" i="35" s="1"/>
  <c r="E40" i="35"/>
  <c r="C40" i="35" s="1"/>
  <c r="L39" i="35"/>
  <c r="E39" i="35"/>
  <c r="C39" i="35" s="1"/>
  <c r="L38" i="35"/>
  <c r="E38" i="35"/>
  <c r="C38" i="35" s="1"/>
  <c r="L37" i="35"/>
  <c r="E37" i="35"/>
  <c r="C37" i="35" s="1"/>
  <c r="L36" i="35"/>
  <c r="E36" i="35"/>
  <c r="C36" i="35" s="1"/>
  <c r="L35" i="35"/>
  <c r="E35" i="35"/>
  <c r="C35" i="35" s="1"/>
  <c r="L34" i="35"/>
  <c r="E34" i="35"/>
  <c r="C34" i="35" s="1"/>
  <c r="M33" i="35"/>
  <c r="L33" i="35"/>
  <c r="E33" i="35"/>
  <c r="C33" i="35" s="1"/>
  <c r="L32" i="35"/>
  <c r="E32" i="35"/>
  <c r="C32" i="35" s="1"/>
  <c r="S32" i="35" s="1"/>
  <c r="L31" i="35"/>
  <c r="E31" i="35"/>
  <c r="C31" i="35" s="1"/>
  <c r="L30" i="35"/>
  <c r="E30" i="35"/>
  <c r="C30" i="35" s="1"/>
  <c r="S30" i="35" s="1"/>
  <c r="L29" i="35"/>
  <c r="E29" i="35"/>
  <c r="C29" i="35" s="1"/>
  <c r="L28" i="35"/>
  <c r="E28" i="35"/>
  <c r="C28" i="35" s="1"/>
  <c r="L27" i="35"/>
  <c r="E27" i="35"/>
  <c r="C27" i="35" s="1"/>
  <c r="L25" i="35"/>
  <c r="E25" i="35"/>
  <c r="C25" i="35" s="1"/>
  <c r="S25" i="35" s="1"/>
  <c r="L23" i="35"/>
  <c r="E23" i="35"/>
  <c r="C23" i="35" s="1"/>
  <c r="L21" i="35"/>
  <c r="E21" i="35"/>
  <c r="C21" i="35" s="1"/>
  <c r="L19" i="35"/>
  <c r="E19" i="35"/>
  <c r="C19" i="35" s="1"/>
  <c r="L18" i="35"/>
  <c r="E18" i="35"/>
  <c r="C18" i="35" s="1"/>
  <c r="S18" i="35" s="1"/>
  <c r="L17" i="35"/>
  <c r="E17" i="35"/>
  <c r="C17" i="35" s="1"/>
  <c r="L15" i="35"/>
  <c r="E15" i="35"/>
  <c r="C15" i="35" s="1"/>
  <c r="L14" i="35"/>
  <c r="E14" i="35"/>
  <c r="C14" i="35" s="1"/>
  <c r="L13" i="35"/>
  <c r="E13" i="35"/>
  <c r="C13" i="35" s="1"/>
  <c r="S13" i="35" s="1"/>
  <c r="L12" i="35"/>
  <c r="E12" i="35"/>
  <c r="C12" i="35" s="1"/>
  <c r="S12" i="35" s="1"/>
  <c r="L11" i="35"/>
  <c r="E11" i="35"/>
  <c r="C11" i="35" s="1"/>
  <c r="L10" i="35"/>
  <c r="E10" i="35"/>
  <c r="C10" i="35" s="1"/>
  <c r="S10" i="35" s="1"/>
  <c r="L9" i="35"/>
  <c r="E9" i="35"/>
  <c r="C9" i="35" s="1"/>
  <c r="S9" i="35" s="1"/>
  <c r="L8" i="35"/>
  <c r="E8" i="35"/>
  <c r="C8" i="35" s="1"/>
  <c r="S8" i="35" s="1"/>
  <c r="L7" i="35"/>
  <c r="E7" i="35"/>
  <c r="C7" i="35" s="1"/>
  <c r="M6" i="35"/>
  <c r="K6" i="35"/>
  <c r="L6" i="35" s="1"/>
  <c r="E6" i="35"/>
  <c r="C6" i="35" s="1"/>
  <c r="J6" i="29"/>
  <c r="J7" i="30"/>
  <c r="J8" i="30"/>
  <c r="J9" i="30"/>
  <c r="J10" i="30"/>
  <c r="J11" i="30"/>
  <c r="J12" i="30"/>
  <c r="J13" i="30"/>
  <c r="J14" i="30"/>
  <c r="J15" i="30"/>
  <c r="J17" i="30"/>
  <c r="J18" i="30"/>
  <c r="J19" i="30"/>
  <c r="J20" i="30"/>
  <c r="J22" i="30"/>
  <c r="J23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6" i="30"/>
  <c r="K60" i="16"/>
  <c r="K61" i="16"/>
  <c r="K62" i="16"/>
  <c r="K63" i="16"/>
  <c r="K64" i="16"/>
  <c r="K7" i="16"/>
  <c r="K8" i="16"/>
  <c r="K9" i="16"/>
  <c r="K10" i="16"/>
  <c r="K11" i="16"/>
  <c r="K12" i="16"/>
  <c r="K13" i="16"/>
  <c r="K14" i="16"/>
  <c r="K15" i="16"/>
  <c r="K17" i="16"/>
  <c r="K18" i="16"/>
  <c r="K19" i="16"/>
  <c r="K20" i="16"/>
  <c r="K23" i="16"/>
  <c r="K25" i="16"/>
  <c r="K26" i="16"/>
  <c r="K27" i="16"/>
  <c r="K28" i="16"/>
  <c r="K29" i="16"/>
  <c r="K30" i="16"/>
  <c r="K31" i="16"/>
  <c r="K32" i="16"/>
  <c r="K36" i="16"/>
  <c r="K37" i="16"/>
  <c r="K38" i="16"/>
  <c r="K39" i="16"/>
  <c r="K40" i="16"/>
  <c r="K41" i="16"/>
  <c r="K42" i="16"/>
  <c r="K43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" i="16"/>
  <c r="K7" i="12"/>
  <c r="K6" i="12"/>
  <c r="K10" i="18"/>
  <c r="K11" i="18"/>
  <c r="K12" i="18"/>
  <c r="K13" i="18"/>
  <c r="K14" i="18"/>
  <c r="K15" i="18"/>
  <c r="K17" i="18"/>
  <c r="K18" i="18"/>
  <c r="K19" i="18"/>
  <c r="K20" i="18"/>
  <c r="K22" i="18"/>
  <c r="K23" i="18"/>
  <c r="K25" i="18"/>
  <c r="K28" i="18"/>
  <c r="K32" i="18"/>
  <c r="K34" i="18"/>
  <c r="K35" i="18"/>
  <c r="K36" i="18"/>
  <c r="K38" i="18"/>
  <c r="J6" i="18"/>
  <c r="K6" i="18" s="1"/>
  <c r="K7" i="18"/>
  <c r="K8" i="18"/>
  <c r="K9" i="18"/>
  <c r="K26" i="18"/>
  <c r="K27" i="18"/>
  <c r="K33" i="18"/>
  <c r="K37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J49" i="10"/>
  <c r="J43" i="10"/>
  <c r="J44" i="10"/>
  <c r="J45" i="10"/>
  <c r="J46" i="10"/>
  <c r="J42" i="10"/>
  <c r="J12" i="10"/>
  <c r="J13" i="10"/>
  <c r="J14" i="10"/>
  <c r="J15" i="10"/>
  <c r="J17" i="10"/>
  <c r="J18" i="10"/>
  <c r="J19" i="10"/>
  <c r="J21" i="10"/>
  <c r="J23" i="10"/>
  <c r="J25" i="10"/>
  <c r="J27" i="10"/>
  <c r="J28" i="10"/>
  <c r="J29" i="10"/>
  <c r="J30" i="10"/>
  <c r="J31" i="10"/>
  <c r="J32" i="10"/>
  <c r="J11" i="10"/>
  <c r="J7" i="10"/>
  <c r="J8" i="10"/>
  <c r="J9" i="10"/>
  <c r="J10" i="10"/>
  <c r="J6" i="10"/>
  <c r="M53" i="35" l="1"/>
  <c r="M51" i="35"/>
  <c r="M54" i="35"/>
  <c r="M55" i="35" s="1"/>
  <c r="M56" i="35" s="1"/>
  <c r="M57" i="35" s="1"/>
  <c r="M58" i="35" s="1"/>
  <c r="W58" i="35" s="1"/>
  <c r="X58" i="35" s="1"/>
  <c r="Y58" i="35" s="1"/>
  <c r="Z58" i="35" s="1"/>
  <c r="P24" i="30"/>
  <c r="W50" i="35"/>
  <c r="X50" i="35" s="1"/>
  <c r="Y50" i="35" s="1"/>
  <c r="Z50" i="35" s="1"/>
  <c r="V60" i="38"/>
  <c r="M60" i="38"/>
  <c r="L61" i="38"/>
  <c r="W59" i="38"/>
  <c r="X59" i="38" s="1"/>
  <c r="W54" i="35"/>
  <c r="X54" i="35" s="1"/>
  <c r="Y54" i="35" s="1"/>
  <c r="Z54" i="35" s="1"/>
  <c r="V65" i="35"/>
  <c r="V6" i="35"/>
  <c r="W6" i="35" s="1"/>
  <c r="X6" i="35" s="1"/>
  <c r="Y6" i="35" s="1"/>
  <c r="Z6" i="35" s="1"/>
  <c r="V62" i="35"/>
  <c r="Z67" i="35"/>
  <c r="V67" i="35"/>
  <c r="V63" i="35"/>
  <c r="W53" i="35"/>
  <c r="X53" i="35" s="1"/>
  <c r="Y53" i="35" s="1"/>
  <c r="Z53" i="35" s="1"/>
  <c r="W55" i="35"/>
  <c r="V64" i="35"/>
  <c r="V66" i="35"/>
  <c r="N24" i="30"/>
  <c r="O24" i="30"/>
  <c r="R67" i="35"/>
  <c r="AB67" i="35"/>
  <c r="V11" i="35"/>
  <c r="V18" i="35"/>
  <c r="V25" i="35"/>
  <c r="V32" i="35"/>
  <c r="V38" i="35"/>
  <c r="V9" i="35"/>
  <c r="V15" i="35"/>
  <c r="V28" i="35"/>
  <c r="Z28" i="35"/>
  <c r="V12" i="35"/>
  <c r="V14" i="35"/>
  <c r="V19" i="35"/>
  <c r="V23" i="35"/>
  <c r="V27" i="35"/>
  <c r="V29" i="35"/>
  <c r="V13" i="35"/>
  <c r="V8" i="35"/>
  <c r="V10" i="35"/>
  <c r="V17" i="35"/>
  <c r="V35" i="35"/>
  <c r="V37" i="35"/>
  <c r="V39" i="35"/>
  <c r="V47" i="35"/>
  <c r="X49" i="35"/>
  <c r="Y49" i="35" s="1"/>
  <c r="Z49" i="35" s="1"/>
  <c r="V7" i="35"/>
  <c r="V30" i="35"/>
  <c r="V31" i="35"/>
  <c r="V46" i="35"/>
  <c r="V34" i="35"/>
  <c r="V36" i="35"/>
  <c r="V42" i="35"/>
  <c r="V44" i="35"/>
  <c r="V48" i="35"/>
  <c r="V33" i="35"/>
  <c r="W33" i="35" s="1"/>
  <c r="V41" i="35"/>
  <c r="V43" i="35"/>
  <c r="V45" i="35"/>
  <c r="V21" i="35"/>
  <c r="X55" i="35"/>
  <c r="Y55" i="35" s="1"/>
  <c r="Z55" i="35" s="1"/>
  <c r="J22" i="36"/>
  <c r="J39" i="36" s="1"/>
  <c r="O24" i="29"/>
  <c r="P24" i="29"/>
  <c r="N24" i="29"/>
  <c r="Q24" i="29"/>
  <c r="F17" i="36"/>
  <c r="F18" i="36" s="1"/>
  <c r="L37" i="36"/>
  <c r="L18" i="36"/>
  <c r="J18" i="36"/>
  <c r="J37" i="36"/>
  <c r="H18" i="36"/>
  <c r="H37" i="36"/>
  <c r="H38" i="36" s="1"/>
  <c r="H39" i="36"/>
  <c r="H25" i="36"/>
  <c r="H26" i="36" s="1"/>
  <c r="H36" i="36"/>
  <c r="S54" i="35"/>
  <c r="S60" i="35"/>
  <c r="S7" i="35"/>
  <c r="S6" i="35"/>
  <c r="S11" i="35"/>
  <c r="N6" i="35"/>
  <c r="F6" i="35" s="1"/>
  <c r="G6" i="35" s="1"/>
  <c r="S28" i="35"/>
  <c r="S37" i="35"/>
  <c r="S40" i="35"/>
  <c r="S46" i="35"/>
  <c r="N57" i="35"/>
  <c r="F57" i="35" s="1"/>
  <c r="M59" i="35"/>
  <c r="W59" i="35" s="1"/>
  <c r="N58" i="35"/>
  <c r="F58" i="35" s="1"/>
  <c r="G58" i="35" s="1"/>
  <c r="S34" i="35"/>
  <c r="S41" i="35"/>
  <c r="S43" i="35"/>
  <c r="S44" i="35"/>
  <c r="N49" i="35"/>
  <c r="F49" i="35" s="1"/>
  <c r="G49" i="35" s="1"/>
  <c r="N54" i="35"/>
  <c r="F54" i="35" s="1"/>
  <c r="N55" i="35"/>
  <c r="F55" i="35" s="1"/>
  <c r="G55" i="35" s="1"/>
  <c r="S58" i="35"/>
  <c r="S17" i="35"/>
  <c r="S23" i="35"/>
  <c r="S29" i="35"/>
  <c r="N33" i="35"/>
  <c r="F33" i="35" s="1"/>
  <c r="G33" i="35" s="1"/>
  <c r="S38" i="35"/>
  <c r="S45" i="35"/>
  <c r="S47" i="35"/>
  <c r="S48" i="35"/>
  <c r="Q67" i="35"/>
  <c r="P67" i="35"/>
  <c r="O67" i="35"/>
  <c r="S15" i="35"/>
  <c r="S21" i="35"/>
  <c r="S39" i="35"/>
  <c r="S14" i="35"/>
  <c r="S19" i="35"/>
  <c r="S27" i="35"/>
  <c r="S31" i="35"/>
  <c r="S33" i="35"/>
  <c r="S35" i="35"/>
  <c r="S36" i="35"/>
  <c r="S42" i="35"/>
  <c r="S49" i="35"/>
  <c r="S65" i="35"/>
  <c r="S61" i="35"/>
  <c r="N50" i="35"/>
  <c r="F50" i="35" s="1"/>
  <c r="G50" i="35" s="1"/>
  <c r="N53" i="35"/>
  <c r="F53" i="35" s="1"/>
  <c r="G53" i="35" s="1"/>
  <c r="N56" i="35"/>
  <c r="F56" i="35" s="1"/>
  <c r="G56" i="35" s="1"/>
  <c r="S57" i="35"/>
  <c r="J6" i="11"/>
  <c r="W56" i="35" l="1"/>
  <c r="X56" i="35" s="1"/>
  <c r="Y56" i="35" s="1"/>
  <c r="Z56" i="35" s="1"/>
  <c r="W57" i="35"/>
  <c r="X57" i="35" s="1"/>
  <c r="Y57" i="35" s="1"/>
  <c r="Z57" i="35" s="1"/>
  <c r="AB57" i="35" s="1"/>
  <c r="N51" i="35"/>
  <c r="F51" i="35" s="1"/>
  <c r="Q51" i="35" s="1"/>
  <c r="M52" i="35"/>
  <c r="N52" i="35" s="1"/>
  <c r="F52" i="35" s="1"/>
  <c r="AB54" i="35"/>
  <c r="G54" i="35"/>
  <c r="G57" i="35"/>
  <c r="AB6" i="35"/>
  <c r="AB53" i="35"/>
  <c r="V61" i="38"/>
  <c r="W61" i="38" s="1"/>
  <c r="X61" i="38" s="1"/>
  <c r="M61" i="38"/>
  <c r="L62" i="38"/>
  <c r="W60" i="38"/>
  <c r="X60" i="38" s="1"/>
  <c r="X59" i="35"/>
  <c r="Y59" i="35" s="1"/>
  <c r="Z59" i="35" s="1"/>
  <c r="AB49" i="35"/>
  <c r="AB50" i="35"/>
  <c r="AB58" i="35"/>
  <c r="AB56" i="35"/>
  <c r="X33" i="35"/>
  <c r="Y33" i="35" s="1"/>
  <c r="Z33" i="35" s="1"/>
  <c r="AB33" i="35" s="1"/>
  <c r="AB55" i="35"/>
  <c r="R58" i="35"/>
  <c r="Q58" i="35"/>
  <c r="P58" i="35"/>
  <c r="O58" i="35"/>
  <c r="Q56" i="35"/>
  <c r="P56" i="35"/>
  <c r="O56" i="35"/>
  <c r="R56" i="35"/>
  <c r="J38" i="36"/>
  <c r="J25" i="36"/>
  <c r="J26" i="36" s="1"/>
  <c r="J36" i="36"/>
  <c r="F37" i="36"/>
  <c r="H27" i="36"/>
  <c r="Q54" i="35"/>
  <c r="P54" i="35"/>
  <c r="O54" i="35"/>
  <c r="R54" i="35"/>
  <c r="P6" i="35"/>
  <c r="O6" i="35"/>
  <c r="Q6" i="35"/>
  <c r="R6" i="35"/>
  <c r="Q33" i="35"/>
  <c r="R33" i="35"/>
  <c r="P33" i="35"/>
  <c r="O33" i="35"/>
  <c r="O49" i="35"/>
  <c r="P49" i="35"/>
  <c r="R49" i="35"/>
  <c r="Q49" i="35"/>
  <c r="Q55" i="35"/>
  <c r="P55" i="35"/>
  <c r="R55" i="35"/>
  <c r="O55" i="35"/>
  <c r="O57" i="35"/>
  <c r="R57" i="35"/>
  <c r="Q57" i="35"/>
  <c r="P57" i="35"/>
  <c r="R53" i="35"/>
  <c r="Q53" i="35"/>
  <c r="P53" i="35"/>
  <c r="O53" i="35"/>
  <c r="O50" i="35"/>
  <c r="R50" i="35"/>
  <c r="Q50" i="35"/>
  <c r="P50" i="35"/>
  <c r="M60" i="35"/>
  <c r="W60" i="35" s="1"/>
  <c r="X60" i="35" s="1"/>
  <c r="Y60" i="35" s="1"/>
  <c r="Z60" i="35" s="1"/>
  <c r="N59" i="35"/>
  <c r="F59" i="35" s="1"/>
  <c r="G59" i="35" s="1"/>
  <c r="R51" i="35" l="1"/>
  <c r="G51" i="35"/>
  <c r="P51" i="35"/>
  <c r="O51" i="35"/>
  <c r="R52" i="35"/>
  <c r="O52" i="35"/>
  <c r="Q52" i="35"/>
  <c r="P52" i="35"/>
  <c r="G52" i="35"/>
  <c r="V62" i="38"/>
  <c r="W62" i="38" s="1"/>
  <c r="X62" i="38" s="1"/>
  <c r="L63" i="38"/>
  <c r="M62" i="38"/>
  <c r="AB59" i="35"/>
  <c r="O59" i="35"/>
  <c r="Q59" i="35"/>
  <c r="P59" i="35"/>
  <c r="R59" i="35"/>
  <c r="J27" i="36"/>
  <c r="M61" i="35"/>
  <c r="W61" i="35" s="1"/>
  <c r="X61" i="35" s="1"/>
  <c r="Y61" i="35" s="1"/>
  <c r="Z61" i="35" s="1"/>
  <c r="N60" i="35"/>
  <c r="F60" i="35" s="1"/>
  <c r="D19" i="1"/>
  <c r="AB60" i="35" l="1"/>
  <c r="G60" i="35"/>
  <c r="M63" i="38"/>
  <c r="V63" i="38"/>
  <c r="P60" i="35"/>
  <c r="R60" i="35"/>
  <c r="O60" i="35"/>
  <c r="Q60" i="35"/>
  <c r="M62" i="35"/>
  <c r="W62" i="35" s="1"/>
  <c r="N61" i="35"/>
  <c r="F61" i="35" s="1"/>
  <c r="AB61" i="35" l="1"/>
  <c r="G61" i="35"/>
  <c r="W63" i="38"/>
  <c r="X63" i="38" s="1"/>
  <c r="X62" i="35"/>
  <c r="Y62" i="35" s="1"/>
  <c r="Z62" i="35" s="1"/>
  <c r="Q61" i="35"/>
  <c r="P61" i="35"/>
  <c r="O61" i="35"/>
  <c r="R61" i="35"/>
  <c r="M63" i="35"/>
  <c r="W63" i="35" s="1"/>
  <c r="N62" i="35"/>
  <c r="F62" i="35" s="1"/>
  <c r="G62" i="35" s="1"/>
  <c r="AB62" i="35" l="1"/>
  <c r="P62" i="35"/>
  <c r="R62" i="35"/>
  <c r="O62" i="35"/>
  <c r="Q62" i="35"/>
  <c r="X63" i="35"/>
  <c r="Y63" i="35" s="1"/>
  <c r="Z63" i="35" s="1"/>
  <c r="M64" i="35"/>
  <c r="W64" i="35" s="1"/>
  <c r="X64" i="35" s="1"/>
  <c r="Y64" i="35" s="1"/>
  <c r="Z64" i="35" s="1"/>
  <c r="N63" i="35"/>
  <c r="F63" i="35" s="1"/>
  <c r="G63" i="35" s="1"/>
  <c r="R63" i="35" l="1"/>
  <c r="P63" i="35"/>
  <c r="Q63" i="35"/>
  <c r="O63" i="35"/>
  <c r="AB63" i="35"/>
  <c r="M65" i="35"/>
  <c r="W65" i="35" s="1"/>
  <c r="N64" i="35"/>
  <c r="F64" i="35" s="1"/>
  <c r="G64" i="35" s="1"/>
  <c r="C28" i="2"/>
  <c r="AB64" i="35" l="1"/>
  <c r="O64" i="35"/>
  <c r="R64" i="35"/>
  <c r="Q64" i="35"/>
  <c r="P64" i="35"/>
  <c r="C28" i="50"/>
  <c r="J28" i="50" s="1"/>
  <c r="C28" i="53"/>
  <c r="X65" i="35"/>
  <c r="Y65" i="35" s="1"/>
  <c r="Z65" i="35" s="1"/>
  <c r="C28" i="46"/>
  <c r="C28" i="41"/>
  <c r="C28" i="39"/>
  <c r="C28" i="36"/>
  <c r="M66" i="35"/>
  <c r="W66" i="35" s="1"/>
  <c r="N65" i="35"/>
  <c r="F65" i="35" s="1"/>
  <c r="G65" i="35" s="1"/>
  <c r="C29" i="2"/>
  <c r="I41" i="11"/>
  <c r="J41" i="11" s="1"/>
  <c r="I40" i="11"/>
  <c r="J40" i="11" s="1"/>
  <c r="I39" i="11"/>
  <c r="J39" i="11" s="1"/>
  <c r="I38" i="11"/>
  <c r="J38" i="11" s="1"/>
  <c r="I37" i="11"/>
  <c r="J37" i="11" s="1"/>
  <c r="K46" i="12"/>
  <c r="K45" i="12"/>
  <c r="K35" i="12"/>
  <c r="K26" i="29"/>
  <c r="E26" i="29"/>
  <c r="C26" i="29" s="1"/>
  <c r="R26" i="29" s="1"/>
  <c r="K18" i="29"/>
  <c r="E18" i="29"/>
  <c r="C18" i="29" s="1"/>
  <c r="R18" i="29" s="1"/>
  <c r="K26" i="30"/>
  <c r="E26" i="30"/>
  <c r="C26" i="30" s="1"/>
  <c r="L26" i="16"/>
  <c r="E26" i="16"/>
  <c r="C26" i="16" s="1"/>
  <c r="E26" i="18"/>
  <c r="C26" i="18" s="1"/>
  <c r="K18" i="11"/>
  <c r="E18" i="11"/>
  <c r="C18" i="11" s="1"/>
  <c r="L18" i="12"/>
  <c r="E18" i="12"/>
  <c r="C18" i="12" s="1"/>
  <c r="K18" i="30"/>
  <c r="E18" i="30"/>
  <c r="C18" i="30" s="1"/>
  <c r="K26" i="11"/>
  <c r="E26" i="11"/>
  <c r="C26" i="11" s="1"/>
  <c r="L26" i="12"/>
  <c r="E26" i="12"/>
  <c r="C26" i="12" s="1"/>
  <c r="S26" i="12" s="1"/>
  <c r="K28" i="10"/>
  <c r="C28" i="10"/>
  <c r="R28" i="10" s="1"/>
  <c r="AB65" i="35" l="1"/>
  <c r="P65" i="35"/>
  <c r="O65" i="35"/>
  <c r="R65" i="35"/>
  <c r="Q65" i="35"/>
  <c r="L28" i="50"/>
  <c r="F28" i="53"/>
  <c r="L28" i="53"/>
  <c r="H28" i="53"/>
  <c r="J28" i="53"/>
  <c r="C29" i="50"/>
  <c r="L29" i="50" s="1"/>
  <c r="C29" i="53"/>
  <c r="X66" i="35"/>
  <c r="Y66" i="35" s="1"/>
  <c r="Z66" i="35" s="1"/>
  <c r="H28" i="36"/>
  <c r="J28" i="36"/>
  <c r="H28" i="46"/>
  <c r="J28" i="46"/>
  <c r="F28" i="46"/>
  <c r="L28" i="46"/>
  <c r="J28" i="41"/>
  <c r="F28" i="41"/>
  <c r="L28" i="41"/>
  <c r="H28" i="41"/>
  <c r="C29" i="46"/>
  <c r="C29" i="41"/>
  <c r="C29" i="39"/>
  <c r="C29" i="36"/>
  <c r="L28" i="39"/>
  <c r="F28" i="39"/>
  <c r="J28" i="39"/>
  <c r="H28" i="39"/>
  <c r="M67" i="35"/>
  <c r="N66" i="35"/>
  <c r="F66" i="35" s="1"/>
  <c r="G66" i="35" s="1"/>
  <c r="C30" i="2"/>
  <c r="S26" i="16"/>
  <c r="F26" i="29"/>
  <c r="R26" i="30"/>
  <c r="F26" i="30"/>
  <c r="F26" i="16"/>
  <c r="G26" i="16" s="1"/>
  <c r="R26" i="18"/>
  <c r="F18" i="11"/>
  <c r="R18" i="11"/>
  <c r="S18" i="12"/>
  <c r="F18" i="12"/>
  <c r="G18" i="12" s="1"/>
  <c r="R18" i="30"/>
  <c r="R26" i="11"/>
  <c r="F26" i="11"/>
  <c r="F26" i="12"/>
  <c r="G26" i="12" s="1"/>
  <c r="J29" i="50" l="1"/>
  <c r="AB66" i="35"/>
  <c r="Q66" i="35"/>
  <c r="O66" i="35"/>
  <c r="R66" i="35"/>
  <c r="P66" i="35"/>
  <c r="J29" i="53"/>
  <c r="H29" i="53"/>
  <c r="L29" i="53"/>
  <c r="F29" i="53"/>
  <c r="C30" i="50"/>
  <c r="L30" i="50" s="1"/>
  <c r="C30" i="53"/>
  <c r="N67" i="35"/>
  <c r="W67" i="35"/>
  <c r="X67" i="35" s="1"/>
  <c r="Y67" i="35" s="1"/>
  <c r="C30" i="46"/>
  <c r="C30" i="41"/>
  <c r="C30" i="39"/>
  <c r="C30" i="36"/>
  <c r="F29" i="41"/>
  <c r="L29" i="41"/>
  <c r="H29" i="41"/>
  <c r="J29" i="41"/>
  <c r="H29" i="36"/>
  <c r="J29" i="36"/>
  <c r="L29" i="46"/>
  <c r="H29" i="46"/>
  <c r="F29" i="46"/>
  <c r="J29" i="46"/>
  <c r="J29" i="39"/>
  <c r="L29" i="39"/>
  <c r="H29" i="39"/>
  <c r="F29" i="39"/>
  <c r="C31" i="2"/>
  <c r="N26" i="29"/>
  <c r="Q26" i="29"/>
  <c r="O26" i="29"/>
  <c r="P26" i="29"/>
  <c r="N26" i="30"/>
  <c r="O26" i="30"/>
  <c r="Q26" i="30"/>
  <c r="P26" i="30"/>
  <c r="O26" i="16"/>
  <c r="R26" i="16"/>
  <c r="Q26" i="16"/>
  <c r="P26" i="16"/>
  <c r="Q18" i="11"/>
  <c r="P18" i="11"/>
  <c r="O18" i="11"/>
  <c r="N18" i="11"/>
  <c r="O18" i="12"/>
  <c r="R18" i="12"/>
  <c r="Q18" i="12"/>
  <c r="P18" i="12"/>
  <c r="N26" i="11"/>
  <c r="Q26" i="11"/>
  <c r="O26" i="11"/>
  <c r="P26" i="11"/>
  <c r="O26" i="12"/>
  <c r="R26" i="12"/>
  <c r="P26" i="12"/>
  <c r="Q26" i="12"/>
  <c r="J30" i="50" l="1"/>
  <c r="J30" i="53"/>
  <c r="F30" i="53"/>
  <c r="H30" i="53"/>
  <c r="L30" i="53"/>
  <c r="C31" i="50"/>
  <c r="C31" i="53"/>
  <c r="J31" i="50"/>
  <c r="L31" i="50"/>
  <c r="H30" i="36"/>
  <c r="J30" i="36"/>
  <c r="J30" i="46"/>
  <c r="F30" i="46"/>
  <c r="L30" i="46"/>
  <c r="H30" i="46"/>
  <c r="H30" i="41"/>
  <c r="J30" i="41"/>
  <c r="L30" i="41"/>
  <c r="F30" i="41"/>
  <c r="C31" i="46"/>
  <c r="C31" i="41"/>
  <c r="C31" i="39"/>
  <c r="C31" i="36"/>
  <c r="F30" i="39"/>
  <c r="H30" i="39"/>
  <c r="J30" i="39"/>
  <c r="L30" i="39"/>
  <c r="E18" i="18"/>
  <c r="C18" i="18" s="1"/>
  <c r="R18" i="18" s="1"/>
  <c r="E18" i="16"/>
  <c r="C18" i="16" s="1"/>
  <c r="S18" i="16" s="1"/>
  <c r="L18" i="16"/>
  <c r="K18" i="10"/>
  <c r="C18" i="10"/>
  <c r="R18" i="10" s="1"/>
  <c r="J31" i="53" l="1"/>
  <c r="L31" i="53"/>
  <c r="H31" i="53"/>
  <c r="F31" i="53"/>
  <c r="J31" i="41"/>
  <c r="F31" i="41"/>
  <c r="L31" i="41"/>
  <c r="H31" i="41"/>
  <c r="H31" i="36"/>
  <c r="J31" i="36"/>
  <c r="J31" i="46"/>
  <c r="F31" i="46"/>
  <c r="L31" i="46"/>
  <c r="H31" i="46"/>
  <c r="J31" i="39"/>
  <c r="F31" i="39"/>
  <c r="L31" i="39"/>
  <c r="H31" i="39"/>
  <c r="F18" i="18"/>
  <c r="F18" i="16"/>
  <c r="G18" i="16" s="1"/>
  <c r="L21" i="34"/>
  <c r="L22" i="34" s="1"/>
  <c r="J21" i="34"/>
  <c r="J22" i="34" s="1"/>
  <c r="D45" i="34"/>
  <c r="D44" i="34"/>
  <c r="D42" i="34"/>
  <c r="C33" i="34"/>
  <c r="O31" i="34"/>
  <c r="N31" i="34"/>
  <c r="C31" i="34"/>
  <c r="O30" i="34"/>
  <c r="N30" i="34"/>
  <c r="C30" i="34"/>
  <c r="O29" i="34"/>
  <c r="N29" i="34"/>
  <c r="C29" i="34"/>
  <c r="O28" i="34"/>
  <c r="N28" i="34"/>
  <c r="C28" i="34"/>
  <c r="O27" i="34"/>
  <c r="N27" i="34"/>
  <c r="C27" i="34"/>
  <c r="L16" i="34"/>
  <c r="J16" i="34"/>
  <c r="H16" i="34"/>
  <c r="F16" i="34"/>
  <c r="L13" i="34"/>
  <c r="L10" i="34" s="1"/>
  <c r="J13" i="34"/>
  <c r="J10" i="34" s="1"/>
  <c r="H13" i="34"/>
  <c r="H10" i="34" s="1"/>
  <c r="F13" i="34"/>
  <c r="F12" i="34"/>
  <c r="H12" i="34" s="1"/>
  <c r="J12" i="34" s="1"/>
  <c r="L12" i="34" s="1"/>
  <c r="C2" i="34"/>
  <c r="L17" i="34" l="1"/>
  <c r="L37" i="34" s="1"/>
  <c r="F17" i="34"/>
  <c r="F37" i="34" s="1"/>
  <c r="F10" i="34"/>
  <c r="G9" i="34" s="1"/>
  <c r="H17" i="34"/>
  <c r="H37" i="34" s="1"/>
  <c r="I9" i="34"/>
  <c r="K9" i="34"/>
  <c r="J17" i="34"/>
  <c r="J37" i="34" s="1"/>
  <c r="M9" i="34"/>
  <c r="N18" i="18"/>
  <c r="Q18" i="18"/>
  <c r="P18" i="18"/>
  <c r="O18" i="18"/>
  <c r="P18" i="16"/>
  <c r="Q18" i="16"/>
  <c r="R18" i="16"/>
  <c r="O18" i="16"/>
  <c r="L18" i="34"/>
  <c r="F18" i="34" l="1"/>
  <c r="H18" i="34"/>
  <c r="L39" i="34"/>
  <c r="L25" i="34"/>
  <c r="L26" i="34" s="1"/>
  <c r="J39" i="34"/>
  <c r="J25" i="34"/>
  <c r="J26" i="34" s="1"/>
  <c r="L36" i="34"/>
  <c r="L38" i="34"/>
  <c r="J38" i="34"/>
  <c r="J36" i="34"/>
  <c r="J18" i="34"/>
  <c r="C31" i="5"/>
  <c r="C30" i="5"/>
  <c r="C29" i="5"/>
  <c r="C28" i="5"/>
  <c r="C27" i="5"/>
  <c r="C31" i="7"/>
  <c r="C30" i="7"/>
  <c r="C29" i="7"/>
  <c r="C28" i="7"/>
  <c r="C27" i="7"/>
  <c r="C31" i="6"/>
  <c r="C30" i="6"/>
  <c r="C29" i="6"/>
  <c r="C28" i="6"/>
  <c r="C27" i="6"/>
  <c r="C31" i="9"/>
  <c r="C30" i="9"/>
  <c r="C29" i="9"/>
  <c r="C28" i="9"/>
  <c r="C27" i="9"/>
  <c r="L21" i="2"/>
  <c r="L22" i="2" s="1"/>
  <c r="J21" i="2"/>
  <c r="J22" i="2" s="1"/>
  <c r="H21" i="2"/>
  <c r="H22" i="2" s="1"/>
  <c r="K13" i="29"/>
  <c r="K10" i="29"/>
  <c r="L31" i="29"/>
  <c r="E46" i="29"/>
  <c r="C46" i="29" s="1"/>
  <c r="R46" i="29" s="1"/>
  <c r="E7" i="29"/>
  <c r="C7" i="29" s="1"/>
  <c r="R7" i="29" s="1"/>
  <c r="E8" i="29"/>
  <c r="C8" i="29" s="1"/>
  <c r="E9" i="29"/>
  <c r="C9" i="29" s="1"/>
  <c r="R9" i="29" s="1"/>
  <c r="E10" i="29"/>
  <c r="C10" i="29" s="1"/>
  <c r="R10" i="29" s="1"/>
  <c r="E11" i="29"/>
  <c r="C11" i="29" s="1"/>
  <c r="R11" i="29" s="1"/>
  <c r="E12" i="29"/>
  <c r="C12" i="29" s="1"/>
  <c r="R12" i="29" s="1"/>
  <c r="E13" i="29"/>
  <c r="C13" i="29" s="1"/>
  <c r="R13" i="29" s="1"/>
  <c r="E14" i="29"/>
  <c r="C14" i="29" s="1"/>
  <c r="R14" i="29" s="1"/>
  <c r="E15" i="29"/>
  <c r="C15" i="29" s="1"/>
  <c r="R15" i="29" s="1"/>
  <c r="E17" i="29"/>
  <c r="C17" i="29" s="1"/>
  <c r="R17" i="29" s="1"/>
  <c r="E19" i="29"/>
  <c r="C19" i="29" s="1"/>
  <c r="R19" i="29" s="1"/>
  <c r="E20" i="29"/>
  <c r="C20" i="29" s="1"/>
  <c r="R20" i="29" s="1"/>
  <c r="E22" i="29"/>
  <c r="C22" i="29" s="1"/>
  <c r="R22" i="29" s="1"/>
  <c r="E23" i="29"/>
  <c r="C23" i="29" s="1"/>
  <c r="R23" i="29" s="1"/>
  <c r="E25" i="29"/>
  <c r="C25" i="29" s="1"/>
  <c r="R25" i="29" s="1"/>
  <c r="E27" i="29"/>
  <c r="C27" i="29" s="1"/>
  <c r="R27" i="29" s="1"/>
  <c r="E28" i="29"/>
  <c r="C28" i="29" s="1"/>
  <c r="R28" i="29" s="1"/>
  <c r="E29" i="29"/>
  <c r="C29" i="29" s="1"/>
  <c r="R29" i="29" s="1"/>
  <c r="E30" i="29"/>
  <c r="C30" i="29" s="1"/>
  <c r="R30" i="29" s="1"/>
  <c r="E31" i="29"/>
  <c r="C31" i="29" s="1"/>
  <c r="R31" i="29" s="1"/>
  <c r="E32" i="29"/>
  <c r="C32" i="29" s="1"/>
  <c r="R32" i="29" s="1"/>
  <c r="E33" i="29"/>
  <c r="C33" i="29" s="1"/>
  <c r="R33" i="29" s="1"/>
  <c r="E34" i="29"/>
  <c r="C34" i="29" s="1"/>
  <c r="R34" i="29" s="1"/>
  <c r="E35" i="29"/>
  <c r="C35" i="29" s="1"/>
  <c r="R35" i="29" s="1"/>
  <c r="E36" i="29"/>
  <c r="C36" i="29" s="1"/>
  <c r="R36" i="29" s="1"/>
  <c r="E37" i="29"/>
  <c r="C37" i="29" s="1"/>
  <c r="R37" i="29" s="1"/>
  <c r="E38" i="29"/>
  <c r="C38" i="29" s="1"/>
  <c r="R38" i="29" s="1"/>
  <c r="E39" i="29"/>
  <c r="C39" i="29" s="1"/>
  <c r="R39" i="29" s="1"/>
  <c r="E40" i="29"/>
  <c r="C40" i="29" s="1"/>
  <c r="R40" i="29" s="1"/>
  <c r="E41" i="29"/>
  <c r="C41" i="29" s="1"/>
  <c r="R41" i="29" s="1"/>
  <c r="E42" i="29"/>
  <c r="C42" i="29" s="1"/>
  <c r="R42" i="29" s="1"/>
  <c r="E43" i="29"/>
  <c r="C43" i="29" s="1"/>
  <c r="R43" i="29" s="1"/>
  <c r="E44" i="29"/>
  <c r="C44" i="29" s="1"/>
  <c r="R44" i="29" s="1"/>
  <c r="E45" i="29"/>
  <c r="C45" i="29" s="1"/>
  <c r="R45" i="29" s="1"/>
  <c r="E6" i="29"/>
  <c r="C6" i="29" s="1"/>
  <c r="R6" i="29" s="1"/>
  <c r="L6" i="29"/>
  <c r="K6" i="29"/>
  <c r="L31" i="30"/>
  <c r="K20" i="30"/>
  <c r="K14" i="30"/>
  <c r="K12" i="30"/>
  <c r="K10" i="30"/>
  <c r="K9" i="30"/>
  <c r="K8" i="30"/>
  <c r="L6" i="30"/>
  <c r="K6" i="30"/>
  <c r="E7" i="30"/>
  <c r="C7" i="30" s="1"/>
  <c r="E8" i="30"/>
  <c r="C8" i="30" s="1"/>
  <c r="E9" i="30"/>
  <c r="C9" i="30" s="1"/>
  <c r="E10" i="30"/>
  <c r="C10" i="30" s="1"/>
  <c r="E11" i="30"/>
  <c r="C11" i="30" s="1"/>
  <c r="E12" i="30"/>
  <c r="C12" i="30" s="1"/>
  <c r="E13" i="30"/>
  <c r="C13" i="30" s="1"/>
  <c r="E14" i="30"/>
  <c r="C14" i="30" s="1"/>
  <c r="E15" i="30"/>
  <c r="C15" i="30" s="1"/>
  <c r="E17" i="30"/>
  <c r="C17" i="30" s="1"/>
  <c r="E19" i="30"/>
  <c r="C19" i="30" s="1"/>
  <c r="E20" i="30"/>
  <c r="C20" i="30" s="1"/>
  <c r="E22" i="30"/>
  <c r="C22" i="30" s="1"/>
  <c r="E23" i="30"/>
  <c r="C23" i="30" s="1"/>
  <c r="E25" i="30"/>
  <c r="C25" i="30" s="1"/>
  <c r="E27" i="30"/>
  <c r="C27" i="30" s="1"/>
  <c r="E28" i="30"/>
  <c r="C28" i="30" s="1"/>
  <c r="E29" i="30"/>
  <c r="C29" i="30" s="1"/>
  <c r="E30" i="30"/>
  <c r="C30" i="30" s="1"/>
  <c r="E31" i="30"/>
  <c r="C31" i="30" s="1"/>
  <c r="E32" i="30"/>
  <c r="C32" i="30" s="1"/>
  <c r="E33" i="30"/>
  <c r="C33" i="30" s="1"/>
  <c r="E34" i="30"/>
  <c r="C34" i="30" s="1"/>
  <c r="E35" i="30"/>
  <c r="C35" i="30" s="1"/>
  <c r="E36" i="30"/>
  <c r="C36" i="30" s="1"/>
  <c r="E37" i="30"/>
  <c r="C37" i="30" s="1"/>
  <c r="E38" i="30"/>
  <c r="C38" i="30" s="1"/>
  <c r="E39" i="30"/>
  <c r="C39" i="30" s="1"/>
  <c r="E40" i="30"/>
  <c r="C40" i="30" s="1"/>
  <c r="E41" i="30"/>
  <c r="C41" i="30" s="1"/>
  <c r="E42" i="30"/>
  <c r="C42" i="30" s="1"/>
  <c r="E43" i="30"/>
  <c r="C43" i="30" s="1"/>
  <c r="E44" i="30"/>
  <c r="C44" i="30" s="1"/>
  <c r="E45" i="30"/>
  <c r="C45" i="30" s="1"/>
  <c r="E46" i="30"/>
  <c r="C46" i="30" s="1"/>
  <c r="E6" i="30"/>
  <c r="C6" i="30" s="1"/>
  <c r="E7" i="16"/>
  <c r="E8" i="16"/>
  <c r="C8" i="16" s="1"/>
  <c r="S8" i="16" s="1"/>
  <c r="E9" i="16"/>
  <c r="C9" i="16" s="1"/>
  <c r="E10" i="16"/>
  <c r="C10" i="16" s="1"/>
  <c r="S10" i="16" s="1"/>
  <c r="E11" i="16"/>
  <c r="C11" i="16" s="1"/>
  <c r="E12" i="16"/>
  <c r="C12" i="16" s="1"/>
  <c r="S12" i="16" s="1"/>
  <c r="E13" i="16"/>
  <c r="C13" i="16" s="1"/>
  <c r="E14" i="16"/>
  <c r="C14" i="16" s="1"/>
  <c r="S14" i="16" s="1"/>
  <c r="E15" i="16"/>
  <c r="E17" i="16"/>
  <c r="E19" i="16"/>
  <c r="E20" i="16"/>
  <c r="E23" i="16"/>
  <c r="E25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6" i="16"/>
  <c r="E7" i="18"/>
  <c r="E8" i="18"/>
  <c r="C8" i="18" s="1"/>
  <c r="R8" i="18" s="1"/>
  <c r="E9" i="18"/>
  <c r="E10" i="18"/>
  <c r="C10" i="18" s="1"/>
  <c r="R10" i="18" s="1"/>
  <c r="E11" i="18"/>
  <c r="E12" i="18"/>
  <c r="C12" i="18" s="1"/>
  <c r="R12" i="18" s="1"/>
  <c r="E13" i="18"/>
  <c r="E14" i="18"/>
  <c r="C14" i="18" s="1"/>
  <c r="R14" i="18" s="1"/>
  <c r="E15" i="18"/>
  <c r="E17" i="18"/>
  <c r="E19" i="18"/>
  <c r="E20" i="18"/>
  <c r="E22" i="18"/>
  <c r="E23" i="18"/>
  <c r="E25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6" i="18"/>
  <c r="C6" i="18" s="1"/>
  <c r="R6" i="18" s="1"/>
  <c r="L14" i="16"/>
  <c r="L12" i="16"/>
  <c r="L10" i="16"/>
  <c r="L8" i="16"/>
  <c r="M6" i="16"/>
  <c r="F8" i="18"/>
  <c r="L47" i="18"/>
  <c r="L31" i="18"/>
  <c r="L6" i="18"/>
  <c r="F6" i="18"/>
  <c r="E7" i="11"/>
  <c r="E8" i="11"/>
  <c r="C8" i="11" s="1"/>
  <c r="R8" i="11" s="1"/>
  <c r="E9" i="11"/>
  <c r="E10" i="11"/>
  <c r="C10" i="11" s="1"/>
  <c r="R10" i="11" s="1"/>
  <c r="E11" i="11"/>
  <c r="E12" i="11"/>
  <c r="C12" i="11" s="1"/>
  <c r="R12" i="11" s="1"/>
  <c r="E13" i="11"/>
  <c r="E14" i="11"/>
  <c r="E15" i="11"/>
  <c r="C15" i="11" s="1"/>
  <c r="E17" i="11"/>
  <c r="E19" i="11"/>
  <c r="E20" i="11"/>
  <c r="E22" i="11"/>
  <c r="E23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6" i="11"/>
  <c r="C6" i="11" s="1"/>
  <c r="R6" i="11" s="1"/>
  <c r="E7" i="12"/>
  <c r="E8" i="12"/>
  <c r="C8" i="12" s="1"/>
  <c r="S8" i="12" s="1"/>
  <c r="E9" i="12"/>
  <c r="E10" i="12"/>
  <c r="C10" i="12" s="1"/>
  <c r="S10" i="12" s="1"/>
  <c r="E11" i="12"/>
  <c r="E12" i="12"/>
  <c r="C12" i="12" s="1"/>
  <c r="S12" i="12" s="1"/>
  <c r="E13" i="12"/>
  <c r="E14" i="12"/>
  <c r="E15" i="12"/>
  <c r="E17" i="12"/>
  <c r="E19" i="12"/>
  <c r="E20" i="12"/>
  <c r="E22" i="12"/>
  <c r="E23" i="12"/>
  <c r="E25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6" i="12"/>
  <c r="C6" i="12" s="1"/>
  <c r="S6" i="12" s="1"/>
  <c r="L31" i="11"/>
  <c r="K12" i="11"/>
  <c r="K10" i="11"/>
  <c r="K8" i="11"/>
  <c r="L6" i="11"/>
  <c r="K6" i="11"/>
  <c r="M31" i="12"/>
  <c r="L12" i="12"/>
  <c r="L10" i="12"/>
  <c r="L8" i="12"/>
  <c r="M6" i="12"/>
  <c r="L6" i="12"/>
  <c r="K12" i="10"/>
  <c r="C12" i="10"/>
  <c r="R12" i="10" s="1"/>
  <c r="K10" i="10"/>
  <c r="C10" i="10"/>
  <c r="R10" i="10" s="1"/>
  <c r="K8" i="10"/>
  <c r="C8" i="10"/>
  <c r="R8" i="10" s="1"/>
  <c r="L50" i="10"/>
  <c r="L48" i="52" s="1"/>
  <c r="M48" i="52" s="1"/>
  <c r="L34" i="10"/>
  <c r="L7" i="10"/>
  <c r="L7" i="52" s="1"/>
  <c r="M7" i="52" s="1"/>
  <c r="K6" i="10"/>
  <c r="C6" i="10"/>
  <c r="R6" i="10" s="1"/>
  <c r="Q65" i="30"/>
  <c r="Q64" i="30"/>
  <c r="K63" i="30"/>
  <c r="F63" i="30" s="1"/>
  <c r="C63" i="30"/>
  <c r="R63" i="30" s="1"/>
  <c r="K62" i="30"/>
  <c r="C62" i="30"/>
  <c r="R62" i="30" s="1"/>
  <c r="K61" i="30"/>
  <c r="F61" i="30" s="1"/>
  <c r="C61" i="30"/>
  <c r="R61" i="30" s="1"/>
  <c r="K60" i="30"/>
  <c r="C60" i="30"/>
  <c r="R60" i="30" s="1"/>
  <c r="K59" i="30"/>
  <c r="F59" i="30" s="1"/>
  <c r="C59" i="30"/>
  <c r="R59" i="30" s="1"/>
  <c r="K58" i="30"/>
  <c r="C58" i="30"/>
  <c r="R58" i="30" s="1"/>
  <c r="K57" i="30"/>
  <c r="F57" i="30" s="1"/>
  <c r="C57" i="30"/>
  <c r="R57" i="30" s="1"/>
  <c r="K56" i="30"/>
  <c r="C56" i="30"/>
  <c r="R56" i="30" s="1"/>
  <c r="K55" i="30"/>
  <c r="F55" i="30" s="1"/>
  <c r="C55" i="30"/>
  <c r="R55" i="30" s="1"/>
  <c r="K54" i="30"/>
  <c r="C54" i="30"/>
  <c r="R54" i="30" s="1"/>
  <c r="K53" i="30"/>
  <c r="F53" i="30" s="1"/>
  <c r="C53" i="30"/>
  <c r="R53" i="30" s="1"/>
  <c r="K52" i="30"/>
  <c r="C52" i="30"/>
  <c r="R52" i="30" s="1"/>
  <c r="K51" i="30"/>
  <c r="F51" i="30" s="1"/>
  <c r="C51" i="30"/>
  <c r="R51" i="30" s="1"/>
  <c r="K50" i="30"/>
  <c r="F50" i="30" s="1"/>
  <c r="Q50" i="30" s="1"/>
  <c r="C50" i="30"/>
  <c r="R50" i="30" s="1"/>
  <c r="K49" i="30"/>
  <c r="C49" i="30"/>
  <c r="R49" i="30" s="1"/>
  <c r="K48" i="30"/>
  <c r="C48" i="30"/>
  <c r="R48" i="30" s="1"/>
  <c r="L48" i="30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K47" i="30"/>
  <c r="F47" i="30" s="1"/>
  <c r="Q47" i="30" s="1"/>
  <c r="C47" i="30"/>
  <c r="R47" i="30" s="1"/>
  <c r="K46" i="30"/>
  <c r="F46" i="30" s="1"/>
  <c r="P46" i="30" s="1"/>
  <c r="K45" i="30"/>
  <c r="K44" i="30"/>
  <c r="K43" i="30"/>
  <c r="F43" i="30" s="1"/>
  <c r="K42" i="30"/>
  <c r="F42" i="30" s="1"/>
  <c r="Q42" i="30" s="1"/>
  <c r="K41" i="30"/>
  <c r="K40" i="30"/>
  <c r="K39" i="30"/>
  <c r="F39" i="30" s="1"/>
  <c r="K38" i="30"/>
  <c r="F38" i="30" s="1"/>
  <c r="Q38" i="30" s="1"/>
  <c r="K37" i="30"/>
  <c r="K36" i="30"/>
  <c r="K35" i="30"/>
  <c r="K34" i="30"/>
  <c r="F34" i="30" s="1"/>
  <c r="Q34" i="30" s="1"/>
  <c r="K33" i="30"/>
  <c r="K32" i="30"/>
  <c r="K31" i="30"/>
  <c r="K30" i="30"/>
  <c r="K29" i="30"/>
  <c r="K28" i="30"/>
  <c r="K27" i="30"/>
  <c r="K25" i="30"/>
  <c r="K23" i="30"/>
  <c r="K22" i="30"/>
  <c r="K19" i="30"/>
  <c r="K17" i="30"/>
  <c r="K15" i="30"/>
  <c r="K13" i="30"/>
  <c r="K11" i="30"/>
  <c r="K7" i="30"/>
  <c r="Q64" i="29"/>
  <c r="Q63" i="29"/>
  <c r="K62" i="29"/>
  <c r="F62" i="29" s="1"/>
  <c r="Q62" i="29" s="1"/>
  <c r="C62" i="29"/>
  <c r="R62" i="29" s="1"/>
  <c r="K61" i="29"/>
  <c r="C61" i="29"/>
  <c r="R61" i="29" s="1"/>
  <c r="K60" i="29"/>
  <c r="F60" i="29" s="1"/>
  <c r="Q60" i="29" s="1"/>
  <c r="C60" i="29"/>
  <c r="R60" i="29" s="1"/>
  <c r="K59" i="29"/>
  <c r="C59" i="29"/>
  <c r="R59" i="29" s="1"/>
  <c r="K58" i="29"/>
  <c r="F58" i="29" s="1"/>
  <c r="C58" i="29"/>
  <c r="R58" i="29" s="1"/>
  <c r="K57" i="29"/>
  <c r="C57" i="29"/>
  <c r="R57" i="29" s="1"/>
  <c r="K56" i="29"/>
  <c r="F56" i="29" s="1"/>
  <c r="Q56" i="29" s="1"/>
  <c r="C56" i="29"/>
  <c r="R56" i="29" s="1"/>
  <c r="K55" i="29"/>
  <c r="C55" i="29"/>
  <c r="R55" i="29" s="1"/>
  <c r="K54" i="29"/>
  <c r="F54" i="29" s="1"/>
  <c r="Q54" i="29" s="1"/>
  <c r="C54" i="29"/>
  <c r="R54" i="29" s="1"/>
  <c r="K53" i="29"/>
  <c r="C53" i="29"/>
  <c r="R53" i="29" s="1"/>
  <c r="K52" i="29"/>
  <c r="F52" i="29" s="1"/>
  <c r="C52" i="29"/>
  <c r="R52" i="29" s="1"/>
  <c r="K51" i="29"/>
  <c r="C51" i="29"/>
  <c r="R51" i="29" s="1"/>
  <c r="K50" i="29"/>
  <c r="C50" i="29"/>
  <c r="R50" i="29" s="1"/>
  <c r="K49" i="29"/>
  <c r="C49" i="29"/>
  <c r="R49" i="29" s="1"/>
  <c r="K48" i="29"/>
  <c r="C48" i="29"/>
  <c r="R48" i="29" s="1"/>
  <c r="K47" i="29"/>
  <c r="C47" i="29"/>
  <c r="R47" i="29" s="1"/>
  <c r="L48" i="29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K46" i="29"/>
  <c r="K45" i="29"/>
  <c r="K44" i="29"/>
  <c r="K43" i="29"/>
  <c r="K42" i="29"/>
  <c r="K41" i="29"/>
  <c r="K40" i="29"/>
  <c r="K39" i="29"/>
  <c r="K38" i="29"/>
  <c r="K37" i="29"/>
  <c r="K36" i="29"/>
  <c r="K35" i="29"/>
  <c r="K34" i="29"/>
  <c r="K33" i="29"/>
  <c r="K32" i="29"/>
  <c r="K31" i="29"/>
  <c r="K30" i="29"/>
  <c r="K29" i="29"/>
  <c r="K28" i="29"/>
  <c r="K27" i="29"/>
  <c r="K25" i="29"/>
  <c r="K23" i="29"/>
  <c r="K22" i="29"/>
  <c r="K20" i="29"/>
  <c r="K19" i="29"/>
  <c r="K17" i="29"/>
  <c r="K15" i="29"/>
  <c r="K14" i="29"/>
  <c r="K12" i="29"/>
  <c r="K11" i="29"/>
  <c r="K9" i="29"/>
  <c r="K7" i="29"/>
  <c r="M34" i="49" l="1"/>
  <c r="L32" i="52"/>
  <c r="M32" i="52" s="1"/>
  <c r="F32" i="52" s="1"/>
  <c r="M7" i="49"/>
  <c r="N34" i="49"/>
  <c r="F34" i="49" s="1"/>
  <c r="G34" i="49" s="1"/>
  <c r="W34" i="49"/>
  <c r="X34" i="49" s="1"/>
  <c r="Y34" i="49" s="1"/>
  <c r="Z34" i="49" s="1"/>
  <c r="L7" i="40"/>
  <c r="M7" i="40" s="1"/>
  <c r="F7" i="40" s="1"/>
  <c r="L7" i="38"/>
  <c r="L35" i="10"/>
  <c r="L32" i="40"/>
  <c r="M32" i="40" s="1"/>
  <c r="F32" i="40" s="1"/>
  <c r="L32" i="38"/>
  <c r="M7" i="35"/>
  <c r="L51" i="10"/>
  <c r="L49" i="52" s="1"/>
  <c r="M49" i="52" s="1"/>
  <c r="M34" i="35"/>
  <c r="F10" i="10"/>
  <c r="O10" i="10" s="1"/>
  <c r="F8" i="10"/>
  <c r="N8" i="10" s="1"/>
  <c r="M6" i="10"/>
  <c r="F6" i="10"/>
  <c r="N6" i="10" s="1"/>
  <c r="L31" i="34"/>
  <c r="L30" i="34"/>
  <c r="L29" i="34"/>
  <c r="L28" i="34"/>
  <c r="L27" i="34"/>
  <c r="J31" i="34"/>
  <c r="J30" i="34"/>
  <c r="J29" i="34"/>
  <c r="J28" i="34"/>
  <c r="J27" i="34"/>
  <c r="L7" i="11"/>
  <c r="L7" i="29"/>
  <c r="L48" i="18"/>
  <c r="L32" i="18"/>
  <c r="R39" i="30"/>
  <c r="R31" i="30"/>
  <c r="R14" i="30"/>
  <c r="H39" i="2"/>
  <c r="R34" i="30"/>
  <c r="R9" i="30"/>
  <c r="J39" i="2"/>
  <c r="R6" i="30"/>
  <c r="R35" i="30"/>
  <c r="R27" i="30"/>
  <c r="R10" i="30"/>
  <c r="R30" i="30"/>
  <c r="R13" i="30"/>
  <c r="R17" i="30"/>
  <c r="R45" i="30"/>
  <c r="R41" i="30"/>
  <c r="R37" i="30"/>
  <c r="R33" i="30"/>
  <c r="R23" i="30"/>
  <c r="R12" i="30"/>
  <c r="R8" i="30"/>
  <c r="L39" i="2"/>
  <c r="R19" i="30"/>
  <c r="R29" i="30"/>
  <c r="R32" i="30"/>
  <c r="R38" i="30"/>
  <c r="R46" i="30"/>
  <c r="R43" i="30"/>
  <c r="R20" i="30"/>
  <c r="R42" i="30"/>
  <c r="R25" i="30"/>
  <c r="R22" i="30"/>
  <c r="N6" i="12"/>
  <c r="R44" i="30"/>
  <c r="R40" i="30"/>
  <c r="R36" i="30"/>
  <c r="R28" i="30"/>
  <c r="R15" i="30"/>
  <c r="R11" i="30"/>
  <c r="R7" i="30"/>
  <c r="M6" i="30"/>
  <c r="M32" i="12"/>
  <c r="L32" i="29"/>
  <c r="L32" i="11"/>
  <c r="L32" i="30"/>
  <c r="M32" i="30" s="1"/>
  <c r="F32" i="30" s="1"/>
  <c r="M7" i="12"/>
  <c r="L8" i="10"/>
  <c r="L8" i="52" s="1"/>
  <c r="M8" i="52" s="1"/>
  <c r="L7" i="30"/>
  <c r="M7" i="30" s="1"/>
  <c r="L7" i="18"/>
  <c r="M6" i="11"/>
  <c r="M6" i="29"/>
  <c r="F6" i="29"/>
  <c r="F8" i="30"/>
  <c r="F6" i="30"/>
  <c r="F14" i="18"/>
  <c r="N8" i="18"/>
  <c r="Q8" i="18"/>
  <c r="O8" i="18"/>
  <c r="P8" i="18"/>
  <c r="N6" i="18"/>
  <c r="Q6" i="18"/>
  <c r="P6" i="18"/>
  <c r="O6" i="18"/>
  <c r="M6" i="18"/>
  <c r="F12" i="11"/>
  <c r="F10" i="11"/>
  <c r="F8" i="11"/>
  <c r="F6" i="11"/>
  <c r="F12" i="12"/>
  <c r="G12" i="12" s="1"/>
  <c r="F10" i="12"/>
  <c r="G10" i="12" s="1"/>
  <c r="F8" i="12"/>
  <c r="G8" i="12" s="1"/>
  <c r="F6" i="12"/>
  <c r="G6" i="12" s="1"/>
  <c r="M62" i="29"/>
  <c r="F40" i="29"/>
  <c r="Q40" i="29" s="1"/>
  <c r="M54" i="29"/>
  <c r="M31" i="29"/>
  <c r="F31" i="29" s="1"/>
  <c r="P31" i="29" s="1"/>
  <c r="M47" i="30"/>
  <c r="M31" i="30"/>
  <c r="F31" i="30" s="1"/>
  <c r="F36" i="30"/>
  <c r="F44" i="30"/>
  <c r="M50" i="30"/>
  <c r="F7" i="30"/>
  <c r="F40" i="30"/>
  <c r="M48" i="30"/>
  <c r="F48" i="30"/>
  <c r="P39" i="30"/>
  <c r="O39" i="30"/>
  <c r="P53" i="30"/>
  <c r="O53" i="30"/>
  <c r="F23" i="30"/>
  <c r="F33" i="30"/>
  <c r="F37" i="30"/>
  <c r="N39" i="30"/>
  <c r="P43" i="30"/>
  <c r="O43" i="30"/>
  <c r="N43" i="30"/>
  <c r="F45" i="30"/>
  <c r="M49" i="30"/>
  <c r="F49" i="30"/>
  <c r="P51" i="30"/>
  <c r="O51" i="30"/>
  <c r="Q51" i="30"/>
  <c r="Q53" i="30"/>
  <c r="P55" i="30"/>
  <c r="O55" i="30"/>
  <c r="Q55" i="30"/>
  <c r="P57" i="30"/>
  <c r="O57" i="30"/>
  <c r="Q57" i="30"/>
  <c r="P59" i="30"/>
  <c r="O59" i="30"/>
  <c r="Q59" i="30"/>
  <c r="P61" i="30"/>
  <c r="O61" i="30"/>
  <c r="Q61" i="30"/>
  <c r="P63" i="30"/>
  <c r="O63" i="30"/>
  <c r="Q63" i="30"/>
  <c r="O34" i="30"/>
  <c r="N34" i="30"/>
  <c r="P34" i="30"/>
  <c r="O38" i="30"/>
  <c r="N38" i="30"/>
  <c r="P38" i="30"/>
  <c r="Q39" i="30"/>
  <c r="O42" i="30"/>
  <c r="N42" i="30"/>
  <c r="P42" i="30"/>
  <c r="Q43" i="30"/>
  <c r="O46" i="30"/>
  <c r="N46" i="30"/>
  <c r="P47" i="30"/>
  <c r="O47" i="30"/>
  <c r="N47" i="30"/>
  <c r="O50" i="30"/>
  <c r="N50" i="30"/>
  <c r="P50" i="30"/>
  <c r="Q46" i="30"/>
  <c r="N51" i="30"/>
  <c r="F52" i="30"/>
  <c r="M52" i="30"/>
  <c r="N53" i="30"/>
  <c r="F54" i="30"/>
  <c r="N55" i="30"/>
  <c r="F56" i="30"/>
  <c r="N57" i="30"/>
  <c r="F58" i="30"/>
  <c r="N59" i="30"/>
  <c r="F60" i="30"/>
  <c r="N61" i="30"/>
  <c r="F62" i="30"/>
  <c r="N63" i="30"/>
  <c r="M7" i="29"/>
  <c r="F7" i="29" s="1"/>
  <c r="F23" i="29"/>
  <c r="F29" i="29"/>
  <c r="F27" i="29"/>
  <c r="F28" i="29"/>
  <c r="F43" i="29"/>
  <c r="F50" i="29"/>
  <c r="F51" i="29"/>
  <c r="M51" i="29"/>
  <c r="M52" i="29"/>
  <c r="P58" i="29"/>
  <c r="O58" i="29"/>
  <c r="N58" i="29"/>
  <c r="F59" i="29"/>
  <c r="M59" i="29"/>
  <c r="M60" i="29"/>
  <c r="P52" i="29"/>
  <c r="O52" i="29"/>
  <c r="N52" i="29"/>
  <c r="F53" i="29"/>
  <c r="M53" i="29"/>
  <c r="F61" i="29"/>
  <c r="M61" i="29"/>
  <c r="F25" i="29"/>
  <c r="F30" i="29"/>
  <c r="F44" i="29"/>
  <c r="M47" i="29"/>
  <c r="F47" i="29" s="1"/>
  <c r="M48" i="29"/>
  <c r="F48" i="29" s="1"/>
  <c r="M49" i="29"/>
  <c r="F49" i="29" s="1"/>
  <c r="M50" i="29"/>
  <c r="Q52" i="29"/>
  <c r="P56" i="29"/>
  <c r="O56" i="29"/>
  <c r="N56" i="29"/>
  <c r="F57" i="29"/>
  <c r="M57" i="29"/>
  <c r="M58" i="29"/>
  <c r="P60" i="29"/>
  <c r="O60" i="29"/>
  <c r="N60" i="29"/>
  <c r="F41" i="29"/>
  <c r="F45" i="29"/>
  <c r="P54" i="29"/>
  <c r="O54" i="29"/>
  <c r="N54" i="29"/>
  <c r="F55" i="29"/>
  <c r="M55" i="29"/>
  <c r="M56" i="29"/>
  <c r="Q58" i="29"/>
  <c r="P62" i="29"/>
  <c r="O62" i="29"/>
  <c r="N62" i="29"/>
  <c r="L49" i="18" l="1"/>
  <c r="L52" i="10"/>
  <c r="N32" i="52"/>
  <c r="Q32" i="52"/>
  <c r="O32" i="52"/>
  <c r="P32" i="52"/>
  <c r="M35" i="49"/>
  <c r="L33" i="52"/>
  <c r="M33" i="52" s="1"/>
  <c r="Q10" i="10"/>
  <c r="M32" i="38"/>
  <c r="F32" i="38" s="1"/>
  <c r="P32" i="38" s="1"/>
  <c r="V32" i="38"/>
  <c r="O34" i="49"/>
  <c r="Q34" i="49"/>
  <c r="P34" i="49"/>
  <c r="R34" i="49"/>
  <c r="N7" i="35"/>
  <c r="F7" i="35" s="1"/>
  <c r="W7" i="35"/>
  <c r="M8" i="49"/>
  <c r="N35" i="49"/>
  <c r="F35" i="49" s="1"/>
  <c r="G35" i="49" s="1"/>
  <c r="W35" i="49"/>
  <c r="X35" i="49" s="1"/>
  <c r="Y35" i="49" s="1"/>
  <c r="Z35" i="49" s="1"/>
  <c r="N34" i="35"/>
  <c r="F34" i="35" s="1"/>
  <c r="Q34" i="35" s="1"/>
  <c r="W34" i="35"/>
  <c r="X34" i="35" s="1"/>
  <c r="Y34" i="35" s="1"/>
  <c r="Z34" i="35" s="1"/>
  <c r="M7" i="38"/>
  <c r="F7" i="38" s="1"/>
  <c r="V7" i="38"/>
  <c r="W7" i="38" s="1"/>
  <c r="X7" i="38" s="1"/>
  <c r="Y7" i="38" s="1"/>
  <c r="AB34" i="49"/>
  <c r="N7" i="49"/>
  <c r="F7" i="49" s="1"/>
  <c r="G7" i="49" s="1"/>
  <c r="W7" i="49"/>
  <c r="X7" i="49" s="1"/>
  <c r="Y7" i="49" s="1"/>
  <c r="Z7" i="49" s="1"/>
  <c r="Q6" i="10"/>
  <c r="P10" i="10"/>
  <c r="N31" i="30"/>
  <c r="O31" i="30"/>
  <c r="Q31" i="30"/>
  <c r="P31" i="30"/>
  <c r="N7" i="29"/>
  <c r="N32" i="40"/>
  <c r="O32" i="40"/>
  <c r="Q32" i="40"/>
  <c r="P32" i="40"/>
  <c r="L33" i="40"/>
  <c r="M33" i="40" s="1"/>
  <c r="F33" i="40" s="1"/>
  <c r="L36" i="10"/>
  <c r="L33" i="38"/>
  <c r="L8" i="40"/>
  <c r="M8" i="40" s="1"/>
  <c r="F8" i="40" s="1"/>
  <c r="L8" i="38"/>
  <c r="O7" i="40"/>
  <c r="N7" i="40"/>
  <c r="P7" i="40"/>
  <c r="Q7" i="40"/>
  <c r="N10" i="10"/>
  <c r="O8" i="10"/>
  <c r="M35" i="35"/>
  <c r="L53" i="10"/>
  <c r="L51" i="52" s="1"/>
  <c r="M51" i="52" s="1"/>
  <c r="O6" i="10"/>
  <c r="P8" i="10"/>
  <c r="M8" i="16"/>
  <c r="N8" i="16" s="1"/>
  <c r="F8" i="16" s="1"/>
  <c r="M8" i="35"/>
  <c r="P6" i="10"/>
  <c r="Q8" i="10"/>
  <c r="L8" i="18"/>
  <c r="M8" i="18" s="1"/>
  <c r="M8" i="10"/>
  <c r="L8" i="30"/>
  <c r="M8" i="30" s="1"/>
  <c r="L33" i="30"/>
  <c r="M33" i="12"/>
  <c r="L33" i="11"/>
  <c r="L33" i="18"/>
  <c r="L33" i="29"/>
  <c r="L9" i="10"/>
  <c r="L9" i="52" s="1"/>
  <c r="M9" i="52" s="1"/>
  <c r="L8" i="29"/>
  <c r="M8" i="12"/>
  <c r="N8" i="12" s="1"/>
  <c r="L8" i="11"/>
  <c r="M8" i="11" s="1"/>
  <c r="P7" i="29"/>
  <c r="N6" i="29"/>
  <c r="P6" i="29"/>
  <c r="Q6" i="29"/>
  <c r="O6" i="29"/>
  <c r="N8" i="30"/>
  <c r="Q8" i="30"/>
  <c r="P8" i="30"/>
  <c r="O8" i="30"/>
  <c r="N6" i="30"/>
  <c r="Q6" i="30"/>
  <c r="P6" i="30"/>
  <c r="O6" i="30"/>
  <c r="N14" i="18"/>
  <c r="Q14" i="18"/>
  <c r="P14" i="18"/>
  <c r="O14" i="18"/>
  <c r="N12" i="11"/>
  <c r="Q12" i="11"/>
  <c r="P12" i="11"/>
  <c r="O12" i="11"/>
  <c r="N10" i="11"/>
  <c r="Q10" i="11"/>
  <c r="O10" i="11"/>
  <c r="P10" i="11"/>
  <c r="N8" i="11"/>
  <c r="P8" i="11"/>
  <c r="O8" i="11"/>
  <c r="Q8" i="11"/>
  <c r="N6" i="11"/>
  <c r="Q6" i="11"/>
  <c r="P6" i="11"/>
  <c r="O6" i="11"/>
  <c r="O12" i="12"/>
  <c r="R12" i="12"/>
  <c r="Q12" i="12"/>
  <c r="P12" i="12"/>
  <c r="O10" i="12"/>
  <c r="R10" i="12"/>
  <c r="Q10" i="12"/>
  <c r="P10" i="12"/>
  <c r="O8" i="12"/>
  <c r="R8" i="12"/>
  <c r="Q8" i="12"/>
  <c r="P8" i="12"/>
  <c r="O6" i="12"/>
  <c r="R6" i="12"/>
  <c r="Q6" i="12"/>
  <c r="P6" i="12"/>
  <c r="P40" i="29"/>
  <c r="Q7" i="29"/>
  <c r="O7" i="29"/>
  <c r="Q31" i="29"/>
  <c r="N31" i="29"/>
  <c r="N40" i="29"/>
  <c r="O31" i="29"/>
  <c r="O40" i="29"/>
  <c r="M51" i="30"/>
  <c r="N56" i="30"/>
  <c r="Q56" i="30"/>
  <c r="O56" i="30"/>
  <c r="P56" i="30"/>
  <c r="N49" i="30"/>
  <c r="Q49" i="30"/>
  <c r="P49" i="30"/>
  <c r="O49" i="30"/>
  <c r="N23" i="30"/>
  <c r="Q23" i="30"/>
  <c r="P23" i="30"/>
  <c r="O23" i="30"/>
  <c r="N62" i="30"/>
  <c r="Q62" i="30"/>
  <c r="P62" i="30"/>
  <c r="O62" i="30"/>
  <c r="N37" i="30"/>
  <c r="Q37" i="30"/>
  <c r="P37" i="30"/>
  <c r="O37" i="30"/>
  <c r="N58" i="30"/>
  <c r="Q58" i="30"/>
  <c r="O58" i="30"/>
  <c r="P58" i="30"/>
  <c r="N33" i="30"/>
  <c r="Q33" i="30"/>
  <c r="P33" i="30"/>
  <c r="O33" i="30"/>
  <c r="M53" i="30"/>
  <c r="Q32" i="30"/>
  <c r="P32" i="30"/>
  <c r="N32" i="30"/>
  <c r="O32" i="30"/>
  <c r="N54" i="30"/>
  <c r="Q54" i="30"/>
  <c r="O54" i="30"/>
  <c r="P54" i="30"/>
  <c r="Q40" i="30"/>
  <c r="P40" i="30"/>
  <c r="N40" i="30"/>
  <c r="O40" i="30"/>
  <c r="Q36" i="30"/>
  <c r="P36" i="30"/>
  <c r="N36" i="30"/>
  <c r="O36" i="30"/>
  <c r="N60" i="30"/>
  <c r="Q60" i="30"/>
  <c r="P60" i="30"/>
  <c r="O60" i="30"/>
  <c r="N52" i="30"/>
  <c r="Q52" i="30"/>
  <c r="O52" i="30"/>
  <c r="P52" i="30"/>
  <c r="N45" i="30"/>
  <c r="Q45" i="30"/>
  <c r="P45" i="30"/>
  <c r="O45" i="30"/>
  <c r="Q48" i="30"/>
  <c r="P48" i="30"/>
  <c r="N48" i="30"/>
  <c r="O48" i="30"/>
  <c r="Q7" i="30"/>
  <c r="O7" i="30"/>
  <c r="P7" i="30"/>
  <c r="N7" i="30"/>
  <c r="Q44" i="30"/>
  <c r="P44" i="30"/>
  <c r="N44" i="30"/>
  <c r="O44" i="30"/>
  <c r="P47" i="29"/>
  <c r="O47" i="29"/>
  <c r="N47" i="29"/>
  <c r="Q47" i="29"/>
  <c r="P49" i="29"/>
  <c r="O49" i="29"/>
  <c r="N49" i="29"/>
  <c r="Q49" i="29"/>
  <c r="P48" i="29"/>
  <c r="O48" i="29"/>
  <c r="N48" i="29"/>
  <c r="Q48" i="29"/>
  <c r="P44" i="29"/>
  <c r="O44" i="29"/>
  <c r="N44" i="29"/>
  <c r="Q44" i="29"/>
  <c r="P43" i="29"/>
  <c r="O43" i="29"/>
  <c r="N43" i="29"/>
  <c r="Q43" i="29"/>
  <c r="Q23" i="29"/>
  <c r="P23" i="29"/>
  <c r="N23" i="29"/>
  <c r="O23" i="29"/>
  <c r="N25" i="29"/>
  <c r="Q25" i="29"/>
  <c r="O25" i="29"/>
  <c r="P25" i="29"/>
  <c r="N61" i="29"/>
  <c r="Q61" i="29"/>
  <c r="P61" i="29"/>
  <c r="O61" i="29"/>
  <c r="N59" i="29"/>
  <c r="Q59" i="29"/>
  <c r="P59" i="29"/>
  <c r="O59" i="29"/>
  <c r="Q28" i="29"/>
  <c r="N28" i="29"/>
  <c r="P28" i="29"/>
  <c r="O28" i="29"/>
  <c r="N55" i="29"/>
  <c r="Q55" i="29"/>
  <c r="P55" i="29"/>
  <c r="O55" i="29"/>
  <c r="O30" i="29"/>
  <c r="N30" i="29"/>
  <c r="Q30" i="29"/>
  <c r="P30" i="29"/>
  <c r="N29" i="29"/>
  <c r="Q29" i="29"/>
  <c r="O29" i="29"/>
  <c r="P29" i="29"/>
  <c r="P41" i="29"/>
  <c r="O41" i="29"/>
  <c r="N41" i="29"/>
  <c r="Q41" i="29"/>
  <c r="N57" i="29"/>
  <c r="Q57" i="29"/>
  <c r="P57" i="29"/>
  <c r="O57" i="29"/>
  <c r="N27" i="29"/>
  <c r="O27" i="29"/>
  <c r="Q27" i="29"/>
  <c r="P27" i="29"/>
  <c r="P45" i="29"/>
  <c r="O45" i="29"/>
  <c r="N45" i="29"/>
  <c r="Q45" i="29"/>
  <c r="P50" i="29"/>
  <c r="O50" i="29"/>
  <c r="N50" i="29"/>
  <c r="Q50" i="29"/>
  <c r="N53" i="29"/>
  <c r="Q53" i="29"/>
  <c r="P53" i="29"/>
  <c r="O53" i="29"/>
  <c r="N51" i="29"/>
  <c r="Q51" i="29"/>
  <c r="P51" i="29"/>
  <c r="O51" i="29"/>
  <c r="R8" i="16" l="1"/>
  <c r="O8" i="16"/>
  <c r="P8" i="16"/>
  <c r="Q8" i="16"/>
  <c r="P7" i="35"/>
  <c r="G7" i="35"/>
  <c r="O34" i="35"/>
  <c r="G34" i="35"/>
  <c r="M36" i="49"/>
  <c r="W36" i="49" s="1"/>
  <c r="X36" i="49" s="1"/>
  <c r="Y36" i="49" s="1"/>
  <c r="Z36" i="49" s="1"/>
  <c r="L34" i="52"/>
  <c r="M34" i="52" s="1"/>
  <c r="F34" i="52" s="1"/>
  <c r="L50" i="18"/>
  <c r="L50" i="52"/>
  <c r="M50" i="52" s="1"/>
  <c r="R7" i="35"/>
  <c r="O7" i="35"/>
  <c r="Q7" i="35"/>
  <c r="R34" i="35"/>
  <c r="P34" i="35"/>
  <c r="N32" i="38"/>
  <c r="O32" i="38"/>
  <c r="Q32" i="38"/>
  <c r="AA7" i="38"/>
  <c r="AB7" i="49"/>
  <c r="P7" i="49"/>
  <c r="R7" i="49"/>
  <c r="Q7" i="49"/>
  <c r="O7" i="49"/>
  <c r="O7" i="38"/>
  <c r="Q7" i="38"/>
  <c r="M8" i="38"/>
  <c r="F8" i="38" s="1"/>
  <c r="P8" i="38" s="1"/>
  <c r="V8" i="38"/>
  <c r="N36" i="49"/>
  <c r="F36" i="49" s="1"/>
  <c r="G36" i="49" s="1"/>
  <c r="N35" i="35"/>
  <c r="F35" i="35" s="1"/>
  <c r="W35" i="35"/>
  <c r="X35" i="35" s="1"/>
  <c r="Y35" i="35" s="1"/>
  <c r="Z35" i="35" s="1"/>
  <c r="M33" i="38"/>
  <c r="F33" i="38" s="1"/>
  <c r="Q33" i="38" s="1"/>
  <c r="V33" i="38"/>
  <c r="W33" i="38" s="1"/>
  <c r="X33" i="38" s="1"/>
  <c r="Y33" i="38" s="1"/>
  <c r="X7" i="35"/>
  <c r="Y7" i="35" s="1"/>
  <c r="Z7" i="35" s="1"/>
  <c r="AB7" i="35" s="1"/>
  <c r="N8" i="35"/>
  <c r="F8" i="35" s="1"/>
  <c r="W8" i="35"/>
  <c r="N7" i="38"/>
  <c r="AB34" i="35"/>
  <c r="W32" i="38"/>
  <c r="X32" i="38" s="1"/>
  <c r="Y32" i="38" s="1"/>
  <c r="AA32" i="38" s="1"/>
  <c r="R35" i="49"/>
  <c r="Q35" i="49"/>
  <c r="O35" i="49"/>
  <c r="P35" i="49"/>
  <c r="M9" i="49"/>
  <c r="L51" i="18"/>
  <c r="P7" i="38"/>
  <c r="AB35" i="49"/>
  <c r="N8" i="49"/>
  <c r="F8" i="49" s="1"/>
  <c r="G8" i="49" s="1"/>
  <c r="W8" i="49"/>
  <c r="X8" i="49" s="1"/>
  <c r="Y8" i="49" s="1"/>
  <c r="Z8" i="49" s="1"/>
  <c r="L9" i="40"/>
  <c r="M9" i="40" s="1"/>
  <c r="F9" i="40" s="1"/>
  <c r="L9" i="38"/>
  <c r="L37" i="10"/>
  <c r="L34" i="38"/>
  <c r="L34" i="40"/>
  <c r="M34" i="40" s="1"/>
  <c r="F34" i="40" s="1"/>
  <c r="N8" i="40"/>
  <c r="Q8" i="40"/>
  <c r="P8" i="40"/>
  <c r="O8" i="40"/>
  <c r="N33" i="40"/>
  <c r="O33" i="40"/>
  <c r="Q33" i="40"/>
  <c r="P33" i="40"/>
  <c r="L54" i="10"/>
  <c r="L52" i="52" s="1"/>
  <c r="M52" i="52" s="1"/>
  <c r="M36" i="35"/>
  <c r="M9" i="35"/>
  <c r="L9" i="30"/>
  <c r="M9" i="30" s="1"/>
  <c r="F9" i="30" s="1"/>
  <c r="L10" i="10"/>
  <c r="L10" i="52" s="1"/>
  <c r="M10" i="52" s="1"/>
  <c r="F10" i="52" s="1"/>
  <c r="L9" i="18"/>
  <c r="L9" i="29"/>
  <c r="M9" i="29" s="1"/>
  <c r="F9" i="29" s="1"/>
  <c r="M9" i="12"/>
  <c r="L9" i="11"/>
  <c r="L34" i="18"/>
  <c r="L34" i="30"/>
  <c r="L34" i="29"/>
  <c r="M34" i="12"/>
  <c r="L34" i="11"/>
  <c r="M54" i="30"/>
  <c r="P8" i="35" l="1"/>
  <c r="G8" i="35"/>
  <c r="P35" i="35"/>
  <c r="G35" i="35"/>
  <c r="M37" i="49"/>
  <c r="L35" i="52"/>
  <c r="M35" i="52" s="1"/>
  <c r="F35" i="52" s="1"/>
  <c r="N10" i="52"/>
  <c r="Q10" i="52"/>
  <c r="P10" i="52"/>
  <c r="O10" i="52"/>
  <c r="P34" i="52"/>
  <c r="O34" i="52"/>
  <c r="N34" i="52"/>
  <c r="Q34" i="52"/>
  <c r="O35" i="35"/>
  <c r="R35" i="35"/>
  <c r="Q35" i="35"/>
  <c r="O33" i="38"/>
  <c r="P33" i="38"/>
  <c r="N33" i="38"/>
  <c r="Q8" i="38"/>
  <c r="N8" i="38"/>
  <c r="O8" i="38"/>
  <c r="AB8" i="49"/>
  <c r="R8" i="35"/>
  <c r="Q8" i="35"/>
  <c r="O8" i="35"/>
  <c r="R36" i="49"/>
  <c r="P36" i="49"/>
  <c r="O36" i="49"/>
  <c r="Q36" i="49"/>
  <c r="N9" i="35"/>
  <c r="F9" i="35" s="1"/>
  <c r="G9" i="35" s="1"/>
  <c r="W9" i="35"/>
  <c r="X9" i="35" s="1"/>
  <c r="Y9" i="35" s="1"/>
  <c r="Z9" i="35" s="1"/>
  <c r="N36" i="35"/>
  <c r="F36" i="35" s="1"/>
  <c r="W36" i="35"/>
  <c r="X36" i="35" s="1"/>
  <c r="Y36" i="35" s="1"/>
  <c r="Z36" i="35" s="1"/>
  <c r="M9" i="38"/>
  <c r="F9" i="38" s="1"/>
  <c r="V9" i="38"/>
  <c r="W9" i="38" s="1"/>
  <c r="X9" i="38" s="1"/>
  <c r="Y9" i="38" s="1"/>
  <c r="N9" i="49"/>
  <c r="F9" i="49" s="1"/>
  <c r="G9" i="49" s="1"/>
  <c r="W9" i="49"/>
  <c r="X9" i="49" s="1"/>
  <c r="Y9" i="49" s="1"/>
  <c r="Z9" i="49" s="1"/>
  <c r="AB35" i="35"/>
  <c r="W8" i="38"/>
  <c r="X8" i="38" s="1"/>
  <c r="Y8" i="38" s="1"/>
  <c r="AA8" i="38" s="1"/>
  <c r="X8" i="35"/>
  <c r="Y8" i="35" s="1"/>
  <c r="Z8" i="35" s="1"/>
  <c r="AB8" i="35" s="1"/>
  <c r="M10" i="49"/>
  <c r="N37" i="49"/>
  <c r="F37" i="49" s="1"/>
  <c r="G37" i="49" s="1"/>
  <c r="W37" i="49"/>
  <c r="X37" i="49" s="1"/>
  <c r="Y37" i="49" s="1"/>
  <c r="Z37" i="49" s="1"/>
  <c r="M34" i="38"/>
  <c r="F34" i="38" s="1"/>
  <c r="V34" i="38"/>
  <c r="W34" i="38" s="1"/>
  <c r="X34" i="38" s="1"/>
  <c r="Y34" i="38" s="1"/>
  <c r="Q8" i="49"/>
  <c r="O8" i="49"/>
  <c r="R8" i="49"/>
  <c r="P8" i="49"/>
  <c r="AA33" i="38"/>
  <c r="AB36" i="49"/>
  <c r="L52" i="18"/>
  <c r="L55" i="10"/>
  <c r="L53" i="52" s="1"/>
  <c r="M53" i="52" s="1"/>
  <c r="L38" i="10"/>
  <c r="L35" i="38"/>
  <c r="L35" i="40"/>
  <c r="M35" i="40" s="1"/>
  <c r="F35" i="40" s="1"/>
  <c r="L10" i="40"/>
  <c r="M10" i="40" s="1"/>
  <c r="F10" i="40" s="1"/>
  <c r="L10" i="38"/>
  <c r="N34" i="40"/>
  <c r="P34" i="40"/>
  <c r="Q34" i="40"/>
  <c r="O34" i="40"/>
  <c r="O9" i="40"/>
  <c r="N9" i="40"/>
  <c r="P9" i="40"/>
  <c r="Q9" i="40"/>
  <c r="P9" i="29"/>
  <c r="O9" i="29"/>
  <c r="N9" i="29"/>
  <c r="Q9" i="29"/>
  <c r="M37" i="35"/>
  <c r="M10" i="35"/>
  <c r="L56" i="10"/>
  <c r="L54" i="52" s="1"/>
  <c r="M54" i="52" s="1"/>
  <c r="L53" i="18"/>
  <c r="P9" i="30"/>
  <c r="O9" i="30"/>
  <c r="N9" i="30"/>
  <c r="Q9" i="30"/>
  <c r="M10" i="10"/>
  <c r="M10" i="16"/>
  <c r="N10" i="16" s="1"/>
  <c r="F10" i="16" s="1"/>
  <c r="M10" i="12"/>
  <c r="N10" i="12" s="1"/>
  <c r="L10" i="11"/>
  <c r="M10" i="11" s="1"/>
  <c r="L10" i="30"/>
  <c r="M10" i="30" s="1"/>
  <c r="F10" i="30" s="1"/>
  <c r="L11" i="10"/>
  <c r="L11" i="52" s="1"/>
  <c r="M11" i="52" s="1"/>
  <c r="F11" i="52" s="1"/>
  <c r="L10" i="18"/>
  <c r="M10" i="18" s="1"/>
  <c r="F10" i="18" s="1"/>
  <c r="L10" i="29"/>
  <c r="M10" i="29" s="1"/>
  <c r="F10" i="29" s="1"/>
  <c r="L35" i="29"/>
  <c r="L35" i="11"/>
  <c r="L35" i="18"/>
  <c r="M35" i="12"/>
  <c r="L35" i="30"/>
  <c r="M55" i="30"/>
  <c r="Q36" i="35" l="1"/>
  <c r="G36" i="35"/>
  <c r="P36" i="35"/>
  <c r="M38" i="49"/>
  <c r="W38" i="49" s="1"/>
  <c r="X38" i="49" s="1"/>
  <c r="Y38" i="49" s="1"/>
  <c r="Z38" i="49" s="1"/>
  <c r="L36" i="52"/>
  <c r="M36" i="52" s="1"/>
  <c r="F36" i="52" s="1"/>
  <c r="Q11" i="52"/>
  <c r="O11" i="52"/>
  <c r="N11" i="52"/>
  <c r="P11" i="52"/>
  <c r="AA34" i="38"/>
  <c r="O35" i="52"/>
  <c r="Q35" i="52"/>
  <c r="P35" i="52"/>
  <c r="N35" i="52"/>
  <c r="R36" i="35"/>
  <c r="O36" i="35"/>
  <c r="AA9" i="38"/>
  <c r="AB9" i="35"/>
  <c r="AB37" i="49"/>
  <c r="Q37" i="49"/>
  <c r="R37" i="49"/>
  <c r="P37" i="49"/>
  <c r="O37" i="49"/>
  <c r="P9" i="49"/>
  <c r="R9" i="49"/>
  <c r="O9" i="49"/>
  <c r="AB9" i="49"/>
  <c r="Q9" i="49"/>
  <c r="N9" i="38"/>
  <c r="Q9" i="38"/>
  <c r="P9" i="38"/>
  <c r="P34" i="38"/>
  <c r="O9" i="38"/>
  <c r="O9" i="35"/>
  <c r="Q9" i="35"/>
  <c r="R9" i="35"/>
  <c r="P9" i="35"/>
  <c r="M11" i="49"/>
  <c r="Q34" i="38"/>
  <c r="N10" i="49"/>
  <c r="F10" i="49" s="1"/>
  <c r="G10" i="49" s="1"/>
  <c r="W10" i="49"/>
  <c r="X10" i="49" s="1"/>
  <c r="Y10" i="49" s="1"/>
  <c r="Z10" i="49" s="1"/>
  <c r="AB36" i="35"/>
  <c r="N10" i="35"/>
  <c r="F10" i="35" s="1"/>
  <c r="G10" i="35" s="1"/>
  <c r="W10" i="35"/>
  <c r="X10" i="35" s="1"/>
  <c r="Y10" i="35" s="1"/>
  <c r="Z10" i="35" s="1"/>
  <c r="N37" i="35"/>
  <c r="F37" i="35" s="1"/>
  <c r="W37" i="35"/>
  <c r="X37" i="35" s="1"/>
  <c r="Y37" i="35" s="1"/>
  <c r="Z37" i="35" s="1"/>
  <c r="M35" i="38"/>
  <c r="F35" i="38" s="1"/>
  <c r="O35" i="38" s="1"/>
  <c r="V35" i="38"/>
  <c r="W35" i="38" s="1"/>
  <c r="X35" i="38" s="1"/>
  <c r="Y35" i="38" s="1"/>
  <c r="N34" i="38"/>
  <c r="M10" i="38"/>
  <c r="F10" i="38" s="1"/>
  <c r="N10" i="38" s="1"/>
  <c r="V10" i="38"/>
  <c r="N38" i="49"/>
  <c r="F38" i="49" s="1"/>
  <c r="G38" i="49" s="1"/>
  <c r="O34" i="38"/>
  <c r="O10" i="16"/>
  <c r="R10" i="16"/>
  <c r="Q10" i="16"/>
  <c r="P10" i="16"/>
  <c r="L11" i="40"/>
  <c r="M11" i="40" s="1"/>
  <c r="F11" i="40" s="1"/>
  <c r="L11" i="38"/>
  <c r="L39" i="10"/>
  <c r="L36" i="40"/>
  <c r="M36" i="40" s="1"/>
  <c r="F36" i="40" s="1"/>
  <c r="L36" i="38"/>
  <c r="P10" i="40"/>
  <c r="O10" i="40"/>
  <c r="N10" i="40"/>
  <c r="Q10" i="40"/>
  <c r="O35" i="40"/>
  <c r="Q35" i="40"/>
  <c r="N35" i="40"/>
  <c r="P35" i="40"/>
  <c r="P10" i="18"/>
  <c r="O10" i="18"/>
  <c r="N10" i="18"/>
  <c r="Q10" i="18"/>
  <c r="M38" i="35"/>
  <c r="M11" i="35"/>
  <c r="L57" i="10"/>
  <c r="L55" i="52" s="1"/>
  <c r="M55" i="52" s="1"/>
  <c r="L54" i="18"/>
  <c r="O10" i="29"/>
  <c r="N10" i="29"/>
  <c r="Q10" i="29"/>
  <c r="P10" i="29"/>
  <c r="M36" i="12"/>
  <c r="L36" i="29"/>
  <c r="L36" i="11"/>
  <c r="L36" i="18"/>
  <c r="L36" i="30"/>
  <c r="L11" i="30"/>
  <c r="M11" i="30" s="1"/>
  <c r="F11" i="30" s="1"/>
  <c r="L11" i="29"/>
  <c r="M11" i="29" s="1"/>
  <c r="F11" i="29" s="1"/>
  <c r="L11" i="18"/>
  <c r="L11" i="11"/>
  <c r="L12" i="10"/>
  <c r="L12" i="52" s="1"/>
  <c r="M12" i="52" s="1"/>
  <c r="F12" i="52" s="1"/>
  <c r="M11" i="12"/>
  <c r="P10" i="30"/>
  <c r="O10" i="30"/>
  <c r="N10" i="30"/>
  <c r="Q10" i="30"/>
  <c r="M56" i="30"/>
  <c r="J50" i="12"/>
  <c r="K50" i="12" s="1"/>
  <c r="J49" i="12"/>
  <c r="K49" i="12" s="1"/>
  <c r="J48" i="12"/>
  <c r="K48" i="12" s="1"/>
  <c r="R37" i="35" l="1"/>
  <c r="G37" i="35"/>
  <c r="Q37" i="35"/>
  <c r="P37" i="35"/>
  <c r="O37" i="35"/>
  <c r="P12" i="52"/>
  <c r="N12" i="52"/>
  <c r="Q12" i="52"/>
  <c r="O12" i="52"/>
  <c r="M39" i="49"/>
  <c r="N39" i="49" s="1"/>
  <c r="F39" i="49" s="1"/>
  <c r="G39" i="49" s="1"/>
  <c r="L37" i="52"/>
  <c r="M37" i="52" s="1"/>
  <c r="N36" i="52"/>
  <c r="Q36" i="52"/>
  <c r="O36" i="52"/>
  <c r="P36" i="52"/>
  <c r="AB37" i="35"/>
  <c r="AB10" i="35"/>
  <c r="AA35" i="38"/>
  <c r="AB38" i="49"/>
  <c r="R10" i="49"/>
  <c r="Q10" i="49"/>
  <c r="P10" i="49"/>
  <c r="O10" i="49"/>
  <c r="AB10" i="49"/>
  <c r="Q10" i="38"/>
  <c r="P10" i="38"/>
  <c r="O10" i="35"/>
  <c r="Q10" i="35"/>
  <c r="N11" i="35"/>
  <c r="F11" i="35" s="1"/>
  <c r="W11" i="35"/>
  <c r="X11" i="35" s="1"/>
  <c r="Y11" i="35" s="1"/>
  <c r="Z11" i="35" s="1"/>
  <c r="N38" i="35"/>
  <c r="F38" i="35" s="1"/>
  <c r="W38" i="35"/>
  <c r="X38" i="35" s="1"/>
  <c r="Y38" i="35" s="1"/>
  <c r="Z38" i="35" s="1"/>
  <c r="Q35" i="38"/>
  <c r="M11" i="38"/>
  <c r="F11" i="38" s="1"/>
  <c r="O11" i="38" s="1"/>
  <c r="V11" i="38"/>
  <c r="W11" i="38" s="1"/>
  <c r="X11" i="38" s="1"/>
  <c r="Y11" i="38" s="1"/>
  <c r="W10" i="38"/>
  <c r="X10" i="38" s="1"/>
  <c r="Y10" i="38" s="1"/>
  <c r="AA10" i="38" s="1"/>
  <c r="R10" i="35"/>
  <c r="M36" i="38"/>
  <c r="F36" i="38" s="1"/>
  <c r="Q36" i="38" s="1"/>
  <c r="V36" i="38"/>
  <c r="W36" i="38" s="1"/>
  <c r="X36" i="38" s="1"/>
  <c r="Y36" i="38" s="1"/>
  <c r="N35" i="38"/>
  <c r="M12" i="49"/>
  <c r="P10" i="35"/>
  <c r="O10" i="38"/>
  <c r="P35" i="38"/>
  <c r="O38" i="49"/>
  <c r="Q38" i="49"/>
  <c r="P38" i="49"/>
  <c r="R38" i="49"/>
  <c r="N11" i="49"/>
  <c r="F11" i="49" s="1"/>
  <c r="G11" i="49" s="1"/>
  <c r="W11" i="49"/>
  <c r="X11" i="49" s="1"/>
  <c r="Y11" i="49" s="1"/>
  <c r="Z11" i="49" s="1"/>
  <c r="N36" i="40"/>
  <c r="Q36" i="40"/>
  <c r="P36" i="40"/>
  <c r="O36" i="40"/>
  <c r="L40" i="10"/>
  <c r="L37" i="40"/>
  <c r="M37" i="40" s="1"/>
  <c r="F37" i="40" s="1"/>
  <c r="L37" i="38"/>
  <c r="L12" i="40"/>
  <c r="M12" i="40" s="1"/>
  <c r="F12" i="40" s="1"/>
  <c r="L12" i="38"/>
  <c r="O11" i="40"/>
  <c r="P11" i="40"/>
  <c r="N11" i="40"/>
  <c r="Q11" i="40"/>
  <c r="M39" i="35"/>
  <c r="M12" i="35"/>
  <c r="L58" i="10"/>
  <c r="L56" i="52" s="1"/>
  <c r="M56" i="52" s="1"/>
  <c r="L55" i="18"/>
  <c r="Q11" i="29"/>
  <c r="P11" i="29"/>
  <c r="N11" i="29"/>
  <c r="O11" i="29"/>
  <c r="P11" i="30"/>
  <c r="O11" i="30"/>
  <c r="Q11" i="30"/>
  <c r="N11" i="30"/>
  <c r="L12" i="18"/>
  <c r="M12" i="18" s="1"/>
  <c r="F12" i="18" s="1"/>
  <c r="M12" i="16"/>
  <c r="N12" i="16" s="1"/>
  <c r="F12" i="16" s="1"/>
  <c r="M12" i="12"/>
  <c r="N12" i="12" s="1"/>
  <c r="M12" i="10"/>
  <c r="F12" i="10" s="1"/>
  <c r="L12" i="11"/>
  <c r="M12" i="11" s="1"/>
  <c r="L12" i="29"/>
  <c r="M12" i="29" s="1"/>
  <c r="F12" i="29" s="1"/>
  <c r="Q12" i="29" s="1"/>
  <c r="L13" i="10"/>
  <c r="L13" i="52" s="1"/>
  <c r="M13" i="52" s="1"/>
  <c r="F13" i="52" s="1"/>
  <c r="L12" i="30"/>
  <c r="M12" i="30" s="1"/>
  <c r="F12" i="30" s="1"/>
  <c r="L37" i="30"/>
  <c r="M37" i="12"/>
  <c r="L37" i="11"/>
  <c r="L37" i="29"/>
  <c r="L37" i="18"/>
  <c r="M57" i="30"/>
  <c r="K65" i="10"/>
  <c r="K54" i="10"/>
  <c r="K62" i="10"/>
  <c r="K56" i="10"/>
  <c r="C69" i="10"/>
  <c r="R69" i="10" s="1"/>
  <c r="C68" i="10"/>
  <c r="R68" i="10" s="1"/>
  <c r="C67" i="10"/>
  <c r="R67" i="10" s="1"/>
  <c r="F66" i="10"/>
  <c r="Q66" i="10" s="1"/>
  <c r="C66" i="10"/>
  <c r="R66" i="10" s="1"/>
  <c r="K57" i="10"/>
  <c r="K53" i="10"/>
  <c r="K52" i="10"/>
  <c r="P38" i="35" l="1"/>
  <c r="G38" i="35"/>
  <c r="W39" i="49"/>
  <c r="X39" i="49" s="1"/>
  <c r="Y39" i="49" s="1"/>
  <c r="Z39" i="49" s="1"/>
  <c r="AB39" i="49" s="1"/>
  <c r="P11" i="35"/>
  <c r="G11" i="35"/>
  <c r="O11" i="35"/>
  <c r="M40" i="49"/>
  <c r="N40" i="49" s="1"/>
  <c r="F40" i="49" s="1"/>
  <c r="G40" i="49" s="1"/>
  <c r="L38" i="52"/>
  <c r="M38" i="52" s="1"/>
  <c r="R11" i="35"/>
  <c r="Q11" i="35"/>
  <c r="N13" i="52"/>
  <c r="P13" i="52"/>
  <c r="Q13" i="52"/>
  <c r="O13" i="52"/>
  <c r="P36" i="38"/>
  <c r="N11" i="38"/>
  <c r="P11" i="38"/>
  <c r="N36" i="38"/>
  <c r="Q11" i="38"/>
  <c r="R39" i="49"/>
  <c r="P39" i="49"/>
  <c r="O39" i="49"/>
  <c r="Q39" i="49"/>
  <c r="O36" i="38"/>
  <c r="AB38" i="35"/>
  <c r="M12" i="38"/>
  <c r="F12" i="38" s="1"/>
  <c r="N12" i="38" s="1"/>
  <c r="V12" i="38"/>
  <c r="Q11" i="49"/>
  <c r="P11" i="49"/>
  <c r="R11" i="49"/>
  <c r="AB11" i="49"/>
  <c r="O11" i="49"/>
  <c r="Q38" i="35"/>
  <c r="AA11" i="38"/>
  <c r="O38" i="35"/>
  <c r="M37" i="38"/>
  <c r="F37" i="38" s="1"/>
  <c r="O37" i="38" s="1"/>
  <c r="V37" i="38"/>
  <c r="W37" i="38" s="1"/>
  <c r="X37" i="38" s="1"/>
  <c r="Y37" i="38" s="1"/>
  <c r="N12" i="49"/>
  <c r="F12" i="49" s="1"/>
  <c r="G12" i="49" s="1"/>
  <c r="W12" i="49"/>
  <c r="X12" i="49" s="1"/>
  <c r="Y12" i="49" s="1"/>
  <c r="Z12" i="49" s="1"/>
  <c r="AB11" i="35"/>
  <c r="M13" i="49"/>
  <c r="N12" i="35"/>
  <c r="F12" i="35" s="1"/>
  <c r="W12" i="35"/>
  <c r="X12" i="35" s="1"/>
  <c r="Y12" i="35" s="1"/>
  <c r="Z12" i="35" s="1"/>
  <c r="R38" i="35"/>
  <c r="N39" i="35"/>
  <c r="F39" i="35" s="1"/>
  <c r="G39" i="35" s="1"/>
  <c r="W39" i="35"/>
  <c r="X39" i="35" s="1"/>
  <c r="Y39" i="35" s="1"/>
  <c r="Z39" i="35" s="1"/>
  <c r="AA36" i="38"/>
  <c r="O12" i="16"/>
  <c r="Q12" i="16"/>
  <c r="P12" i="16"/>
  <c r="R12" i="16"/>
  <c r="O12" i="40"/>
  <c r="Q12" i="40"/>
  <c r="N12" i="40"/>
  <c r="P12" i="40"/>
  <c r="L13" i="40"/>
  <c r="M13" i="40" s="1"/>
  <c r="F13" i="40" s="1"/>
  <c r="L13" i="38"/>
  <c r="Q37" i="40"/>
  <c r="N37" i="40"/>
  <c r="P37" i="40"/>
  <c r="O37" i="40"/>
  <c r="L41" i="10"/>
  <c r="L38" i="40"/>
  <c r="M38" i="40" s="1"/>
  <c r="F38" i="40" s="1"/>
  <c r="L38" i="38"/>
  <c r="O12" i="30"/>
  <c r="P12" i="30"/>
  <c r="N12" i="30"/>
  <c r="Q12" i="30"/>
  <c r="P12" i="18"/>
  <c r="N12" i="18"/>
  <c r="Q12" i="18"/>
  <c r="O12" i="18"/>
  <c r="M40" i="35"/>
  <c r="M13" i="35"/>
  <c r="N12" i="29"/>
  <c r="L56" i="18"/>
  <c r="L59" i="10"/>
  <c r="L57" i="52" s="1"/>
  <c r="M57" i="52" s="1"/>
  <c r="P12" i="29"/>
  <c r="O12" i="29"/>
  <c r="M13" i="12"/>
  <c r="L13" i="30"/>
  <c r="M13" i="30" s="1"/>
  <c r="F13" i="30" s="1"/>
  <c r="L13" i="18"/>
  <c r="L14" i="10"/>
  <c r="L14" i="52" s="1"/>
  <c r="M14" i="52" s="1"/>
  <c r="F14" i="52" s="1"/>
  <c r="L13" i="29"/>
  <c r="M13" i="29" s="1"/>
  <c r="F13" i="29" s="1"/>
  <c r="L13" i="11"/>
  <c r="P12" i="10"/>
  <c r="N12" i="10"/>
  <c r="O12" i="10"/>
  <c r="Q12" i="10"/>
  <c r="L38" i="18"/>
  <c r="L38" i="30"/>
  <c r="L38" i="29"/>
  <c r="L38" i="11"/>
  <c r="M38" i="12"/>
  <c r="M52" i="10"/>
  <c r="M58" i="30"/>
  <c r="O39" i="35" l="1"/>
  <c r="R12" i="35"/>
  <c r="G12" i="35"/>
  <c r="W40" i="49"/>
  <c r="X40" i="49" s="1"/>
  <c r="Y40" i="49" s="1"/>
  <c r="Z40" i="49" s="1"/>
  <c r="AB40" i="49" s="1"/>
  <c r="P12" i="35"/>
  <c r="Q12" i="35"/>
  <c r="O12" i="35"/>
  <c r="M41" i="49"/>
  <c r="N41" i="49" s="1"/>
  <c r="F41" i="49" s="1"/>
  <c r="G41" i="49" s="1"/>
  <c r="L39" i="52"/>
  <c r="M39" i="52" s="1"/>
  <c r="N14" i="52"/>
  <c r="P14" i="52"/>
  <c r="O14" i="52"/>
  <c r="Q14" i="52"/>
  <c r="N37" i="38"/>
  <c r="Q37" i="38"/>
  <c r="P37" i="38"/>
  <c r="P12" i="38"/>
  <c r="O12" i="38"/>
  <c r="Q12" i="38"/>
  <c r="R12" i="49"/>
  <c r="P12" i="49"/>
  <c r="O12" i="49"/>
  <c r="Q12" i="49"/>
  <c r="AB12" i="49"/>
  <c r="AB12" i="35"/>
  <c r="AB39" i="35"/>
  <c r="N40" i="35"/>
  <c r="F40" i="35" s="1"/>
  <c r="W40" i="35"/>
  <c r="Q40" i="49"/>
  <c r="R40" i="49"/>
  <c r="P40" i="49"/>
  <c r="O40" i="49"/>
  <c r="R39" i="35"/>
  <c r="M38" i="38"/>
  <c r="F38" i="38" s="1"/>
  <c r="Q38" i="38" s="1"/>
  <c r="V38" i="38"/>
  <c r="W38" i="38" s="1"/>
  <c r="X38" i="38" s="1"/>
  <c r="Y38" i="38" s="1"/>
  <c r="AA37" i="38"/>
  <c r="M13" i="38"/>
  <c r="F13" i="38" s="1"/>
  <c r="Q13" i="38" s="1"/>
  <c r="V13" i="38"/>
  <c r="W13" i="38" s="1"/>
  <c r="X13" i="38" s="1"/>
  <c r="Y13" i="38" s="1"/>
  <c r="P39" i="35"/>
  <c r="N13" i="49"/>
  <c r="F13" i="49" s="1"/>
  <c r="G13" i="49" s="1"/>
  <c r="W13" i="49"/>
  <c r="X13" i="49" s="1"/>
  <c r="Y13" i="49" s="1"/>
  <c r="Z13" i="49" s="1"/>
  <c r="W12" i="38"/>
  <c r="X12" i="38" s="1"/>
  <c r="Y12" i="38" s="1"/>
  <c r="AA12" i="38" s="1"/>
  <c r="M14" i="49"/>
  <c r="N13" i="35"/>
  <c r="F13" i="35" s="1"/>
  <c r="W13" i="35"/>
  <c r="X13" i="35" s="1"/>
  <c r="Y13" i="35" s="1"/>
  <c r="Z13" i="35" s="1"/>
  <c r="Q39" i="35"/>
  <c r="L42" i="10"/>
  <c r="L39" i="40"/>
  <c r="M39" i="40" s="1"/>
  <c r="F39" i="40" s="1"/>
  <c r="L39" i="38"/>
  <c r="L14" i="40"/>
  <c r="M14" i="40" s="1"/>
  <c r="F14" i="40" s="1"/>
  <c r="L14" i="38"/>
  <c r="O13" i="40"/>
  <c r="P13" i="40"/>
  <c r="N13" i="40"/>
  <c r="Q13" i="40"/>
  <c r="P38" i="40"/>
  <c r="N38" i="40"/>
  <c r="Q38" i="40"/>
  <c r="O38" i="40"/>
  <c r="M41" i="35"/>
  <c r="F21" i="36"/>
  <c r="F22" i="36" s="1"/>
  <c r="M14" i="35"/>
  <c r="L57" i="18"/>
  <c r="L60" i="10"/>
  <c r="L58" i="52" s="1"/>
  <c r="M58" i="52" s="1"/>
  <c r="L39" i="29"/>
  <c r="L39" i="11"/>
  <c r="L39" i="18"/>
  <c r="L39" i="30"/>
  <c r="M39" i="12"/>
  <c r="O13" i="29"/>
  <c r="Q13" i="29"/>
  <c r="P13" i="29"/>
  <c r="N13" i="29"/>
  <c r="M14" i="16"/>
  <c r="N14" i="16" s="1"/>
  <c r="F14" i="16" s="1"/>
  <c r="L14" i="30"/>
  <c r="M14" i="30" s="1"/>
  <c r="F14" i="30" s="1"/>
  <c r="L14" i="18"/>
  <c r="M14" i="18" s="1"/>
  <c r="L15" i="10"/>
  <c r="L14" i="29"/>
  <c r="L14" i="11"/>
  <c r="M14" i="12"/>
  <c r="O13" i="30"/>
  <c r="P13" i="30"/>
  <c r="N13" i="30"/>
  <c r="Q13" i="30"/>
  <c r="M59" i="30"/>
  <c r="L21" i="36" l="1"/>
  <c r="L22" i="36" s="1"/>
  <c r="L36" i="36" s="1"/>
  <c r="G13" i="35"/>
  <c r="W41" i="49"/>
  <c r="X41" i="49" s="1"/>
  <c r="Y41" i="49" s="1"/>
  <c r="Z41" i="49" s="1"/>
  <c r="AB41" i="49" s="1"/>
  <c r="R40" i="35"/>
  <c r="G40" i="35"/>
  <c r="P40" i="35"/>
  <c r="P13" i="35"/>
  <c r="R13" i="35"/>
  <c r="O13" i="35"/>
  <c r="M42" i="49"/>
  <c r="W42" i="49" s="1"/>
  <c r="X42" i="49" s="1"/>
  <c r="Y42" i="49" s="1"/>
  <c r="Z42" i="49" s="1"/>
  <c r="L40" i="52"/>
  <c r="M40" i="52" s="1"/>
  <c r="L16" i="10"/>
  <c r="L16" i="52" s="1"/>
  <c r="M16" i="52" s="1"/>
  <c r="L15" i="52"/>
  <c r="M15" i="52" s="1"/>
  <c r="F15" i="52" s="1"/>
  <c r="O40" i="35"/>
  <c r="P41" i="49"/>
  <c r="Q41" i="49"/>
  <c r="R41" i="49"/>
  <c r="O41" i="49"/>
  <c r="P13" i="38"/>
  <c r="O13" i="38"/>
  <c r="N13" i="38"/>
  <c r="AB13" i="49"/>
  <c r="P13" i="49"/>
  <c r="Q13" i="49"/>
  <c r="R13" i="49"/>
  <c r="O13" i="49"/>
  <c r="AA38" i="38"/>
  <c r="Q40" i="35"/>
  <c r="AB13" i="35"/>
  <c r="Q13" i="35"/>
  <c r="M39" i="38"/>
  <c r="F39" i="38" s="1"/>
  <c r="Q39" i="38" s="1"/>
  <c r="V39" i="38"/>
  <c r="P38" i="38"/>
  <c r="AA13" i="38"/>
  <c r="M15" i="49"/>
  <c r="M14" i="38"/>
  <c r="F14" i="38" s="1"/>
  <c r="O14" i="38" s="1"/>
  <c r="V14" i="38"/>
  <c r="N14" i="35"/>
  <c r="F14" i="35" s="1"/>
  <c r="W14" i="35"/>
  <c r="X14" i="35" s="1"/>
  <c r="Y14" i="35" s="1"/>
  <c r="Z14" i="35" s="1"/>
  <c r="N38" i="38"/>
  <c r="N42" i="49"/>
  <c r="F42" i="49" s="1"/>
  <c r="G42" i="49" s="1"/>
  <c r="N14" i="49"/>
  <c r="F14" i="49" s="1"/>
  <c r="G14" i="49" s="1"/>
  <c r="W14" i="49"/>
  <c r="X14" i="49" s="1"/>
  <c r="Y14" i="49" s="1"/>
  <c r="Z14" i="49" s="1"/>
  <c r="X40" i="35"/>
  <c r="Y40" i="35" s="1"/>
  <c r="Z40" i="35" s="1"/>
  <c r="AB40" i="35" s="1"/>
  <c r="N41" i="35"/>
  <c r="F41" i="35" s="1"/>
  <c r="P41" i="35" s="1"/>
  <c r="W41" i="35"/>
  <c r="X41" i="35" s="1"/>
  <c r="Y41" i="35" s="1"/>
  <c r="Z41" i="35" s="1"/>
  <c r="O38" i="38"/>
  <c r="O14" i="40"/>
  <c r="P14" i="40"/>
  <c r="N14" i="40"/>
  <c r="Q14" i="40"/>
  <c r="O14" i="30"/>
  <c r="N14" i="30"/>
  <c r="P14" i="30"/>
  <c r="Q14" i="30"/>
  <c r="Q14" i="16"/>
  <c r="P14" i="16"/>
  <c r="O14" i="16"/>
  <c r="R14" i="16"/>
  <c r="L15" i="40"/>
  <c r="M15" i="40" s="1"/>
  <c r="F15" i="40" s="1"/>
  <c r="L15" i="38"/>
  <c r="Q39" i="40"/>
  <c r="N39" i="40"/>
  <c r="O39" i="40"/>
  <c r="P39" i="40"/>
  <c r="L43" i="10"/>
  <c r="L40" i="40"/>
  <c r="M40" i="40" s="1"/>
  <c r="F40" i="40" s="1"/>
  <c r="L40" i="38"/>
  <c r="M42" i="35"/>
  <c r="M15" i="35"/>
  <c r="F36" i="36"/>
  <c r="F25" i="36"/>
  <c r="F26" i="36" s="1"/>
  <c r="F39" i="36"/>
  <c r="F38" i="36"/>
  <c r="L61" i="10"/>
  <c r="L59" i="52" s="1"/>
  <c r="M59" i="52" s="1"/>
  <c r="L58" i="18"/>
  <c r="M40" i="12"/>
  <c r="L40" i="29"/>
  <c r="L40" i="11"/>
  <c r="L40" i="18"/>
  <c r="L40" i="30"/>
  <c r="L15" i="11"/>
  <c r="L17" i="10"/>
  <c r="L17" i="52" s="1"/>
  <c r="M17" i="52" s="1"/>
  <c r="F17" i="52" s="1"/>
  <c r="L15" i="29"/>
  <c r="L15" i="30"/>
  <c r="M15" i="12"/>
  <c r="L15" i="18"/>
  <c r="M53" i="10"/>
  <c r="M60" i="30"/>
  <c r="O39" i="38" l="1"/>
  <c r="L38" i="36"/>
  <c r="L39" i="36"/>
  <c r="P39" i="38"/>
  <c r="M16" i="35"/>
  <c r="N16" i="35" s="1"/>
  <c r="L25" i="36"/>
  <c r="L26" i="36" s="1"/>
  <c r="L28" i="36" s="1"/>
  <c r="M16" i="49"/>
  <c r="N16" i="49" s="1"/>
  <c r="F16" i="49" s="1"/>
  <c r="G16" i="49" s="1"/>
  <c r="Q41" i="35"/>
  <c r="G41" i="35"/>
  <c r="Q14" i="35"/>
  <c r="G14" i="35"/>
  <c r="L16" i="18"/>
  <c r="M16" i="18" s="1"/>
  <c r="L16" i="30"/>
  <c r="M16" i="30" s="1"/>
  <c r="L16" i="29"/>
  <c r="M16" i="29" s="1"/>
  <c r="F16" i="29" s="1"/>
  <c r="P16" i="29" s="1"/>
  <c r="N39" i="38"/>
  <c r="M16" i="10"/>
  <c r="F16" i="10" s="1"/>
  <c r="O16" i="10" s="1"/>
  <c r="M16" i="16"/>
  <c r="N16" i="16" s="1"/>
  <c r="L16" i="11"/>
  <c r="M16" i="11" s="1"/>
  <c r="L16" i="40"/>
  <c r="M16" i="40" s="1"/>
  <c r="F16" i="40" s="1"/>
  <c r="Q16" i="40" s="1"/>
  <c r="M16" i="12"/>
  <c r="N16" i="12" s="1"/>
  <c r="P17" i="52"/>
  <c r="N17" i="52"/>
  <c r="O17" i="52"/>
  <c r="Q17" i="52"/>
  <c r="Q15" i="52"/>
  <c r="P15" i="52"/>
  <c r="N15" i="52"/>
  <c r="O15" i="52"/>
  <c r="M43" i="49"/>
  <c r="W43" i="49" s="1"/>
  <c r="L41" i="52"/>
  <c r="M41" i="52" s="1"/>
  <c r="L16" i="38"/>
  <c r="M16" i="38" s="1"/>
  <c r="R14" i="35"/>
  <c r="O14" i="35"/>
  <c r="P16" i="10"/>
  <c r="O41" i="35"/>
  <c r="P14" i="35"/>
  <c r="R41" i="35"/>
  <c r="N16" i="29"/>
  <c r="AB42" i="49"/>
  <c r="AB14" i="49"/>
  <c r="Q14" i="38"/>
  <c r="N43" i="49"/>
  <c r="F43" i="49" s="1"/>
  <c r="G43" i="49" s="1"/>
  <c r="AB41" i="35"/>
  <c r="O14" i="49"/>
  <c r="R14" i="49"/>
  <c r="Q14" i="49"/>
  <c r="P14" i="49"/>
  <c r="M17" i="49"/>
  <c r="N15" i="35"/>
  <c r="F15" i="35" s="1"/>
  <c r="G15" i="35" s="1"/>
  <c r="W15" i="35"/>
  <c r="X15" i="35" s="1"/>
  <c r="Y15" i="35" s="1"/>
  <c r="Z15" i="35" s="1"/>
  <c r="N42" i="35"/>
  <c r="F42" i="35" s="1"/>
  <c r="W42" i="35"/>
  <c r="X42" i="35" s="1"/>
  <c r="Y42" i="35" s="1"/>
  <c r="Z42" i="35" s="1"/>
  <c r="M15" i="38"/>
  <c r="F15" i="38" s="1"/>
  <c r="V15" i="38"/>
  <c r="W15" i="38" s="1"/>
  <c r="X15" i="38" s="1"/>
  <c r="Y15" i="38" s="1"/>
  <c r="N14" i="38"/>
  <c r="AB14" i="35"/>
  <c r="W39" i="38"/>
  <c r="X39" i="38" s="1"/>
  <c r="Y39" i="38" s="1"/>
  <c r="AA39" i="38" s="1"/>
  <c r="M40" i="38"/>
  <c r="F40" i="38" s="1"/>
  <c r="V40" i="38"/>
  <c r="W40" i="38" s="1"/>
  <c r="X40" i="38" s="1"/>
  <c r="Y40" i="38" s="1"/>
  <c r="P14" i="38"/>
  <c r="O42" i="49"/>
  <c r="R42" i="49"/>
  <c r="Q42" i="49"/>
  <c r="P42" i="49"/>
  <c r="W14" i="38"/>
  <c r="X14" i="38" s="1"/>
  <c r="Y14" i="38" s="1"/>
  <c r="AA14" i="38" s="1"/>
  <c r="N15" i="49"/>
  <c r="F15" i="49" s="1"/>
  <c r="G15" i="49" s="1"/>
  <c r="W15" i="49"/>
  <c r="X15" i="49" s="1"/>
  <c r="Y15" i="49" s="1"/>
  <c r="Z15" i="49" s="1"/>
  <c r="Q40" i="40"/>
  <c r="O40" i="40"/>
  <c r="N40" i="40"/>
  <c r="P40" i="40"/>
  <c r="L44" i="10"/>
  <c r="L41" i="40"/>
  <c r="M41" i="40" s="1"/>
  <c r="F41" i="40" s="1"/>
  <c r="L41" i="38"/>
  <c r="L17" i="40"/>
  <c r="M17" i="40" s="1"/>
  <c r="F17" i="40" s="1"/>
  <c r="L17" i="38"/>
  <c r="O15" i="40"/>
  <c r="N15" i="40"/>
  <c r="Q15" i="40"/>
  <c r="P15" i="40"/>
  <c r="M43" i="35"/>
  <c r="F28" i="36"/>
  <c r="F30" i="36"/>
  <c r="F31" i="36"/>
  <c r="F27" i="36"/>
  <c r="F29" i="36"/>
  <c r="L18" i="10"/>
  <c r="L20" i="10" s="1"/>
  <c r="M20" i="35" s="1"/>
  <c r="N20" i="35" s="1"/>
  <c r="F20" i="35" s="1"/>
  <c r="M17" i="35"/>
  <c r="L62" i="10"/>
  <c r="L60" i="52" s="1"/>
  <c r="M60" i="52" s="1"/>
  <c r="L59" i="18"/>
  <c r="L17" i="18"/>
  <c r="M17" i="12"/>
  <c r="L17" i="29"/>
  <c r="L19" i="10"/>
  <c r="L19" i="52" s="1"/>
  <c r="M19" i="52" s="1"/>
  <c r="F19" i="52" s="1"/>
  <c r="L17" i="30"/>
  <c r="L17" i="11"/>
  <c r="L41" i="30"/>
  <c r="M41" i="12"/>
  <c r="L41" i="11"/>
  <c r="L41" i="29"/>
  <c r="L41" i="18"/>
  <c r="M54" i="10"/>
  <c r="M61" i="30"/>
  <c r="R65" i="16"/>
  <c r="C64" i="16"/>
  <c r="S64" i="16" s="1"/>
  <c r="L21" i="9"/>
  <c r="J21" i="9"/>
  <c r="H21" i="9"/>
  <c r="F21" i="9"/>
  <c r="L6" i="16"/>
  <c r="N6" i="16" s="1"/>
  <c r="C6" i="16"/>
  <c r="S6" i="16" s="1"/>
  <c r="Q16" i="10" l="1"/>
  <c r="P20" i="35"/>
  <c r="G20" i="35"/>
  <c r="Q20" i="35"/>
  <c r="R20" i="35"/>
  <c r="O20" i="35"/>
  <c r="N16" i="10"/>
  <c r="L31" i="36"/>
  <c r="L30" i="36"/>
  <c r="L27" i="36"/>
  <c r="L29" i="36"/>
  <c r="M20" i="49"/>
  <c r="N20" i="49" s="1"/>
  <c r="F20" i="49" s="1"/>
  <c r="M20" i="10"/>
  <c r="O16" i="49"/>
  <c r="O16" i="40"/>
  <c r="Q16" i="49"/>
  <c r="R16" i="49"/>
  <c r="P16" i="49"/>
  <c r="O16" i="29"/>
  <c r="Q42" i="35"/>
  <c r="G42" i="35"/>
  <c r="P16" i="40"/>
  <c r="N16" i="40"/>
  <c r="Q16" i="29"/>
  <c r="O19" i="52"/>
  <c r="Q19" i="52"/>
  <c r="N19" i="52"/>
  <c r="P19" i="52"/>
  <c r="L18" i="29"/>
  <c r="M18" i="29" s="1"/>
  <c r="F18" i="29" s="1"/>
  <c r="P18" i="29" s="1"/>
  <c r="L18" i="52"/>
  <c r="M18" i="52" s="1"/>
  <c r="M44" i="49"/>
  <c r="N44" i="49" s="1"/>
  <c r="F44" i="49" s="1"/>
  <c r="G44" i="49" s="1"/>
  <c r="L42" i="52"/>
  <c r="M42" i="52" s="1"/>
  <c r="L18" i="18"/>
  <c r="M18" i="18" s="1"/>
  <c r="AA15" i="38"/>
  <c r="AB15" i="35"/>
  <c r="M18" i="16"/>
  <c r="N18" i="16" s="1"/>
  <c r="M18" i="12"/>
  <c r="N18" i="12" s="1"/>
  <c r="M18" i="10"/>
  <c r="F18" i="10" s="1"/>
  <c r="N18" i="10" s="1"/>
  <c r="L18" i="30"/>
  <c r="M18" i="30" s="1"/>
  <c r="F18" i="30" s="1"/>
  <c r="N18" i="30" s="1"/>
  <c r="AA40" i="38"/>
  <c r="O42" i="35"/>
  <c r="P42" i="35"/>
  <c r="R42" i="35"/>
  <c r="N40" i="38"/>
  <c r="P40" i="38"/>
  <c r="O40" i="38"/>
  <c r="P15" i="38"/>
  <c r="Q40" i="38"/>
  <c r="Q43" i="49"/>
  <c r="P43" i="49"/>
  <c r="R43" i="49"/>
  <c r="O43" i="49"/>
  <c r="AB15" i="49"/>
  <c r="R15" i="49"/>
  <c r="Q15" i="49"/>
  <c r="O15" i="49"/>
  <c r="P15" i="49"/>
  <c r="O15" i="35"/>
  <c r="M17" i="38"/>
  <c r="F17" i="38" s="1"/>
  <c r="N17" i="38" s="1"/>
  <c r="V17" i="38"/>
  <c r="W17" i="38" s="1"/>
  <c r="X17" i="38" s="1"/>
  <c r="Y17" i="38" s="1"/>
  <c r="P15" i="35"/>
  <c r="N17" i="35"/>
  <c r="F17" i="35" s="1"/>
  <c r="W17" i="35"/>
  <c r="Q15" i="38"/>
  <c r="Q15" i="35"/>
  <c r="M18" i="49"/>
  <c r="N15" i="38"/>
  <c r="M41" i="38"/>
  <c r="F41" i="38" s="1"/>
  <c r="P41" i="38" s="1"/>
  <c r="V41" i="38"/>
  <c r="W41" i="38" s="1"/>
  <c r="X41" i="38" s="1"/>
  <c r="Y41" i="38" s="1"/>
  <c r="AB42" i="35"/>
  <c r="X43" i="49"/>
  <c r="Y43" i="49" s="1"/>
  <c r="Z43" i="49" s="1"/>
  <c r="AB43" i="49" s="1"/>
  <c r="M19" i="49"/>
  <c r="L18" i="11"/>
  <c r="M18" i="11" s="1"/>
  <c r="R15" i="35"/>
  <c r="N43" i="35"/>
  <c r="F43" i="35" s="1"/>
  <c r="G43" i="35" s="1"/>
  <c r="W43" i="35"/>
  <c r="X43" i="35" s="1"/>
  <c r="Y43" i="35" s="1"/>
  <c r="Z43" i="35" s="1"/>
  <c r="O15" i="38"/>
  <c r="N17" i="49"/>
  <c r="F17" i="49" s="1"/>
  <c r="G17" i="49" s="1"/>
  <c r="W17" i="49"/>
  <c r="L22" i="10"/>
  <c r="L19" i="40"/>
  <c r="M19" i="40" s="1"/>
  <c r="F19" i="40" s="1"/>
  <c r="L19" i="38"/>
  <c r="Q41" i="40"/>
  <c r="P41" i="40"/>
  <c r="N41" i="40"/>
  <c r="O41" i="40"/>
  <c r="L45" i="10"/>
  <c r="L42" i="38"/>
  <c r="L42" i="40"/>
  <c r="M42" i="40" s="1"/>
  <c r="F42" i="40" s="1"/>
  <c r="N17" i="40"/>
  <c r="Q17" i="40"/>
  <c r="P17" i="40"/>
  <c r="O17" i="40"/>
  <c r="L18" i="40"/>
  <c r="M18" i="40" s="1"/>
  <c r="F18" i="40" s="1"/>
  <c r="L21" i="10"/>
  <c r="L20" i="52" s="1"/>
  <c r="M20" i="52" s="1"/>
  <c r="F20" i="52" s="1"/>
  <c r="L18" i="38"/>
  <c r="M44" i="35"/>
  <c r="M19" i="35"/>
  <c r="M18" i="35"/>
  <c r="Q18" i="29"/>
  <c r="O18" i="29"/>
  <c r="N18" i="29"/>
  <c r="L60" i="18"/>
  <c r="L63" i="10"/>
  <c r="L61" i="52" s="1"/>
  <c r="M61" i="52" s="1"/>
  <c r="L64" i="16"/>
  <c r="L42" i="18"/>
  <c r="L42" i="30"/>
  <c r="L42" i="29"/>
  <c r="M42" i="12"/>
  <c r="L42" i="11"/>
  <c r="M19" i="12"/>
  <c r="L19" i="29"/>
  <c r="M19" i="29" s="1"/>
  <c r="F19" i="29" s="1"/>
  <c r="L19" i="18"/>
  <c r="L19" i="30"/>
  <c r="L19" i="11"/>
  <c r="M63" i="30"/>
  <c r="M62" i="30"/>
  <c r="F67" i="10"/>
  <c r="F6" i="16"/>
  <c r="G6" i="16" s="1"/>
  <c r="L21" i="52" l="1"/>
  <c r="M21" i="52" s="1"/>
  <c r="L24" i="10"/>
  <c r="P20" i="49"/>
  <c r="G20" i="49"/>
  <c r="Q20" i="49"/>
  <c r="R20" i="49"/>
  <c r="O20" i="49"/>
  <c r="P18" i="10"/>
  <c r="Q18" i="30"/>
  <c r="Q18" i="10"/>
  <c r="O18" i="30"/>
  <c r="P17" i="35"/>
  <c r="G17" i="35"/>
  <c r="O18" i="10"/>
  <c r="P18" i="30"/>
  <c r="W44" i="49"/>
  <c r="X44" i="49" s="1"/>
  <c r="Y44" i="49" s="1"/>
  <c r="Z44" i="49" s="1"/>
  <c r="O20" i="52"/>
  <c r="Q20" i="52"/>
  <c r="P20" i="52"/>
  <c r="N20" i="52"/>
  <c r="M45" i="49"/>
  <c r="L43" i="52"/>
  <c r="M43" i="52" s="1"/>
  <c r="AB43" i="35"/>
  <c r="Q41" i="38"/>
  <c r="O17" i="38"/>
  <c r="Q17" i="38"/>
  <c r="P17" i="38"/>
  <c r="AB44" i="49"/>
  <c r="O17" i="49"/>
  <c r="R17" i="49"/>
  <c r="Q17" i="49"/>
  <c r="P17" i="49"/>
  <c r="O41" i="38"/>
  <c r="N41" i="38"/>
  <c r="O43" i="35"/>
  <c r="Q17" i="35"/>
  <c r="Q43" i="35"/>
  <c r="M18" i="38"/>
  <c r="F18" i="38" s="1"/>
  <c r="V18" i="38"/>
  <c r="W18" i="38" s="1"/>
  <c r="X18" i="38" s="1"/>
  <c r="Y18" i="38" s="1"/>
  <c r="M42" i="38"/>
  <c r="F42" i="38" s="1"/>
  <c r="P42" i="38" s="1"/>
  <c r="V42" i="38"/>
  <c r="W42" i="38" s="1"/>
  <c r="X42" i="38" s="1"/>
  <c r="Y42" i="38" s="1"/>
  <c r="M22" i="49"/>
  <c r="W19" i="49"/>
  <c r="X19" i="49" s="1"/>
  <c r="Y19" i="49" s="1"/>
  <c r="Z19" i="49" s="1"/>
  <c r="N19" i="49"/>
  <c r="F19" i="49" s="1"/>
  <c r="G19" i="49" s="1"/>
  <c r="O44" i="49"/>
  <c r="Q44" i="49"/>
  <c r="R44" i="49"/>
  <c r="P44" i="49"/>
  <c r="N19" i="35"/>
  <c r="F19" i="35" s="1"/>
  <c r="G19" i="35" s="1"/>
  <c r="W19" i="35"/>
  <c r="N44" i="35"/>
  <c r="F44" i="35" s="1"/>
  <c r="W44" i="35"/>
  <c r="X44" i="35" s="1"/>
  <c r="Y44" i="35" s="1"/>
  <c r="Z44" i="35" s="1"/>
  <c r="X17" i="49"/>
  <c r="Y17" i="49" s="1"/>
  <c r="Z17" i="49" s="1"/>
  <c r="AB17" i="49" s="1"/>
  <c r="R17" i="35"/>
  <c r="R43" i="35"/>
  <c r="M21" i="49"/>
  <c r="N45" i="49"/>
  <c r="F45" i="49" s="1"/>
  <c r="G45" i="49" s="1"/>
  <c r="W45" i="49"/>
  <c r="X45" i="49" s="1"/>
  <c r="Y45" i="49" s="1"/>
  <c r="Z45" i="49" s="1"/>
  <c r="AA41" i="38"/>
  <c r="N18" i="49"/>
  <c r="F18" i="49" s="1"/>
  <c r="G18" i="49" s="1"/>
  <c r="W18" i="49"/>
  <c r="N18" i="35"/>
  <c r="F18" i="35" s="1"/>
  <c r="G18" i="35" s="1"/>
  <c r="W18" i="35"/>
  <c r="X18" i="35" s="1"/>
  <c r="Y18" i="35" s="1"/>
  <c r="Z18" i="35" s="1"/>
  <c r="O17" i="35"/>
  <c r="P43" i="35"/>
  <c r="M19" i="38"/>
  <c r="F19" i="38" s="1"/>
  <c r="O19" i="38" s="1"/>
  <c r="V19" i="38"/>
  <c r="W19" i="38" s="1"/>
  <c r="X19" i="38" s="1"/>
  <c r="Y19" i="38" s="1"/>
  <c r="X17" i="35"/>
  <c r="Y17" i="35" s="1"/>
  <c r="Z17" i="35" s="1"/>
  <c r="AB17" i="35" s="1"/>
  <c r="AA17" i="38"/>
  <c r="P19" i="40"/>
  <c r="O19" i="40"/>
  <c r="N19" i="40"/>
  <c r="Q19" i="40"/>
  <c r="L21" i="40"/>
  <c r="M21" i="40" s="1"/>
  <c r="L25" i="10"/>
  <c r="L23" i="52" s="1"/>
  <c r="M23" i="52" s="1"/>
  <c r="F23" i="52" s="1"/>
  <c r="L21" i="38"/>
  <c r="M22" i="35"/>
  <c r="L21" i="30"/>
  <c r="M21" i="30" s="1"/>
  <c r="F21" i="30" s="1"/>
  <c r="L21" i="18"/>
  <c r="M21" i="18" s="1"/>
  <c r="F21" i="18" s="1"/>
  <c r="L21" i="11"/>
  <c r="M21" i="11" s="1"/>
  <c r="F21" i="11" s="1"/>
  <c r="M21" i="12"/>
  <c r="N21" i="12" s="1"/>
  <c r="F21" i="12" s="1"/>
  <c r="G21" i="12" s="1"/>
  <c r="L21" i="29"/>
  <c r="M21" i="29" s="1"/>
  <c r="F21" i="29" s="1"/>
  <c r="M21" i="16"/>
  <c r="N21" i="16" s="1"/>
  <c r="F21" i="16" s="1"/>
  <c r="M22" i="10"/>
  <c r="F22" i="10" s="1"/>
  <c r="L20" i="40"/>
  <c r="M20" i="40" s="1"/>
  <c r="F20" i="40" s="1"/>
  <c r="L23" i="10"/>
  <c r="L22" i="52" s="1"/>
  <c r="M22" i="52" s="1"/>
  <c r="F22" i="52" s="1"/>
  <c r="L20" i="38"/>
  <c r="M21" i="35"/>
  <c r="L20" i="30"/>
  <c r="M20" i="30" s="1"/>
  <c r="F20" i="30" s="1"/>
  <c r="L20" i="29"/>
  <c r="M20" i="29" s="1"/>
  <c r="F20" i="29" s="1"/>
  <c r="L20" i="11"/>
  <c r="M20" i="12"/>
  <c r="L20" i="18"/>
  <c r="L46" i="10"/>
  <c r="L43" i="40"/>
  <c r="M43" i="40" s="1"/>
  <c r="F43" i="40" s="1"/>
  <c r="L43" i="38"/>
  <c r="O42" i="40"/>
  <c r="N42" i="40"/>
  <c r="P42" i="40"/>
  <c r="Q42" i="40"/>
  <c r="N18" i="40"/>
  <c r="P18" i="40"/>
  <c r="O18" i="40"/>
  <c r="Q18" i="40"/>
  <c r="M45" i="35"/>
  <c r="L64" i="10"/>
  <c r="L62" i="52" s="1"/>
  <c r="M62" i="52" s="1"/>
  <c r="L61" i="18"/>
  <c r="N19" i="29"/>
  <c r="P19" i="29"/>
  <c r="O19" i="29"/>
  <c r="Q19" i="29"/>
  <c r="L43" i="29"/>
  <c r="L43" i="11"/>
  <c r="L43" i="18"/>
  <c r="M43" i="12"/>
  <c r="L43" i="30"/>
  <c r="M56" i="10"/>
  <c r="F69" i="10"/>
  <c r="F68" i="10"/>
  <c r="Q67" i="10"/>
  <c r="O6" i="16"/>
  <c r="P6" i="16"/>
  <c r="R6" i="16"/>
  <c r="Q6" i="16"/>
  <c r="J65" i="12"/>
  <c r="K65" i="12" s="1"/>
  <c r="J64" i="12"/>
  <c r="K64" i="12" s="1"/>
  <c r="C65" i="12"/>
  <c r="S65" i="12" s="1"/>
  <c r="C64" i="12"/>
  <c r="S64" i="12" s="1"/>
  <c r="J62" i="12"/>
  <c r="K62" i="12" s="1"/>
  <c r="J55" i="12"/>
  <c r="K55" i="12" s="1"/>
  <c r="J51" i="12"/>
  <c r="K51" i="12" s="1"/>
  <c r="M24" i="35" l="1"/>
  <c r="N24" i="35" s="1"/>
  <c r="F24" i="35" s="1"/>
  <c r="M24" i="49"/>
  <c r="N24" i="49" s="1"/>
  <c r="F24" i="49" s="1"/>
  <c r="M24" i="10"/>
  <c r="R19" i="35"/>
  <c r="O19" i="35"/>
  <c r="P19" i="35"/>
  <c r="Q19" i="35"/>
  <c r="O21" i="16"/>
  <c r="Q21" i="16"/>
  <c r="R21" i="16"/>
  <c r="P21" i="16"/>
  <c r="O21" i="12"/>
  <c r="R21" i="12"/>
  <c r="Q21" i="12"/>
  <c r="P21" i="12"/>
  <c r="Q44" i="35"/>
  <c r="G44" i="35"/>
  <c r="AA19" i="38"/>
  <c r="AA18" i="38"/>
  <c r="P23" i="52"/>
  <c r="N23" i="52"/>
  <c r="Q23" i="52"/>
  <c r="O23" i="52"/>
  <c r="M46" i="49"/>
  <c r="W46" i="49" s="1"/>
  <c r="X46" i="49" s="1"/>
  <c r="Y46" i="49" s="1"/>
  <c r="Z46" i="49" s="1"/>
  <c r="L44" i="52"/>
  <c r="M44" i="52" s="1"/>
  <c r="O22" i="52"/>
  <c r="Q22" i="52"/>
  <c r="P22" i="52"/>
  <c r="N22" i="52"/>
  <c r="AB18" i="35"/>
  <c r="Q19" i="38"/>
  <c r="R18" i="35"/>
  <c r="R44" i="35"/>
  <c r="P44" i="35"/>
  <c r="O44" i="35"/>
  <c r="P19" i="38"/>
  <c r="N19" i="38"/>
  <c r="P18" i="38"/>
  <c r="AB45" i="49"/>
  <c r="P45" i="49"/>
  <c r="O45" i="49"/>
  <c r="Q45" i="49"/>
  <c r="R45" i="49"/>
  <c r="P18" i="49"/>
  <c r="R18" i="49"/>
  <c r="Q18" i="49"/>
  <c r="O18" i="49"/>
  <c r="Q42" i="38"/>
  <c r="N42" i="38"/>
  <c r="O42" i="38"/>
  <c r="O18" i="35"/>
  <c r="P18" i="35"/>
  <c r="Q18" i="35"/>
  <c r="M23" i="49"/>
  <c r="N22" i="35"/>
  <c r="F22" i="35" s="1"/>
  <c r="W22" i="35"/>
  <c r="Q18" i="38"/>
  <c r="AB44" i="35"/>
  <c r="M20" i="38"/>
  <c r="F20" i="38" s="1"/>
  <c r="O20" i="38" s="1"/>
  <c r="V20" i="38"/>
  <c r="X18" i="49"/>
  <c r="Y18" i="49" s="1"/>
  <c r="Z18" i="49" s="1"/>
  <c r="AB18" i="49" s="1"/>
  <c r="R19" i="49"/>
  <c r="Q19" i="49"/>
  <c r="P19" i="49"/>
  <c r="AB19" i="49"/>
  <c r="O19" i="49"/>
  <c r="N22" i="49"/>
  <c r="F22" i="49" s="1"/>
  <c r="G22" i="49" s="1"/>
  <c r="W22" i="49"/>
  <c r="N46" i="49"/>
  <c r="F46" i="49" s="1"/>
  <c r="G46" i="49" s="1"/>
  <c r="M21" i="38"/>
  <c r="V21" i="38"/>
  <c r="W21" i="38" s="1"/>
  <c r="X21" i="38" s="1"/>
  <c r="O18" i="38"/>
  <c r="X19" i="35"/>
  <c r="Y19" i="35" s="1"/>
  <c r="Z19" i="35" s="1"/>
  <c r="AB19" i="35" s="1"/>
  <c r="AA42" i="38"/>
  <c r="M43" i="38"/>
  <c r="F43" i="38" s="1"/>
  <c r="O43" i="38" s="1"/>
  <c r="V43" i="38"/>
  <c r="N45" i="35"/>
  <c r="F45" i="35" s="1"/>
  <c r="W45" i="35"/>
  <c r="X45" i="35" s="1"/>
  <c r="Y45" i="35" s="1"/>
  <c r="Z45" i="35" s="1"/>
  <c r="N21" i="35"/>
  <c r="F21" i="35" s="1"/>
  <c r="O21" i="35" s="1"/>
  <c r="W21" i="35"/>
  <c r="X21" i="35" s="1"/>
  <c r="Y21" i="35" s="1"/>
  <c r="Z21" i="35" s="1"/>
  <c r="M25" i="49"/>
  <c r="N18" i="38"/>
  <c r="N21" i="49"/>
  <c r="F21" i="49" s="1"/>
  <c r="G21" i="49" s="1"/>
  <c r="W21" i="49"/>
  <c r="X21" i="49" s="1"/>
  <c r="Y21" i="49" s="1"/>
  <c r="Z21" i="49" s="1"/>
  <c r="N20" i="29"/>
  <c r="O20" i="29"/>
  <c r="P20" i="29"/>
  <c r="Q20" i="29"/>
  <c r="P22" i="10"/>
  <c r="N22" i="10"/>
  <c r="Q22" i="10"/>
  <c r="O22" i="10"/>
  <c r="Q21" i="18"/>
  <c r="P21" i="18"/>
  <c r="O21" i="18"/>
  <c r="N21" i="18"/>
  <c r="Q43" i="40"/>
  <c r="O43" i="40"/>
  <c r="P43" i="40"/>
  <c r="N43" i="40"/>
  <c r="L26" i="10"/>
  <c r="L24" i="52" s="1"/>
  <c r="M24" i="52" s="1"/>
  <c r="L22" i="40"/>
  <c r="M22" i="40" s="1"/>
  <c r="F22" i="40" s="1"/>
  <c r="L22" i="38"/>
  <c r="M22" i="16"/>
  <c r="N22" i="16" s="1"/>
  <c r="F22" i="16" s="1"/>
  <c r="M23" i="35"/>
  <c r="M22" i="12"/>
  <c r="L22" i="11"/>
  <c r="L22" i="30"/>
  <c r="M22" i="30" s="1"/>
  <c r="F22" i="30" s="1"/>
  <c r="L22" i="18"/>
  <c r="L22" i="29"/>
  <c r="M22" i="29" s="1"/>
  <c r="F22" i="29" s="1"/>
  <c r="Q21" i="30"/>
  <c r="O21" i="30"/>
  <c r="P21" i="30"/>
  <c r="N21" i="30"/>
  <c r="L47" i="10"/>
  <c r="L44" i="40"/>
  <c r="M44" i="40" s="1"/>
  <c r="F44" i="40" s="1"/>
  <c r="L44" i="38"/>
  <c r="N20" i="30"/>
  <c r="Q20" i="30"/>
  <c r="P20" i="30"/>
  <c r="O20" i="30"/>
  <c r="Q20" i="40"/>
  <c r="O20" i="40"/>
  <c r="P20" i="40"/>
  <c r="N20" i="40"/>
  <c r="P21" i="29"/>
  <c r="Q21" i="29"/>
  <c r="N21" i="29"/>
  <c r="O21" i="29"/>
  <c r="P21" i="11"/>
  <c r="O21" i="11"/>
  <c r="Q21" i="11"/>
  <c r="N21" i="11"/>
  <c r="L27" i="10"/>
  <c r="L25" i="52" s="1"/>
  <c r="M25" i="52" s="1"/>
  <c r="F25" i="52" s="1"/>
  <c r="L23" i="40"/>
  <c r="M23" i="40" s="1"/>
  <c r="F23" i="40" s="1"/>
  <c r="L23" i="38"/>
  <c r="M25" i="35"/>
  <c r="L23" i="29"/>
  <c r="M23" i="29" s="1"/>
  <c r="L23" i="30"/>
  <c r="M23" i="30" s="1"/>
  <c r="L23" i="18"/>
  <c r="L23" i="11"/>
  <c r="M23" i="12"/>
  <c r="M46" i="35"/>
  <c r="L64" i="12"/>
  <c r="L65" i="12"/>
  <c r="L65" i="10"/>
  <c r="L62" i="18"/>
  <c r="M44" i="12"/>
  <c r="L44" i="29"/>
  <c r="L44" i="11"/>
  <c r="L44" i="18"/>
  <c r="L44" i="30"/>
  <c r="M57" i="10"/>
  <c r="Q68" i="10"/>
  <c r="Q69" i="10"/>
  <c r="Q24" i="49" l="1"/>
  <c r="O24" i="49"/>
  <c r="P24" i="49"/>
  <c r="R24" i="49"/>
  <c r="G24" i="49"/>
  <c r="G24" i="35"/>
  <c r="Q24" i="35"/>
  <c r="R24" i="35"/>
  <c r="O24" i="35"/>
  <c r="P24" i="35"/>
  <c r="P22" i="49"/>
  <c r="O22" i="49"/>
  <c r="R22" i="49"/>
  <c r="Q22" i="49"/>
  <c r="R21" i="35"/>
  <c r="G21" i="35"/>
  <c r="P22" i="35"/>
  <c r="G22" i="35"/>
  <c r="Q20" i="38"/>
  <c r="O45" i="35"/>
  <c r="G45" i="35"/>
  <c r="P21" i="35"/>
  <c r="Q21" i="35"/>
  <c r="P25" i="52"/>
  <c r="Q25" i="52"/>
  <c r="O25" i="52"/>
  <c r="N25" i="52"/>
  <c r="L63" i="18"/>
  <c r="L63" i="52"/>
  <c r="M63" i="52" s="1"/>
  <c r="M47" i="49"/>
  <c r="W47" i="49" s="1"/>
  <c r="X47" i="49" s="1"/>
  <c r="Y47" i="49" s="1"/>
  <c r="Z47" i="49" s="1"/>
  <c r="L45" i="52"/>
  <c r="M45" i="52" s="1"/>
  <c r="R45" i="35"/>
  <c r="F21" i="50"/>
  <c r="F22" i="50" s="1"/>
  <c r="F38" i="50" s="1"/>
  <c r="AB46" i="49"/>
  <c r="AB21" i="49"/>
  <c r="R46" i="49"/>
  <c r="P46" i="49"/>
  <c r="Q46" i="49"/>
  <c r="O46" i="49"/>
  <c r="Q43" i="38"/>
  <c r="P43" i="38"/>
  <c r="N43" i="38"/>
  <c r="P45" i="35"/>
  <c r="Q45" i="35"/>
  <c r="O22" i="35"/>
  <c r="Q22" i="35"/>
  <c r="AB21" i="35"/>
  <c r="M23" i="38"/>
  <c r="F23" i="38" s="1"/>
  <c r="Q23" i="38" s="1"/>
  <c r="V23" i="38"/>
  <c r="M22" i="38"/>
  <c r="F22" i="38" s="1"/>
  <c r="V22" i="38"/>
  <c r="W22" i="38" s="1"/>
  <c r="X22" i="38" s="1"/>
  <c r="Y22" i="38" s="1"/>
  <c r="W43" i="38"/>
  <c r="X43" i="38" s="1"/>
  <c r="Y43" i="38" s="1"/>
  <c r="AA43" i="38" s="1"/>
  <c r="N46" i="35"/>
  <c r="F46" i="35" s="1"/>
  <c r="W46" i="35"/>
  <c r="X46" i="35" s="1"/>
  <c r="Y46" i="35" s="1"/>
  <c r="Z46" i="35" s="1"/>
  <c r="M27" i="49"/>
  <c r="P20" i="38"/>
  <c r="N23" i="35"/>
  <c r="F23" i="35" s="1"/>
  <c r="W23" i="35"/>
  <c r="M26" i="49"/>
  <c r="X22" i="49"/>
  <c r="Y22" i="49" s="1"/>
  <c r="Z22" i="49" s="1"/>
  <c r="AB22" i="49" s="1"/>
  <c r="N25" i="35"/>
  <c r="F25" i="35" s="1"/>
  <c r="W25" i="35"/>
  <c r="X25" i="35" s="1"/>
  <c r="Y25" i="35" s="1"/>
  <c r="Z25" i="35" s="1"/>
  <c r="M44" i="38"/>
  <c r="F44" i="38" s="1"/>
  <c r="O44" i="38" s="1"/>
  <c r="V44" i="38"/>
  <c r="N20" i="38"/>
  <c r="R22" i="35"/>
  <c r="Q21" i="49"/>
  <c r="P21" i="49"/>
  <c r="R21" i="49"/>
  <c r="O21" i="49"/>
  <c r="N25" i="49"/>
  <c r="F25" i="49" s="1"/>
  <c r="G25" i="49" s="1"/>
  <c r="W25" i="49"/>
  <c r="X25" i="49" s="1"/>
  <c r="Y25" i="49" s="1"/>
  <c r="Z25" i="49" s="1"/>
  <c r="AB45" i="35"/>
  <c r="W20" i="38"/>
  <c r="X20" i="38" s="1"/>
  <c r="Y20" i="38" s="1"/>
  <c r="AA20" i="38" s="1"/>
  <c r="X22" i="35"/>
  <c r="Y22" i="35" s="1"/>
  <c r="Z22" i="35" s="1"/>
  <c r="AB22" i="35" s="1"/>
  <c r="W23" i="49"/>
  <c r="N23" i="49"/>
  <c r="F23" i="49" s="1"/>
  <c r="G23" i="49" s="1"/>
  <c r="Q22" i="29"/>
  <c r="P22" i="29"/>
  <c r="O22" i="29"/>
  <c r="N22" i="29"/>
  <c r="Q22" i="16"/>
  <c r="O22" i="16"/>
  <c r="R22" i="16"/>
  <c r="P22" i="16"/>
  <c r="O44" i="40"/>
  <c r="P44" i="40"/>
  <c r="N44" i="40"/>
  <c r="Q44" i="40"/>
  <c r="N23" i="40"/>
  <c r="P23" i="40"/>
  <c r="O23" i="40"/>
  <c r="Q23" i="40"/>
  <c r="L48" i="10"/>
  <c r="L45" i="40"/>
  <c r="M45" i="40" s="1"/>
  <c r="F45" i="40" s="1"/>
  <c r="L45" i="38"/>
  <c r="O22" i="40"/>
  <c r="P22" i="40"/>
  <c r="N22" i="40"/>
  <c r="Q22" i="40"/>
  <c r="L29" i="10"/>
  <c r="L27" i="52" s="1"/>
  <c r="M27" i="52" s="1"/>
  <c r="L25" i="40"/>
  <c r="M25" i="40" s="1"/>
  <c r="F25" i="40" s="1"/>
  <c r="M27" i="35"/>
  <c r="L25" i="18"/>
  <c r="L25" i="11"/>
  <c r="L25" i="38"/>
  <c r="L25" i="30"/>
  <c r="M25" i="30" s="1"/>
  <c r="F25" i="30" s="1"/>
  <c r="L25" i="29"/>
  <c r="M25" i="12"/>
  <c r="O22" i="30"/>
  <c r="Q22" i="30"/>
  <c r="N22" i="30"/>
  <c r="P22" i="30"/>
  <c r="L24" i="40"/>
  <c r="M24" i="40" s="1"/>
  <c r="F24" i="40" s="1"/>
  <c r="L28" i="10"/>
  <c r="L26" i="52" s="1"/>
  <c r="M26" i="52" s="1"/>
  <c r="L24" i="38"/>
  <c r="M24" i="16"/>
  <c r="N24" i="16" s="1"/>
  <c r="F24" i="16" s="1"/>
  <c r="G24" i="16" s="1"/>
  <c r="M24" i="12"/>
  <c r="N24" i="12" s="1"/>
  <c r="F24" i="12" s="1"/>
  <c r="G24" i="12" s="1"/>
  <c r="L24" i="29"/>
  <c r="M24" i="29" s="1"/>
  <c r="M26" i="35"/>
  <c r="L24" i="30"/>
  <c r="M24" i="30" s="1"/>
  <c r="L24" i="18"/>
  <c r="M24" i="18" s="1"/>
  <c r="F24" i="18" s="1"/>
  <c r="L24" i="11"/>
  <c r="M24" i="11" s="1"/>
  <c r="F24" i="11" s="1"/>
  <c r="M26" i="10"/>
  <c r="F26" i="10" s="1"/>
  <c r="M47" i="35"/>
  <c r="L45" i="30"/>
  <c r="M45" i="12"/>
  <c r="L45" i="11"/>
  <c r="L45" i="29"/>
  <c r="L45" i="18"/>
  <c r="N24" i="40" l="1"/>
  <c r="Q24" i="40"/>
  <c r="P24" i="40"/>
  <c r="O24" i="40"/>
  <c r="P25" i="35"/>
  <c r="G25" i="35"/>
  <c r="R23" i="35"/>
  <c r="G23" i="35"/>
  <c r="P46" i="35"/>
  <c r="G46" i="35"/>
  <c r="N47" i="49"/>
  <c r="F47" i="49" s="1"/>
  <c r="G47" i="49" s="1"/>
  <c r="O25" i="35"/>
  <c r="O46" i="35"/>
  <c r="R46" i="35"/>
  <c r="Q25" i="35"/>
  <c r="O23" i="35"/>
  <c r="R25" i="35"/>
  <c r="Q46" i="35"/>
  <c r="Q23" i="35"/>
  <c r="AA22" i="38"/>
  <c r="M48" i="49"/>
  <c r="N48" i="49" s="1"/>
  <c r="F48" i="49" s="1"/>
  <c r="G48" i="49" s="1"/>
  <c r="L46" i="52"/>
  <c r="M46" i="52" s="1"/>
  <c r="P23" i="38"/>
  <c r="N23" i="38"/>
  <c r="O23" i="38"/>
  <c r="F36" i="50"/>
  <c r="F25" i="50"/>
  <c r="F26" i="50" s="1"/>
  <c r="F28" i="50" s="1"/>
  <c r="H21" i="50"/>
  <c r="H22" i="50" s="1"/>
  <c r="H38" i="50" s="1"/>
  <c r="F39" i="50"/>
  <c r="O22" i="38"/>
  <c r="N44" i="38"/>
  <c r="Q44" i="38"/>
  <c r="P44" i="38"/>
  <c r="R25" i="49"/>
  <c r="P25" i="49"/>
  <c r="O25" i="49"/>
  <c r="Q25" i="49"/>
  <c r="AB25" i="49"/>
  <c r="P23" i="35"/>
  <c r="M28" i="49"/>
  <c r="X23" i="35"/>
  <c r="Y23" i="35" s="1"/>
  <c r="Z23" i="35" s="1"/>
  <c r="AB23" i="35" s="1"/>
  <c r="M25" i="38"/>
  <c r="F25" i="38" s="1"/>
  <c r="O25" i="38" s="1"/>
  <c r="V25" i="38"/>
  <c r="W25" i="38" s="1"/>
  <c r="X25" i="38" s="1"/>
  <c r="Y25" i="38" s="1"/>
  <c r="M29" i="49"/>
  <c r="Q22" i="38"/>
  <c r="AB25" i="35"/>
  <c r="N27" i="49"/>
  <c r="F27" i="49" s="1"/>
  <c r="G27" i="49" s="1"/>
  <c r="W27" i="49"/>
  <c r="X27" i="49" s="1"/>
  <c r="Y27" i="49" s="1"/>
  <c r="Z27" i="49" s="1"/>
  <c r="W23" i="38"/>
  <c r="X23" i="38" s="1"/>
  <c r="Y23" i="38" s="1"/>
  <c r="AA23" i="38" s="1"/>
  <c r="N26" i="35"/>
  <c r="F26" i="35" s="1"/>
  <c r="W26" i="35"/>
  <c r="X26" i="35" s="1"/>
  <c r="Y26" i="35" s="1"/>
  <c r="Z26" i="35" s="1"/>
  <c r="N27" i="35"/>
  <c r="F27" i="35" s="1"/>
  <c r="W27" i="35"/>
  <c r="X27" i="35" s="1"/>
  <c r="Y27" i="35" s="1"/>
  <c r="Z27" i="35" s="1"/>
  <c r="M45" i="38"/>
  <c r="F45" i="38" s="1"/>
  <c r="V45" i="38"/>
  <c r="W45" i="38" s="1"/>
  <c r="X45" i="38" s="1"/>
  <c r="Y45" i="38" s="1"/>
  <c r="N22" i="38"/>
  <c r="W44" i="38"/>
  <c r="X44" i="38" s="1"/>
  <c r="Y44" i="38" s="1"/>
  <c r="AA44" i="38" s="1"/>
  <c r="X23" i="49"/>
  <c r="Y23" i="49" s="1"/>
  <c r="Z23" i="49" s="1"/>
  <c r="AB23" i="49" s="1"/>
  <c r="N47" i="35"/>
  <c r="F47" i="35" s="1"/>
  <c r="G47" i="35" s="1"/>
  <c r="W47" i="35"/>
  <c r="X47" i="35" s="1"/>
  <c r="Y47" i="35" s="1"/>
  <c r="Z47" i="35" s="1"/>
  <c r="M24" i="38"/>
  <c r="V24" i="38"/>
  <c r="W24" i="38" s="1"/>
  <c r="X24" i="38" s="1"/>
  <c r="P22" i="38"/>
  <c r="R23" i="49"/>
  <c r="Q23" i="49"/>
  <c r="O23" i="49"/>
  <c r="P23" i="49"/>
  <c r="N26" i="49"/>
  <c r="F26" i="49" s="1"/>
  <c r="G26" i="49" s="1"/>
  <c r="W26" i="49"/>
  <c r="X26" i="49" s="1"/>
  <c r="Y26" i="49" s="1"/>
  <c r="Z26" i="49" s="1"/>
  <c r="AB46" i="35"/>
  <c r="Q25" i="30"/>
  <c r="P25" i="30"/>
  <c r="O25" i="30"/>
  <c r="N25" i="30"/>
  <c r="O26" i="10"/>
  <c r="Q26" i="10"/>
  <c r="P26" i="10"/>
  <c r="N26" i="10"/>
  <c r="Q24" i="12"/>
  <c r="R24" i="12"/>
  <c r="P24" i="12"/>
  <c r="O24" i="12"/>
  <c r="L30" i="10"/>
  <c r="L28" i="52" s="1"/>
  <c r="M28" i="52" s="1"/>
  <c r="F28" i="52" s="1"/>
  <c r="L26" i="38"/>
  <c r="L26" i="30"/>
  <c r="M26" i="30" s="1"/>
  <c r="L26" i="18"/>
  <c r="M26" i="18" s="1"/>
  <c r="F26" i="18" s="1"/>
  <c r="M26" i="16"/>
  <c r="N26" i="16" s="1"/>
  <c r="M26" i="12"/>
  <c r="N26" i="12" s="1"/>
  <c r="M28" i="10"/>
  <c r="F28" i="10" s="1"/>
  <c r="M28" i="35"/>
  <c r="L26" i="11"/>
  <c r="M26" i="11" s="1"/>
  <c r="L26" i="40"/>
  <c r="M26" i="40" s="1"/>
  <c r="F26" i="40" s="1"/>
  <c r="L26" i="29"/>
  <c r="M26" i="29" s="1"/>
  <c r="P24" i="11"/>
  <c r="O24" i="11"/>
  <c r="Q24" i="11"/>
  <c r="N24" i="11"/>
  <c r="Q25" i="38"/>
  <c r="Q25" i="40"/>
  <c r="P25" i="40"/>
  <c r="N25" i="40"/>
  <c r="O25" i="40"/>
  <c r="L31" i="10"/>
  <c r="L29" i="52" s="1"/>
  <c r="M29" i="52" s="1"/>
  <c r="F29" i="52" s="1"/>
  <c r="L27" i="11"/>
  <c r="L27" i="40"/>
  <c r="M27" i="40" s="1"/>
  <c r="F27" i="40" s="1"/>
  <c r="L27" i="29"/>
  <c r="L27" i="38"/>
  <c r="L27" i="18"/>
  <c r="M29" i="35"/>
  <c r="M27" i="12"/>
  <c r="L27" i="30"/>
  <c r="M27" i="30" s="1"/>
  <c r="F27" i="30" s="1"/>
  <c r="Q24" i="16"/>
  <c r="O24" i="16"/>
  <c r="R24" i="16"/>
  <c r="P24" i="16"/>
  <c r="Q24" i="18"/>
  <c r="O24" i="18"/>
  <c r="P24" i="18"/>
  <c r="N24" i="18"/>
  <c r="Q45" i="40"/>
  <c r="P45" i="40"/>
  <c r="O45" i="40"/>
  <c r="N45" i="40"/>
  <c r="L46" i="40"/>
  <c r="M46" i="40" s="1"/>
  <c r="F46" i="40" s="1"/>
  <c r="L46" i="38"/>
  <c r="M48" i="35"/>
  <c r="L46" i="18"/>
  <c r="L46" i="30"/>
  <c r="L46" i="29"/>
  <c r="M46" i="29" s="1"/>
  <c r="F46" i="29" s="1"/>
  <c r="L46" i="11"/>
  <c r="M46" i="12"/>
  <c r="M25" i="29"/>
  <c r="M15" i="30"/>
  <c r="F15" i="30" s="1"/>
  <c r="F21" i="34" s="1"/>
  <c r="F22" i="34" s="1"/>
  <c r="M14" i="29"/>
  <c r="F14" i="29" s="1"/>
  <c r="P47" i="49" l="1"/>
  <c r="AB47" i="49"/>
  <c r="N25" i="38"/>
  <c r="P25" i="38"/>
  <c r="R47" i="49"/>
  <c r="Q47" i="49"/>
  <c r="O47" i="49"/>
  <c r="Q47" i="35"/>
  <c r="P26" i="35"/>
  <c r="G26" i="35"/>
  <c r="O27" i="35"/>
  <c r="G27" i="35"/>
  <c r="W48" i="49"/>
  <c r="X48" i="49" s="1"/>
  <c r="Y48" i="49" s="1"/>
  <c r="Z48" i="49" s="1"/>
  <c r="AB48" i="49" s="1"/>
  <c r="P28" i="52"/>
  <c r="N28" i="52"/>
  <c r="O28" i="52"/>
  <c r="Q28" i="52"/>
  <c r="Q29" i="52"/>
  <c r="O29" i="52"/>
  <c r="N29" i="52"/>
  <c r="P29" i="52"/>
  <c r="AB26" i="35"/>
  <c r="AB27" i="35"/>
  <c r="AB27" i="49"/>
  <c r="F30" i="50"/>
  <c r="F29" i="50"/>
  <c r="F27" i="50"/>
  <c r="F31" i="50"/>
  <c r="H25" i="50"/>
  <c r="H26" i="50" s="1"/>
  <c r="H27" i="50" s="1"/>
  <c r="H36" i="50"/>
  <c r="H39" i="50"/>
  <c r="AA25" i="38"/>
  <c r="AA45" i="38"/>
  <c r="N45" i="38"/>
  <c r="P27" i="49"/>
  <c r="O27" i="49"/>
  <c r="R27" i="49"/>
  <c r="Q27" i="49"/>
  <c r="Q26" i="49"/>
  <c r="O26" i="49"/>
  <c r="R26" i="49"/>
  <c r="AB26" i="49"/>
  <c r="P26" i="49"/>
  <c r="O45" i="38"/>
  <c r="P45" i="38"/>
  <c r="Q45" i="38"/>
  <c r="R26" i="35"/>
  <c r="O26" i="35"/>
  <c r="Q26" i="35"/>
  <c r="AB47" i="35"/>
  <c r="N29" i="35"/>
  <c r="F29" i="35" s="1"/>
  <c r="Q29" i="35" s="1"/>
  <c r="W29" i="35"/>
  <c r="X29" i="35" s="1"/>
  <c r="Y29" i="35" s="1"/>
  <c r="Z29" i="35" s="1"/>
  <c r="Q48" i="49"/>
  <c r="O48" i="49"/>
  <c r="P48" i="49"/>
  <c r="R48" i="49"/>
  <c r="O47" i="35"/>
  <c r="N48" i="35"/>
  <c r="F48" i="35" s="1"/>
  <c r="G48" i="35" s="1"/>
  <c r="W48" i="35"/>
  <c r="X48" i="35" s="1"/>
  <c r="Y48" i="35" s="1"/>
  <c r="Z48" i="35" s="1"/>
  <c r="P27" i="35"/>
  <c r="M30" i="49"/>
  <c r="N29" i="49"/>
  <c r="F29" i="49" s="1"/>
  <c r="G29" i="49" s="1"/>
  <c r="W29" i="49"/>
  <c r="X29" i="49" s="1"/>
  <c r="Y29" i="49" s="1"/>
  <c r="Z29" i="49" s="1"/>
  <c r="R47" i="35"/>
  <c r="M46" i="38"/>
  <c r="F46" i="38" s="1"/>
  <c r="V46" i="38"/>
  <c r="W46" i="38" s="1"/>
  <c r="X46" i="38" s="1"/>
  <c r="Y46" i="38" s="1"/>
  <c r="Q27" i="35"/>
  <c r="M27" i="38"/>
  <c r="F27" i="38" s="1"/>
  <c r="V27" i="38"/>
  <c r="M26" i="38"/>
  <c r="F26" i="38" s="1"/>
  <c r="O26" i="38" s="1"/>
  <c r="V26" i="38"/>
  <c r="W26" i="38" s="1"/>
  <c r="X26" i="38" s="1"/>
  <c r="Y26" i="38" s="1"/>
  <c r="P47" i="35"/>
  <c r="R27" i="35"/>
  <c r="M31" i="49"/>
  <c r="N28" i="35"/>
  <c r="F28" i="35" s="1"/>
  <c r="AB28" i="35" s="1"/>
  <c r="W28" i="35"/>
  <c r="W28" i="49"/>
  <c r="N28" i="49"/>
  <c r="F28" i="49" s="1"/>
  <c r="P27" i="40"/>
  <c r="Q27" i="40"/>
  <c r="N27" i="40"/>
  <c r="O27" i="40"/>
  <c r="F36" i="34"/>
  <c r="F39" i="34"/>
  <c r="F25" i="34"/>
  <c r="F26" i="34" s="1"/>
  <c r="F38" i="34"/>
  <c r="N27" i="30"/>
  <c r="O27" i="30"/>
  <c r="Q27" i="30"/>
  <c r="P27" i="30"/>
  <c r="L32" i="10"/>
  <c r="L30" i="52" s="1"/>
  <c r="M30" i="52" s="1"/>
  <c r="F30" i="52" s="1"/>
  <c r="L28" i="40"/>
  <c r="M28" i="40" s="1"/>
  <c r="F28" i="40" s="1"/>
  <c r="M28" i="12"/>
  <c r="L28" i="30"/>
  <c r="M28" i="30" s="1"/>
  <c r="F28" i="30" s="1"/>
  <c r="L28" i="38"/>
  <c r="L28" i="11"/>
  <c r="M30" i="35"/>
  <c r="L28" i="18"/>
  <c r="L28" i="29"/>
  <c r="O26" i="40"/>
  <c r="P26" i="40"/>
  <c r="N26" i="40"/>
  <c r="Q26" i="40"/>
  <c r="P26" i="18"/>
  <c r="O26" i="18"/>
  <c r="Q26" i="18"/>
  <c r="N26" i="18"/>
  <c r="O46" i="40"/>
  <c r="N46" i="40"/>
  <c r="P46" i="40"/>
  <c r="Q46" i="40"/>
  <c r="L29" i="38"/>
  <c r="M29" i="12"/>
  <c r="L29" i="18"/>
  <c r="M31" i="35"/>
  <c r="L29" i="29"/>
  <c r="L29" i="40"/>
  <c r="M29" i="40" s="1"/>
  <c r="F29" i="40" s="1"/>
  <c r="L29" i="30"/>
  <c r="L29" i="11"/>
  <c r="N28" i="10"/>
  <c r="O28" i="10"/>
  <c r="P28" i="10"/>
  <c r="Q28" i="10"/>
  <c r="P46" i="29"/>
  <c r="O46" i="29"/>
  <c r="N46" i="29"/>
  <c r="Q46" i="29"/>
  <c r="M33" i="30"/>
  <c r="M32" i="29"/>
  <c r="F32" i="29" s="1"/>
  <c r="M27" i="29"/>
  <c r="N15" i="30"/>
  <c r="Q15" i="30"/>
  <c r="P15" i="30"/>
  <c r="O15" i="30"/>
  <c r="N14" i="29"/>
  <c r="O14" i="29"/>
  <c r="Q14" i="29"/>
  <c r="P14" i="29"/>
  <c r="M15" i="29"/>
  <c r="F15" i="29" s="1"/>
  <c r="M17" i="30"/>
  <c r="F17" i="30" s="1"/>
  <c r="H21" i="34" s="1"/>
  <c r="H22" i="34" s="1"/>
  <c r="O29" i="35" l="1"/>
  <c r="G29" i="35"/>
  <c r="P29" i="35"/>
  <c r="Q28" i="35"/>
  <c r="R28" i="35"/>
  <c r="P28" i="35"/>
  <c r="R29" i="35"/>
  <c r="O28" i="35"/>
  <c r="O30" i="52"/>
  <c r="Q30" i="52"/>
  <c r="N30" i="52"/>
  <c r="P30" i="52"/>
  <c r="AB48" i="35"/>
  <c r="P26" i="38"/>
  <c r="N26" i="38"/>
  <c r="H30" i="50"/>
  <c r="H29" i="50"/>
  <c r="H28" i="50"/>
  <c r="H31" i="50"/>
  <c r="O27" i="38"/>
  <c r="N27" i="38"/>
  <c r="Q27" i="38"/>
  <c r="P27" i="38"/>
  <c r="AA46" i="38"/>
  <c r="Q26" i="38"/>
  <c r="R29" i="49"/>
  <c r="Q29" i="49"/>
  <c r="O29" i="49"/>
  <c r="AB29" i="49"/>
  <c r="P29" i="49"/>
  <c r="P46" i="38"/>
  <c r="Q46" i="38"/>
  <c r="N46" i="38"/>
  <c r="O46" i="38"/>
  <c r="AA26" i="38"/>
  <c r="P48" i="35"/>
  <c r="X28" i="49"/>
  <c r="Y28" i="49" s="1"/>
  <c r="Z28" i="49" s="1"/>
  <c r="AB28" i="49" s="1"/>
  <c r="R48" i="35"/>
  <c r="N30" i="35"/>
  <c r="F30" i="35" s="1"/>
  <c r="G30" i="35" s="1"/>
  <c r="W30" i="35"/>
  <c r="X30" i="35" s="1"/>
  <c r="Y30" i="35" s="1"/>
  <c r="Z30" i="35" s="1"/>
  <c r="M28" i="38"/>
  <c r="F28" i="38" s="1"/>
  <c r="N28" i="38" s="1"/>
  <c r="V28" i="38"/>
  <c r="W28" i="38" s="1"/>
  <c r="X28" i="38" s="1"/>
  <c r="Y28" i="38" s="1"/>
  <c r="N30" i="49"/>
  <c r="F30" i="49" s="1"/>
  <c r="G30" i="49" s="1"/>
  <c r="W30" i="49"/>
  <c r="X30" i="49" s="1"/>
  <c r="Y30" i="49" s="1"/>
  <c r="Z30" i="49" s="1"/>
  <c r="O48" i="35"/>
  <c r="N31" i="35"/>
  <c r="F31" i="35" s="1"/>
  <c r="W31" i="35"/>
  <c r="X31" i="35" s="1"/>
  <c r="Y31" i="35" s="1"/>
  <c r="Z31" i="35" s="1"/>
  <c r="M29" i="38"/>
  <c r="F29" i="38" s="1"/>
  <c r="O29" i="38" s="1"/>
  <c r="V29" i="38"/>
  <c r="W29" i="38" s="1"/>
  <c r="X29" i="38" s="1"/>
  <c r="Y29" i="38" s="1"/>
  <c r="M32" i="49"/>
  <c r="X28" i="35"/>
  <c r="Y28" i="35" s="1"/>
  <c r="N31" i="49"/>
  <c r="F31" i="49" s="1"/>
  <c r="G31" i="49" s="1"/>
  <c r="W31" i="49"/>
  <c r="X31" i="49" s="1"/>
  <c r="Y31" i="49" s="1"/>
  <c r="Z31" i="49" s="1"/>
  <c r="Q48" i="35"/>
  <c r="Q28" i="49"/>
  <c r="P28" i="49"/>
  <c r="R28" i="49"/>
  <c r="O28" i="49"/>
  <c r="W27" i="38"/>
  <c r="X27" i="38" s="1"/>
  <c r="Y27" i="38" s="1"/>
  <c r="AA27" i="38" s="1"/>
  <c r="AB29" i="35"/>
  <c r="F30" i="34"/>
  <c r="F27" i="34"/>
  <c r="F29" i="34"/>
  <c r="F28" i="34"/>
  <c r="F31" i="34"/>
  <c r="N28" i="30"/>
  <c r="O28" i="30"/>
  <c r="Q28" i="30"/>
  <c r="P28" i="30"/>
  <c r="P29" i="40"/>
  <c r="N29" i="40"/>
  <c r="O29" i="40"/>
  <c r="Q29" i="40"/>
  <c r="O28" i="40"/>
  <c r="Q28" i="40"/>
  <c r="P28" i="40"/>
  <c r="N28" i="40"/>
  <c r="M30" i="12"/>
  <c r="L30" i="40"/>
  <c r="M30" i="40" s="1"/>
  <c r="F30" i="40" s="1"/>
  <c r="L30" i="38"/>
  <c r="L30" i="11"/>
  <c r="L30" i="29"/>
  <c r="M30" i="29" s="1"/>
  <c r="L30" i="30"/>
  <c r="M32" i="35"/>
  <c r="L30" i="18"/>
  <c r="H25" i="34"/>
  <c r="H26" i="34" s="1"/>
  <c r="N32" i="29"/>
  <c r="Q32" i="29"/>
  <c r="P32" i="29"/>
  <c r="O32" i="29"/>
  <c r="M34" i="30"/>
  <c r="M33" i="29"/>
  <c r="F33" i="29" s="1"/>
  <c r="M29" i="30"/>
  <c r="F29" i="30" s="1"/>
  <c r="M28" i="29"/>
  <c r="P17" i="30"/>
  <c r="Q17" i="30"/>
  <c r="O17" i="30"/>
  <c r="N17" i="30"/>
  <c r="O15" i="29"/>
  <c r="Q15" i="29"/>
  <c r="N15" i="29"/>
  <c r="P15" i="29"/>
  <c r="M17" i="29"/>
  <c r="F17" i="29" s="1"/>
  <c r="M19" i="30"/>
  <c r="F19" i="30" s="1"/>
  <c r="I41" i="10"/>
  <c r="J41" i="10" s="1"/>
  <c r="R31" i="35" l="1"/>
  <c r="G31" i="35"/>
  <c r="P31" i="35"/>
  <c r="O31" i="35"/>
  <c r="AB30" i="35"/>
  <c r="Q28" i="38"/>
  <c r="O28" i="38"/>
  <c r="Q29" i="38"/>
  <c r="N29" i="38"/>
  <c r="AB31" i="49"/>
  <c r="R31" i="49"/>
  <c r="Q31" i="49"/>
  <c r="O31" i="49"/>
  <c r="P31" i="49"/>
  <c r="AA28" i="38"/>
  <c r="AA29" i="38"/>
  <c r="P28" i="38"/>
  <c r="P29" i="38"/>
  <c r="Q31" i="35"/>
  <c r="O30" i="35"/>
  <c r="R30" i="35"/>
  <c r="N32" i="49"/>
  <c r="F32" i="49" s="1"/>
  <c r="G32" i="49" s="1"/>
  <c r="W32" i="49"/>
  <c r="X32" i="49" s="1"/>
  <c r="Y32" i="49" s="1"/>
  <c r="Z32" i="49" s="1"/>
  <c r="AB31" i="35"/>
  <c r="R30" i="49"/>
  <c r="Q30" i="49"/>
  <c r="P30" i="49"/>
  <c r="O30" i="49"/>
  <c r="Q30" i="35"/>
  <c r="N32" i="35"/>
  <c r="F32" i="35" s="1"/>
  <c r="W32" i="35"/>
  <c r="X32" i="35" s="1"/>
  <c r="Y32" i="35" s="1"/>
  <c r="Z32" i="35" s="1"/>
  <c r="M30" i="38"/>
  <c r="F30" i="38" s="1"/>
  <c r="Q30" i="38" s="1"/>
  <c r="V30" i="38"/>
  <c r="W30" i="38" s="1"/>
  <c r="X30" i="38" s="1"/>
  <c r="Y30" i="38" s="1"/>
  <c r="P30" i="35"/>
  <c r="AB30" i="49"/>
  <c r="O29" i="30"/>
  <c r="P29" i="30"/>
  <c r="N29" i="30"/>
  <c r="Q29" i="30"/>
  <c r="P30" i="40"/>
  <c r="O30" i="40"/>
  <c r="Q30" i="40"/>
  <c r="N30" i="40"/>
  <c r="H31" i="34"/>
  <c r="H30" i="34"/>
  <c r="H29" i="34"/>
  <c r="H28" i="34"/>
  <c r="H27" i="34"/>
  <c r="H39" i="34"/>
  <c r="H38" i="34"/>
  <c r="H36" i="34"/>
  <c r="M62" i="10"/>
  <c r="N33" i="29"/>
  <c r="O33" i="29"/>
  <c r="Q33" i="29"/>
  <c r="P33" i="29"/>
  <c r="M35" i="30"/>
  <c r="F35" i="30" s="1"/>
  <c r="M34" i="29"/>
  <c r="F34" i="29" s="1"/>
  <c r="M29" i="29"/>
  <c r="M30" i="30"/>
  <c r="F30" i="30" s="1"/>
  <c r="O17" i="29"/>
  <c r="N17" i="29"/>
  <c r="Q17" i="29"/>
  <c r="P17" i="29"/>
  <c r="P19" i="30"/>
  <c r="O19" i="30"/>
  <c r="N19" i="30"/>
  <c r="Q19" i="30"/>
  <c r="K46" i="16"/>
  <c r="K45" i="16"/>
  <c r="K44" i="16"/>
  <c r="J47" i="12"/>
  <c r="K47" i="12" s="1"/>
  <c r="J44" i="12"/>
  <c r="K44" i="12" s="1"/>
  <c r="J43" i="12"/>
  <c r="K43" i="12" s="1"/>
  <c r="J42" i="12"/>
  <c r="K42" i="12" s="1"/>
  <c r="J41" i="12"/>
  <c r="K41" i="12" s="1"/>
  <c r="R32" i="35" l="1"/>
  <c r="G32" i="35"/>
  <c r="AB32" i="49"/>
  <c r="AA30" i="38"/>
  <c r="O32" i="35"/>
  <c r="Q32" i="35"/>
  <c r="P32" i="35"/>
  <c r="N30" i="38"/>
  <c r="P30" i="38"/>
  <c r="AB32" i="35"/>
  <c r="R32" i="49"/>
  <c r="O32" i="49"/>
  <c r="Q32" i="49"/>
  <c r="P32" i="49"/>
  <c r="O30" i="38"/>
  <c r="O35" i="30"/>
  <c r="Q35" i="30"/>
  <c r="N35" i="30"/>
  <c r="P35" i="30"/>
  <c r="Q30" i="30"/>
  <c r="O30" i="30"/>
  <c r="N30" i="30"/>
  <c r="P30" i="30"/>
  <c r="P34" i="29"/>
  <c r="Q34" i="29"/>
  <c r="O34" i="29"/>
  <c r="N34" i="29"/>
  <c r="M35" i="29"/>
  <c r="F35" i="29" s="1"/>
  <c r="M36" i="30"/>
  <c r="P35" i="29" l="1"/>
  <c r="O35" i="29"/>
  <c r="N35" i="29"/>
  <c r="Q35" i="29"/>
  <c r="M36" i="29"/>
  <c r="F36" i="29" s="1"/>
  <c r="M37" i="30"/>
  <c r="M65" i="10" l="1"/>
  <c r="N36" i="29"/>
  <c r="Q36" i="29"/>
  <c r="P36" i="29"/>
  <c r="O36" i="29"/>
  <c r="M38" i="30"/>
  <c r="M37" i="29"/>
  <c r="F37" i="29" s="1"/>
  <c r="I31" i="11"/>
  <c r="J31" i="11" s="1"/>
  <c r="N37" i="29" l="1"/>
  <c r="O37" i="29"/>
  <c r="Q37" i="29"/>
  <c r="P37" i="29"/>
  <c r="M39" i="30"/>
  <c r="M38" i="29"/>
  <c r="F38" i="29" s="1"/>
  <c r="L9" i="16"/>
  <c r="L11" i="16"/>
  <c r="L13" i="16"/>
  <c r="L15" i="16"/>
  <c r="L17" i="16"/>
  <c r="L19" i="16"/>
  <c r="L20" i="16"/>
  <c r="L23" i="16"/>
  <c r="L25" i="16"/>
  <c r="L7" i="16"/>
  <c r="P38" i="29" l="1"/>
  <c r="Q38" i="29"/>
  <c r="O38" i="29"/>
  <c r="N38" i="29"/>
  <c r="M39" i="29"/>
  <c r="F39" i="29" s="1"/>
  <c r="M40" i="30"/>
  <c r="I33" i="10"/>
  <c r="J33" i="10" s="1"/>
  <c r="I34" i="10"/>
  <c r="J34" i="10" s="1"/>
  <c r="I35" i="10"/>
  <c r="J35" i="10" s="1"/>
  <c r="I36" i="10"/>
  <c r="J36" i="10" s="1"/>
  <c r="I37" i="10"/>
  <c r="J37" i="10" s="1"/>
  <c r="J38" i="10"/>
  <c r="I39" i="10"/>
  <c r="J39" i="10" s="1"/>
  <c r="J40" i="10"/>
  <c r="I47" i="10"/>
  <c r="J47" i="10" s="1"/>
  <c r="I48" i="10"/>
  <c r="J48" i="10" s="1"/>
  <c r="P39" i="29" l="1"/>
  <c r="O39" i="29"/>
  <c r="Q39" i="29"/>
  <c r="N39" i="29"/>
  <c r="M40" i="29"/>
  <c r="M41" i="30"/>
  <c r="F41" i="30" s="1"/>
  <c r="K35" i="16"/>
  <c r="K34" i="16"/>
  <c r="K33" i="16"/>
  <c r="P41" i="30" l="1"/>
  <c r="Q41" i="30"/>
  <c r="O41" i="30"/>
  <c r="N41" i="30"/>
  <c r="M42" i="30"/>
  <c r="M41" i="29"/>
  <c r="K29" i="18"/>
  <c r="K31" i="18"/>
  <c r="J40" i="12"/>
  <c r="K40" i="12" s="1"/>
  <c r="J39" i="12"/>
  <c r="K39" i="12" s="1"/>
  <c r="J38" i="12"/>
  <c r="K38" i="12" s="1"/>
  <c r="J37" i="12"/>
  <c r="K37" i="12" s="1"/>
  <c r="J36" i="12"/>
  <c r="K36" i="12" s="1"/>
  <c r="J34" i="12"/>
  <c r="K34" i="12" s="1"/>
  <c r="J33" i="12"/>
  <c r="K33" i="12" s="1"/>
  <c r="K32" i="12"/>
  <c r="J31" i="12"/>
  <c r="K31" i="12" s="1"/>
  <c r="K30" i="12"/>
  <c r="I58" i="11"/>
  <c r="J58" i="11" s="1"/>
  <c r="I56" i="11"/>
  <c r="J56" i="11" s="1"/>
  <c r="I55" i="11"/>
  <c r="J55" i="11" s="1"/>
  <c r="I54" i="11"/>
  <c r="J54" i="11" s="1"/>
  <c r="I53" i="11"/>
  <c r="J53" i="11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36" i="11"/>
  <c r="J36" i="11" s="1"/>
  <c r="I35" i="11"/>
  <c r="J35" i="11" s="1"/>
  <c r="I34" i="11"/>
  <c r="J34" i="11" s="1"/>
  <c r="I33" i="11"/>
  <c r="J33" i="11" s="1"/>
  <c r="I32" i="11"/>
  <c r="J32" i="11" s="1"/>
  <c r="J30" i="18" l="1"/>
  <c r="K30" i="18" s="1"/>
  <c r="M43" i="30"/>
  <c r="M42" i="29"/>
  <c r="F42" i="29" s="1"/>
  <c r="L14" i="12"/>
  <c r="C14" i="12"/>
  <c r="S14" i="12" s="1"/>
  <c r="K14" i="11"/>
  <c r="C14" i="11"/>
  <c r="R14" i="11" s="1"/>
  <c r="K14" i="10"/>
  <c r="C14" i="10"/>
  <c r="R14" i="10" s="1"/>
  <c r="O42" i="29" l="1"/>
  <c r="N42" i="29"/>
  <c r="P42" i="29"/>
  <c r="Q42" i="29"/>
  <c r="M44" i="30"/>
  <c r="M43" i="29"/>
  <c r="N14" i="12"/>
  <c r="F14" i="12" s="1"/>
  <c r="M14" i="11"/>
  <c r="F14" i="11" s="1"/>
  <c r="M14" i="10"/>
  <c r="F14" i="10" s="1"/>
  <c r="C5" i="20"/>
  <c r="D27" i="19"/>
  <c r="D26" i="19"/>
  <c r="H18" i="19"/>
  <c r="D54" i="19" s="1"/>
  <c r="H13" i="19"/>
  <c r="D52" i="19" s="1"/>
  <c r="H7" i="19"/>
  <c r="D53" i="19" s="1"/>
  <c r="H5" i="19"/>
  <c r="D35" i="19" s="1"/>
  <c r="Q65" i="18"/>
  <c r="Q64" i="18"/>
  <c r="C63" i="18"/>
  <c r="R63" i="18" s="1"/>
  <c r="F62" i="18"/>
  <c r="C62" i="18"/>
  <c r="R62" i="18" s="1"/>
  <c r="C61" i="18"/>
  <c r="R61" i="18" s="1"/>
  <c r="F60" i="18"/>
  <c r="Q60" i="18" s="1"/>
  <c r="C60" i="18"/>
  <c r="R60" i="18" s="1"/>
  <c r="C59" i="18"/>
  <c r="R59" i="18" s="1"/>
  <c r="F58" i="18"/>
  <c r="C58" i="18"/>
  <c r="R58" i="18" s="1"/>
  <c r="C57" i="18"/>
  <c r="R57" i="18" s="1"/>
  <c r="F56" i="18"/>
  <c r="Q56" i="18" s="1"/>
  <c r="C56" i="18"/>
  <c r="R56" i="18" s="1"/>
  <c r="C55" i="18"/>
  <c r="R55" i="18" s="1"/>
  <c r="C54" i="18"/>
  <c r="R54" i="18" s="1"/>
  <c r="C53" i="18"/>
  <c r="R53" i="18" s="1"/>
  <c r="M52" i="18"/>
  <c r="Q52" i="18"/>
  <c r="C52" i="18"/>
  <c r="R52" i="18" s="1"/>
  <c r="C51" i="18"/>
  <c r="R51" i="18" s="1"/>
  <c r="C50" i="18"/>
  <c r="R50" i="18" s="1"/>
  <c r="C49" i="18"/>
  <c r="R49" i="18" s="1"/>
  <c r="Q48" i="18"/>
  <c r="C48" i="18"/>
  <c r="R48" i="18" s="1"/>
  <c r="C47" i="18"/>
  <c r="R47" i="18" s="1"/>
  <c r="C46" i="18"/>
  <c r="R46" i="18" s="1"/>
  <c r="C45" i="18"/>
  <c r="R45" i="18" s="1"/>
  <c r="C44" i="18"/>
  <c r="R44" i="18" s="1"/>
  <c r="C43" i="18"/>
  <c r="R43" i="18" s="1"/>
  <c r="C42" i="18"/>
  <c r="R42" i="18" s="1"/>
  <c r="C41" i="18"/>
  <c r="R41" i="18" s="1"/>
  <c r="C40" i="18"/>
  <c r="R40" i="18" s="1"/>
  <c r="F39" i="18"/>
  <c r="C39" i="18"/>
  <c r="R39" i="18" s="1"/>
  <c r="C38" i="18"/>
  <c r="R38" i="18" s="1"/>
  <c r="F37" i="18"/>
  <c r="C37" i="18"/>
  <c r="R37" i="18" s="1"/>
  <c r="C36" i="18"/>
  <c r="R36" i="18" s="1"/>
  <c r="C35" i="18"/>
  <c r="R35" i="18" s="1"/>
  <c r="C34" i="18"/>
  <c r="R34" i="18" s="1"/>
  <c r="C33" i="18"/>
  <c r="R33" i="18" s="1"/>
  <c r="C32" i="18"/>
  <c r="R32" i="18" s="1"/>
  <c r="C31" i="18"/>
  <c r="R31" i="18" s="1"/>
  <c r="C30" i="18"/>
  <c r="R30" i="18" s="1"/>
  <c r="C29" i="18"/>
  <c r="R29" i="18" s="1"/>
  <c r="C28" i="18"/>
  <c r="R28" i="18" s="1"/>
  <c r="C27" i="18"/>
  <c r="R27" i="18" s="1"/>
  <c r="C25" i="18"/>
  <c r="R25" i="18" s="1"/>
  <c r="C23" i="18"/>
  <c r="R23" i="18" s="1"/>
  <c r="C22" i="18"/>
  <c r="R22" i="18" s="1"/>
  <c r="C20" i="18"/>
  <c r="R20" i="18" s="1"/>
  <c r="C19" i="18"/>
  <c r="R19" i="18" s="1"/>
  <c r="C17" i="18"/>
  <c r="R17" i="18" s="1"/>
  <c r="C15" i="18"/>
  <c r="R15" i="18" s="1"/>
  <c r="C13" i="18"/>
  <c r="R13" i="18" s="1"/>
  <c r="C11" i="18"/>
  <c r="R11" i="18" s="1"/>
  <c r="F9" i="18"/>
  <c r="O9" i="18" s="1"/>
  <c r="C9" i="18"/>
  <c r="R9" i="18" s="1"/>
  <c r="C7" i="18"/>
  <c r="R7" i="18" s="1"/>
  <c r="L63" i="16"/>
  <c r="C63" i="16"/>
  <c r="S63" i="16" s="1"/>
  <c r="L62" i="16"/>
  <c r="F62" i="16" s="1"/>
  <c r="O62" i="16" s="1"/>
  <c r="C62" i="16"/>
  <c r="S62" i="16" s="1"/>
  <c r="L61" i="16"/>
  <c r="C61" i="16"/>
  <c r="S61" i="16" s="1"/>
  <c r="L60" i="16"/>
  <c r="C60" i="16"/>
  <c r="S60" i="16" s="1"/>
  <c r="L59" i="16"/>
  <c r="F59" i="16" s="1"/>
  <c r="C59" i="16"/>
  <c r="S59" i="16" s="1"/>
  <c r="L58" i="16"/>
  <c r="C58" i="16"/>
  <c r="S58" i="16" s="1"/>
  <c r="L57" i="16"/>
  <c r="F57" i="16" s="1"/>
  <c r="P57" i="16" s="1"/>
  <c r="C57" i="16"/>
  <c r="S57" i="16" s="1"/>
  <c r="L56" i="16"/>
  <c r="C56" i="16"/>
  <c r="S56" i="16" s="1"/>
  <c r="L55" i="16"/>
  <c r="C55" i="16"/>
  <c r="S55" i="16" s="1"/>
  <c r="L54" i="16"/>
  <c r="C54" i="16"/>
  <c r="S54" i="16" s="1"/>
  <c r="L53" i="16"/>
  <c r="C53" i="16"/>
  <c r="S53" i="16" s="1"/>
  <c r="L52" i="16"/>
  <c r="C52" i="16"/>
  <c r="S52" i="16" s="1"/>
  <c r="L51" i="16"/>
  <c r="C51" i="16"/>
  <c r="S51" i="16" s="1"/>
  <c r="L50" i="16"/>
  <c r="C50" i="16"/>
  <c r="S50" i="16" s="1"/>
  <c r="L49" i="16"/>
  <c r="C49" i="16"/>
  <c r="S49" i="16" s="1"/>
  <c r="L48" i="16"/>
  <c r="C48" i="16"/>
  <c r="S48" i="16" s="1"/>
  <c r="M48" i="16"/>
  <c r="L47" i="16"/>
  <c r="C47" i="16"/>
  <c r="S47" i="16" s="1"/>
  <c r="L46" i="16"/>
  <c r="C46" i="16"/>
  <c r="S46" i="16" s="1"/>
  <c r="M45" i="16"/>
  <c r="L45" i="16"/>
  <c r="C45" i="16"/>
  <c r="S45" i="16" s="1"/>
  <c r="M44" i="16"/>
  <c r="L44" i="16"/>
  <c r="C44" i="16"/>
  <c r="S44" i="16" s="1"/>
  <c r="M43" i="16"/>
  <c r="L43" i="16"/>
  <c r="C43" i="16"/>
  <c r="S43" i="16" s="1"/>
  <c r="M42" i="16"/>
  <c r="L42" i="16"/>
  <c r="C42" i="16"/>
  <c r="S42" i="16" s="1"/>
  <c r="M41" i="16"/>
  <c r="L41" i="16"/>
  <c r="C41" i="16"/>
  <c r="S41" i="16" s="1"/>
  <c r="M40" i="16"/>
  <c r="L40" i="16"/>
  <c r="C40" i="16"/>
  <c r="S40" i="16" s="1"/>
  <c r="M39" i="16"/>
  <c r="L39" i="16"/>
  <c r="C39" i="16"/>
  <c r="S39" i="16" s="1"/>
  <c r="M38" i="16"/>
  <c r="L38" i="16"/>
  <c r="C38" i="16"/>
  <c r="S38" i="16" s="1"/>
  <c r="M37" i="16"/>
  <c r="L37" i="16"/>
  <c r="C37" i="16"/>
  <c r="S37" i="16" s="1"/>
  <c r="M36" i="16"/>
  <c r="L36" i="16"/>
  <c r="C36" i="16"/>
  <c r="S36" i="16" s="1"/>
  <c r="M35" i="16"/>
  <c r="L35" i="16"/>
  <c r="C35" i="16"/>
  <c r="S35" i="16" s="1"/>
  <c r="M34" i="16"/>
  <c r="L34" i="16"/>
  <c r="C34" i="16"/>
  <c r="S34" i="16" s="1"/>
  <c r="M33" i="16"/>
  <c r="L33" i="16"/>
  <c r="C33" i="16"/>
  <c r="S33" i="16" s="1"/>
  <c r="M32" i="16"/>
  <c r="L32" i="16"/>
  <c r="C32" i="16"/>
  <c r="S32" i="16" s="1"/>
  <c r="M31" i="16"/>
  <c r="L31" i="16"/>
  <c r="C31" i="16"/>
  <c r="S31" i="16" s="1"/>
  <c r="M30" i="16"/>
  <c r="L30" i="16"/>
  <c r="C30" i="16"/>
  <c r="S30" i="16" s="1"/>
  <c r="M29" i="16"/>
  <c r="L29" i="16"/>
  <c r="C29" i="16"/>
  <c r="S29" i="16" s="1"/>
  <c r="M28" i="16"/>
  <c r="L28" i="16"/>
  <c r="C28" i="16"/>
  <c r="S28" i="16" s="1"/>
  <c r="M27" i="16"/>
  <c r="L27" i="16"/>
  <c r="C27" i="16"/>
  <c r="S27" i="16" s="1"/>
  <c r="M25" i="16"/>
  <c r="C25" i="16"/>
  <c r="S25" i="16" s="1"/>
  <c r="M23" i="16"/>
  <c r="N23" i="16" s="1"/>
  <c r="F23" i="16" s="1"/>
  <c r="C23" i="16"/>
  <c r="S23" i="16" s="1"/>
  <c r="M20" i="16"/>
  <c r="N20" i="16" s="1"/>
  <c r="C20" i="16"/>
  <c r="S20" i="16" s="1"/>
  <c r="M19" i="16"/>
  <c r="C19" i="16"/>
  <c r="S19" i="16" s="1"/>
  <c r="M17" i="16"/>
  <c r="N17" i="16" s="1"/>
  <c r="C17" i="16"/>
  <c r="S17" i="16" s="1"/>
  <c r="M15" i="16"/>
  <c r="C15" i="16"/>
  <c r="S15" i="16" s="1"/>
  <c r="M13" i="16"/>
  <c r="N13" i="16" s="1"/>
  <c r="S13" i="16"/>
  <c r="M11" i="16"/>
  <c r="S11" i="16"/>
  <c r="M9" i="16"/>
  <c r="N9" i="16" s="1"/>
  <c r="S9" i="16"/>
  <c r="M7" i="16"/>
  <c r="C7" i="16"/>
  <c r="S7" i="16" s="1"/>
  <c r="R66" i="12"/>
  <c r="L63" i="12"/>
  <c r="C63" i="12"/>
  <c r="S63" i="12" s="1"/>
  <c r="L62" i="12"/>
  <c r="C62" i="12"/>
  <c r="S62" i="12" s="1"/>
  <c r="L61" i="12"/>
  <c r="C61" i="12"/>
  <c r="S61" i="12" s="1"/>
  <c r="L60" i="12"/>
  <c r="C60" i="12"/>
  <c r="S60" i="12" s="1"/>
  <c r="L59" i="12"/>
  <c r="C59" i="12"/>
  <c r="S59" i="12" s="1"/>
  <c r="L58" i="12"/>
  <c r="C58" i="12"/>
  <c r="S58" i="12" s="1"/>
  <c r="L57" i="12"/>
  <c r="C57" i="12"/>
  <c r="S57" i="12" s="1"/>
  <c r="L56" i="12"/>
  <c r="C56" i="12"/>
  <c r="S56" i="12" s="1"/>
  <c r="L55" i="12"/>
  <c r="C55" i="12"/>
  <c r="S55" i="12" s="1"/>
  <c r="L54" i="12"/>
  <c r="C54" i="12"/>
  <c r="S54" i="12" s="1"/>
  <c r="L53" i="12"/>
  <c r="C53" i="12"/>
  <c r="S53" i="12" s="1"/>
  <c r="L52" i="12"/>
  <c r="C52" i="12"/>
  <c r="S52" i="12" s="1"/>
  <c r="L51" i="12"/>
  <c r="C51" i="12"/>
  <c r="S51" i="12" s="1"/>
  <c r="L50" i="12"/>
  <c r="C50" i="12"/>
  <c r="S50" i="12" s="1"/>
  <c r="L49" i="12"/>
  <c r="C49" i="12"/>
  <c r="S49" i="12" s="1"/>
  <c r="L48" i="12"/>
  <c r="C48" i="12"/>
  <c r="S48" i="12" s="1"/>
  <c r="M48" i="12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L47" i="12"/>
  <c r="C47" i="12"/>
  <c r="S47" i="12" s="1"/>
  <c r="L46" i="12"/>
  <c r="C46" i="12"/>
  <c r="S46" i="12" s="1"/>
  <c r="L45" i="12"/>
  <c r="C45" i="12"/>
  <c r="S45" i="12" s="1"/>
  <c r="L44" i="12"/>
  <c r="C44" i="12"/>
  <c r="S44" i="12" s="1"/>
  <c r="L43" i="12"/>
  <c r="C43" i="12"/>
  <c r="S43" i="12" s="1"/>
  <c r="L42" i="12"/>
  <c r="C42" i="12"/>
  <c r="S42" i="12" s="1"/>
  <c r="L41" i="12"/>
  <c r="C41" i="12"/>
  <c r="S41" i="12" s="1"/>
  <c r="L40" i="12"/>
  <c r="C40" i="12"/>
  <c r="S40" i="12" s="1"/>
  <c r="L39" i="12"/>
  <c r="C39" i="12"/>
  <c r="S39" i="12" s="1"/>
  <c r="L38" i="12"/>
  <c r="C38" i="12"/>
  <c r="S38" i="12" s="1"/>
  <c r="L37" i="12"/>
  <c r="C37" i="12"/>
  <c r="S37" i="12" s="1"/>
  <c r="L36" i="12"/>
  <c r="C36" i="12"/>
  <c r="S36" i="12" s="1"/>
  <c r="L35" i="12"/>
  <c r="C35" i="12"/>
  <c r="S35" i="12" s="1"/>
  <c r="L34" i="12"/>
  <c r="C34" i="12"/>
  <c r="S34" i="12" s="1"/>
  <c r="L33" i="12"/>
  <c r="C33" i="12"/>
  <c r="S33" i="12" s="1"/>
  <c r="L32" i="12"/>
  <c r="C32" i="12"/>
  <c r="S32" i="12" s="1"/>
  <c r="L31" i="12"/>
  <c r="C31" i="12"/>
  <c r="S31" i="12" s="1"/>
  <c r="L30" i="12"/>
  <c r="C30" i="12"/>
  <c r="S30" i="12" s="1"/>
  <c r="L29" i="12"/>
  <c r="C29" i="12"/>
  <c r="S29" i="12" s="1"/>
  <c r="L28" i="12"/>
  <c r="C28" i="12"/>
  <c r="S28" i="12" s="1"/>
  <c r="L27" i="12"/>
  <c r="C27" i="12"/>
  <c r="S27" i="12" s="1"/>
  <c r="L25" i="12"/>
  <c r="C25" i="12"/>
  <c r="S25" i="12" s="1"/>
  <c r="L23" i="12"/>
  <c r="C23" i="12"/>
  <c r="S23" i="12" s="1"/>
  <c r="L22" i="12"/>
  <c r="C22" i="12"/>
  <c r="S22" i="12" s="1"/>
  <c r="L20" i="12"/>
  <c r="C20" i="12"/>
  <c r="S20" i="12" s="1"/>
  <c r="L19" i="12"/>
  <c r="C19" i="12"/>
  <c r="S19" i="12" s="1"/>
  <c r="L17" i="12"/>
  <c r="C17" i="12"/>
  <c r="S17" i="12" s="1"/>
  <c r="L15" i="12"/>
  <c r="C15" i="12"/>
  <c r="S15" i="12" s="1"/>
  <c r="L13" i="12"/>
  <c r="C13" i="12"/>
  <c r="S13" i="12" s="1"/>
  <c r="L11" i="12"/>
  <c r="C11" i="12"/>
  <c r="S11" i="12" s="1"/>
  <c r="L9" i="12"/>
  <c r="C9" i="12"/>
  <c r="S9" i="12" s="1"/>
  <c r="L7" i="12"/>
  <c r="C7" i="12"/>
  <c r="S7" i="12" s="1"/>
  <c r="Q69" i="11"/>
  <c r="P69" i="11"/>
  <c r="O69" i="11"/>
  <c r="N69" i="11"/>
  <c r="K69" i="11"/>
  <c r="Q68" i="11"/>
  <c r="P68" i="11"/>
  <c r="O68" i="11"/>
  <c r="N68" i="11"/>
  <c r="K68" i="11"/>
  <c r="Q67" i="11"/>
  <c r="P67" i="11"/>
  <c r="O67" i="11"/>
  <c r="N67" i="11"/>
  <c r="K67" i="11"/>
  <c r="Q66" i="11"/>
  <c r="P66" i="11"/>
  <c r="O66" i="11"/>
  <c r="N66" i="11"/>
  <c r="K66" i="11"/>
  <c r="Q65" i="11"/>
  <c r="P65" i="11"/>
  <c r="O65" i="11"/>
  <c r="N65" i="11"/>
  <c r="K65" i="11"/>
  <c r="Q64" i="11"/>
  <c r="P64" i="11"/>
  <c r="O64" i="11"/>
  <c r="N64" i="11"/>
  <c r="K64" i="11"/>
  <c r="K63" i="11"/>
  <c r="C63" i="11"/>
  <c r="R63" i="11" s="1"/>
  <c r="K62" i="11"/>
  <c r="C62" i="11"/>
  <c r="R62" i="11" s="1"/>
  <c r="K61" i="11"/>
  <c r="F61" i="11" s="1"/>
  <c r="Q61" i="11" s="1"/>
  <c r="C61" i="11"/>
  <c r="R61" i="11" s="1"/>
  <c r="K60" i="11"/>
  <c r="F60" i="11" s="1"/>
  <c r="O60" i="11" s="1"/>
  <c r="C60" i="11"/>
  <c r="R60" i="11" s="1"/>
  <c r="K59" i="11"/>
  <c r="C59" i="11"/>
  <c r="R59" i="11" s="1"/>
  <c r="K58" i="11"/>
  <c r="C58" i="11"/>
  <c r="R58" i="11" s="1"/>
  <c r="K57" i="11"/>
  <c r="C57" i="11"/>
  <c r="R57" i="11" s="1"/>
  <c r="K56" i="11"/>
  <c r="C56" i="11"/>
  <c r="R56" i="11" s="1"/>
  <c r="K55" i="11"/>
  <c r="C55" i="11"/>
  <c r="R55" i="11" s="1"/>
  <c r="K54" i="11"/>
  <c r="C54" i="11"/>
  <c r="R54" i="11" s="1"/>
  <c r="K53" i="11"/>
  <c r="C53" i="11"/>
  <c r="R53" i="11" s="1"/>
  <c r="K52" i="11"/>
  <c r="C52" i="11"/>
  <c r="R52" i="11" s="1"/>
  <c r="K51" i="11"/>
  <c r="C51" i="11"/>
  <c r="R51" i="11" s="1"/>
  <c r="K50" i="11"/>
  <c r="C50" i="11"/>
  <c r="R50" i="11" s="1"/>
  <c r="K49" i="11"/>
  <c r="C49" i="11"/>
  <c r="R49" i="11" s="1"/>
  <c r="K48" i="11"/>
  <c r="C48" i="11"/>
  <c r="R48" i="11" s="1"/>
  <c r="L48" i="1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K47" i="11"/>
  <c r="C47" i="11"/>
  <c r="R47" i="11" s="1"/>
  <c r="K46" i="11"/>
  <c r="C46" i="11"/>
  <c r="R46" i="11" s="1"/>
  <c r="K45" i="11"/>
  <c r="C45" i="11"/>
  <c r="R45" i="11" s="1"/>
  <c r="K44" i="11"/>
  <c r="C44" i="11"/>
  <c r="R44" i="11" s="1"/>
  <c r="K43" i="11"/>
  <c r="C43" i="11"/>
  <c r="R43" i="11" s="1"/>
  <c r="K42" i="11"/>
  <c r="C42" i="11"/>
  <c r="R42" i="11" s="1"/>
  <c r="K41" i="11"/>
  <c r="C41" i="11"/>
  <c r="R41" i="11" s="1"/>
  <c r="K40" i="11"/>
  <c r="C40" i="11"/>
  <c r="R40" i="11" s="1"/>
  <c r="K39" i="11"/>
  <c r="C39" i="11"/>
  <c r="R39" i="11" s="1"/>
  <c r="K38" i="11"/>
  <c r="C38" i="11"/>
  <c r="R38" i="11" s="1"/>
  <c r="K37" i="11"/>
  <c r="C37" i="11"/>
  <c r="R37" i="11" s="1"/>
  <c r="K36" i="11"/>
  <c r="C36" i="11"/>
  <c r="R36" i="11" s="1"/>
  <c r="K35" i="11"/>
  <c r="C35" i="11"/>
  <c r="R35" i="11" s="1"/>
  <c r="K34" i="11"/>
  <c r="C34" i="11"/>
  <c r="R34" i="11" s="1"/>
  <c r="K33" i="11"/>
  <c r="C33" i="11"/>
  <c r="R33" i="11" s="1"/>
  <c r="K32" i="11"/>
  <c r="C32" i="11"/>
  <c r="R32" i="11" s="1"/>
  <c r="K31" i="11"/>
  <c r="C31" i="11"/>
  <c r="R31" i="11" s="1"/>
  <c r="K30" i="11"/>
  <c r="C30" i="11"/>
  <c r="R30" i="11" s="1"/>
  <c r="K29" i="11"/>
  <c r="C29" i="11"/>
  <c r="R29" i="11" s="1"/>
  <c r="K28" i="11"/>
  <c r="C28" i="11"/>
  <c r="R28" i="11" s="1"/>
  <c r="K27" i="11"/>
  <c r="C27" i="11"/>
  <c r="R27" i="11" s="1"/>
  <c r="K25" i="11"/>
  <c r="C25" i="11"/>
  <c r="R25" i="11" s="1"/>
  <c r="K23" i="11"/>
  <c r="C23" i="11"/>
  <c r="R23" i="11" s="1"/>
  <c r="K22" i="11"/>
  <c r="C22" i="11"/>
  <c r="R22" i="11" s="1"/>
  <c r="K20" i="11"/>
  <c r="C20" i="11"/>
  <c r="R20" i="11" s="1"/>
  <c r="K19" i="11"/>
  <c r="C19" i="11"/>
  <c r="R19" i="11" s="1"/>
  <c r="K17" i="11"/>
  <c r="C17" i="11"/>
  <c r="R17" i="11" s="1"/>
  <c r="R15" i="11"/>
  <c r="K15" i="11"/>
  <c r="K13" i="11"/>
  <c r="C13" i="11"/>
  <c r="R13" i="11" s="1"/>
  <c r="K11" i="11"/>
  <c r="C11" i="11"/>
  <c r="R11" i="11" s="1"/>
  <c r="K9" i="11"/>
  <c r="C9" i="11"/>
  <c r="R9" i="11" s="1"/>
  <c r="K7" i="11"/>
  <c r="C7" i="11"/>
  <c r="R7" i="11" s="1"/>
  <c r="Q71" i="10"/>
  <c r="P71" i="10"/>
  <c r="O71" i="10"/>
  <c r="Q70" i="10"/>
  <c r="P70" i="10"/>
  <c r="O70" i="10"/>
  <c r="F65" i="10"/>
  <c r="C65" i="10"/>
  <c r="R65" i="10" s="1"/>
  <c r="C64" i="10"/>
  <c r="R64" i="10" s="1"/>
  <c r="F63" i="10"/>
  <c r="C63" i="10"/>
  <c r="R63" i="10" s="1"/>
  <c r="F62" i="10"/>
  <c r="C62" i="10"/>
  <c r="R62" i="10" s="1"/>
  <c r="F61" i="10"/>
  <c r="P61" i="10" s="1"/>
  <c r="C61" i="10"/>
  <c r="R61" i="10" s="1"/>
  <c r="C60" i="10"/>
  <c r="R60" i="10" s="1"/>
  <c r="F59" i="10"/>
  <c r="C59" i="10"/>
  <c r="R59" i="10" s="1"/>
  <c r="F58" i="10"/>
  <c r="C58" i="10"/>
  <c r="R58" i="10" s="1"/>
  <c r="F57" i="10"/>
  <c r="C57" i="10"/>
  <c r="R57" i="10" s="1"/>
  <c r="C56" i="10"/>
  <c r="R56" i="10" s="1"/>
  <c r="F55" i="10"/>
  <c r="C55" i="10"/>
  <c r="R55" i="10" s="1"/>
  <c r="F54" i="10"/>
  <c r="C54" i="10"/>
  <c r="R54" i="10" s="1"/>
  <c r="F53" i="10"/>
  <c r="C53" i="10"/>
  <c r="R53" i="10" s="1"/>
  <c r="F52" i="10"/>
  <c r="C52" i="10"/>
  <c r="R52" i="10" s="1"/>
  <c r="F51" i="10"/>
  <c r="C51" i="10"/>
  <c r="R51" i="10" s="1"/>
  <c r="C50" i="10"/>
  <c r="R50" i="10" s="1"/>
  <c r="C49" i="10"/>
  <c r="R49" i="10" s="1"/>
  <c r="K48" i="10"/>
  <c r="C48" i="10"/>
  <c r="R48" i="10" s="1"/>
  <c r="K47" i="10"/>
  <c r="C47" i="10"/>
  <c r="R47" i="10" s="1"/>
  <c r="K46" i="10"/>
  <c r="C46" i="10"/>
  <c r="R46" i="10" s="1"/>
  <c r="K45" i="10"/>
  <c r="C45" i="10"/>
  <c r="R45" i="10" s="1"/>
  <c r="K44" i="10"/>
  <c r="C44" i="10"/>
  <c r="R44" i="10" s="1"/>
  <c r="K43" i="10"/>
  <c r="C43" i="10"/>
  <c r="R43" i="10" s="1"/>
  <c r="K42" i="10"/>
  <c r="C42" i="10"/>
  <c r="R42" i="10" s="1"/>
  <c r="K41" i="10"/>
  <c r="C41" i="10"/>
  <c r="R41" i="10" s="1"/>
  <c r="K40" i="10"/>
  <c r="C40" i="10"/>
  <c r="R40" i="10" s="1"/>
  <c r="K39" i="10"/>
  <c r="C39" i="10"/>
  <c r="R39" i="10" s="1"/>
  <c r="K38" i="10"/>
  <c r="C38" i="10"/>
  <c r="R38" i="10" s="1"/>
  <c r="K37" i="10"/>
  <c r="C37" i="10"/>
  <c r="R37" i="10" s="1"/>
  <c r="K36" i="10"/>
  <c r="C36" i="10"/>
  <c r="R36" i="10" s="1"/>
  <c r="K35" i="10"/>
  <c r="C35" i="10"/>
  <c r="R35" i="10" s="1"/>
  <c r="K34" i="10"/>
  <c r="C34" i="10"/>
  <c r="R34" i="10" s="1"/>
  <c r="K33" i="10"/>
  <c r="C33" i="10"/>
  <c r="R33" i="10" s="1"/>
  <c r="K32" i="10"/>
  <c r="C32" i="10"/>
  <c r="R32" i="10" s="1"/>
  <c r="K31" i="10"/>
  <c r="C31" i="10"/>
  <c r="R31" i="10" s="1"/>
  <c r="K30" i="10"/>
  <c r="C30" i="10"/>
  <c r="R30" i="10" s="1"/>
  <c r="K29" i="10"/>
  <c r="C29" i="10"/>
  <c r="R29" i="10" s="1"/>
  <c r="K27" i="10"/>
  <c r="C27" i="10"/>
  <c r="R27" i="10" s="1"/>
  <c r="K25" i="10"/>
  <c r="C25" i="10"/>
  <c r="R25" i="10" s="1"/>
  <c r="K23" i="10"/>
  <c r="C23" i="10"/>
  <c r="R23" i="10" s="1"/>
  <c r="K21" i="10"/>
  <c r="C21" i="10"/>
  <c r="R21" i="10" s="1"/>
  <c r="K19" i="10"/>
  <c r="C19" i="10"/>
  <c r="R19" i="10" s="1"/>
  <c r="K17" i="10"/>
  <c r="C17" i="10"/>
  <c r="R17" i="10" s="1"/>
  <c r="K15" i="10"/>
  <c r="C15" i="10"/>
  <c r="R15" i="10" s="1"/>
  <c r="K13" i="10"/>
  <c r="C13" i="10"/>
  <c r="R13" i="10" s="1"/>
  <c r="K11" i="10"/>
  <c r="C11" i="10"/>
  <c r="R11" i="10" s="1"/>
  <c r="K9" i="10"/>
  <c r="C9" i="10"/>
  <c r="R9" i="10" s="1"/>
  <c r="K7" i="10"/>
  <c r="C7" i="10"/>
  <c r="R7" i="10" s="1"/>
  <c r="D45" i="9"/>
  <c r="H44" i="9"/>
  <c r="D44" i="9"/>
  <c r="D42" i="9"/>
  <c r="C33" i="9"/>
  <c r="N31" i="9"/>
  <c r="N30" i="9"/>
  <c r="N29" i="9"/>
  <c r="N28" i="9"/>
  <c r="N27" i="9"/>
  <c r="L16" i="9"/>
  <c r="J16" i="9"/>
  <c r="H16" i="9"/>
  <c r="F16" i="9"/>
  <c r="L13" i="9"/>
  <c r="L10" i="9" s="1"/>
  <c r="J13" i="9"/>
  <c r="H13" i="9"/>
  <c r="H10" i="9" s="1"/>
  <c r="F13" i="9"/>
  <c r="F12" i="9"/>
  <c r="H12" i="9" s="1"/>
  <c r="J12" i="9" s="1"/>
  <c r="L12" i="9" s="1"/>
  <c r="C2" i="9"/>
  <c r="D45" i="7"/>
  <c r="D44" i="7"/>
  <c r="D42" i="7"/>
  <c r="C33" i="7"/>
  <c r="N31" i="7"/>
  <c r="N30" i="7"/>
  <c r="N29" i="7"/>
  <c r="N28" i="7"/>
  <c r="N27" i="7"/>
  <c r="L21" i="7"/>
  <c r="L22" i="7" s="1"/>
  <c r="J21" i="7"/>
  <c r="J22" i="7" s="1"/>
  <c r="H21" i="7"/>
  <c r="H22" i="7" s="1"/>
  <c r="F21" i="7"/>
  <c r="F22" i="7" s="1"/>
  <c r="L16" i="7"/>
  <c r="J16" i="7"/>
  <c r="H16" i="7"/>
  <c r="F16" i="7"/>
  <c r="L14" i="7"/>
  <c r="J14" i="7"/>
  <c r="H14" i="7"/>
  <c r="F14" i="7"/>
  <c r="L13" i="7"/>
  <c r="L10" i="7" s="1"/>
  <c r="M9" i="7" s="1"/>
  <c r="J13" i="7"/>
  <c r="H13" i="7"/>
  <c r="H10" i="7" s="1"/>
  <c r="I9" i="7" s="1"/>
  <c r="F13" i="7"/>
  <c r="F12" i="7"/>
  <c r="H12" i="7" s="1"/>
  <c r="J12" i="7" s="1"/>
  <c r="L12" i="7" s="1"/>
  <c r="C2" i="7"/>
  <c r="D45" i="6"/>
  <c r="H44" i="6"/>
  <c r="D44" i="6"/>
  <c r="D42" i="6"/>
  <c r="C33" i="6"/>
  <c r="N31" i="6"/>
  <c r="N30" i="6"/>
  <c r="N29" i="6"/>
  <c r="N28" i="6"/>
  <c r="N27" i="6"/>
  <c r="L21" i="6"/>
  <c r="L22" i="6" s="1"/>
  <c r="L16" i="6"/>
  <c r="J16" i="6"/>
  <c r="H16" i="6"/>
  <c r="F16" i="6"/>
  <c r="L13" i="6"/>
  <c r="J13" i="6"/>
  <c r="H13" i="6"/>
  <c r="F13" i="6"/>
  <c r="F12" i="6"/>
  <c r="H12" i="6" s="1"/>
  <c r="J12" i="6" s="1"/>
  <c r="J10" i="6"/>
  <c r="K9" i="6" s="1"/>
  <c r="C2" i="6"/>
  <c r="D45" i="5"/>
  <c r="H44" i="5"/>
  <c r="D44" i="5"/>
  <c r="D42" i="5"/>
  <c r="C33" i="5"/>
  <c r="N31" i="5"/>
  <c r="N30" i="5"/>
  <c r="N29" i="5"/>
  <c r="N28" i="5"/>
  <c r="N27" i="5"/>
  <c r="L16" i="5"/>
  <c r="J16" i="5"/>
  <c r="H16" i="5"/>
  <c r="F16" i="5"/>
  <c r="L14" i="5"/>
  <c r="J14" i="5"/>
  <c r="H14" i="5"/>
  <c r="F14" i="5"/>
  <c r="L13" i="5"/>
  <c r="J13" i="5"/>
  <c r="J10" i="5" s="1"/>
  <c r="H13" i="5"/>
  <c r="F13" i="5"/>
  <c r="F10" i="5" s="1"/>
  <c r="F12" i="5"/>
  <c r="H12" i="5" s="1"/>
  <c r="J12" i="5" s="1"/>
  <c r="L12" i="5" s="1"/>
  <c r="C2" i="5"/>
  <c r="J25" i="2"/>
  <c r="L16" i="2"/>
  <c r="J16" i="2"/>
  <c r="H16" i="2"/>
  <c r="F16" i="2"/>
  <c r="L14" i="2"/>
  <c r="J14" i="2"/>
  <c r="H14" i="2"/>
  <c r="F14" i="2"/>
  <c r="L13" i="2"/>
  <c r="L17" i="2" s="1"/>
  <c r="L37" i="2" s="1"/>
  <c r="L38" i="2" s="1"/>
  <c r="J13" i="2"/>
  <c r="J17" i="2" s="1"/>
  <c r="J37" i="2" s="1"/>
  <c r="J38" i="2" s="1"/>
  <c r="H13" i="2"/>
  <c r="H17" i="2" s="1"/>
  <c r="H37" i="2" s="1"/>
  <c r="H38" i="2" s="1"/>
  <c r="F13" i="2"/>
  <c r="F17" i="2" s="1"/>
  <c r="F37" i="2" s="1"/>
  <c r="F12" i="2"/>
  <c r="H12" i="2" s="1"/>
  <c r="J12" i="2" s="1"/>
  <c r="L12" i="2" s="1"/>
  <c r="D23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G14" i="12" l="1"/>
  <c r="G21" i="16"/>
  <c r="G22" i="16"/>
  <c r="G23" i="16"/>
  <c r="G8" i="16"/>
  <c r="G10" i="16"/>
  <c r="G12" i="16"/>
  <c r="G14" i="16"/>
  <c r="F22" i="9"/>
  <c r="F39" i="9" s="1"/>
  <c r="L22" i="9"/>
  <c r="L39" i="9" s="1"/>
  <c r="H22" i="9"/>
  <c r="H39" i="9" s="1"/>
  <c r="J22" i="9"/>
  <c r="F17" i="6"/>
  <c r="F37" i="6" s="1"/>
  <c r="L17" i="5"/>
  <c r="L37" i="5" s="1"/>
  <c r="F10" i="6"/>
  <c r="G9" i="6" s="1"/>
  <c r="D43" i="2"/>
  <c r="M49" i="16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N64" i="16" s="1"/>
  <c r="F64" i="16" s="1"/>
  <c r="L10" i="2"/>
  <c r="L36" i="2" s="1"/>
  <c r="F41" i="16"/>
  <c r="P41" i="16" s="1"/>
  <c r="F9" i="10"/>
  <c r="N9" i="10" s="1"/>
  <c r="M46" i="10"/>
  <c r="F46" i="10" s="1"/>
  <c r="O46" i="10" s="1"/>
  <c r="M42" i="10"/>
  <c r="F42" i="10" s="1"/>
  <c r="O42" i="10" s="1"/>
  <c r="M32" i="10"/>
  <c r="F32" i="10" s="1"/>
  <c r="P32" i="10" s="1"/>
  <c r="M31" i="10"/>
  <c r="F31" i="10" s="1"/>
  <c r="P31" i="10" s="1"/>
  <c r="M29" i="10"/>
  <c r="M35" i="10"/>
  <c r="F35" i="10" s="1"/>
  <c r="O35" i="10" s="1"/>
  <c r="M33" i="10"/>
  <c r="F33" i="10" s="1"/>
  <c r="N33" i="10" s="1"/>
  <c r="H25" i="7"/>
  <c r="H26" i="7" s="1"/>
  <c r="H28" i="7" s="1"/>
  <c r="H10" i="2"/>
  <c r="H36" i="2" s="1"/>
  <c r="F29" i="12"/>
  <c r="F28" i="12"/>
  <c r="M9" i="2"/>
  <c r="H36" i="7"/>
  <c r="H39" i="7"/>
  <c r="K9" i="5"/>
  <c r="G9" i="5"/>
  <c r="I9" i="9"/>
  <c r="M9" i="9"/>
  <c r="L25" i="7"/>
  <c r="L26" i="7" s="1"/>
  <c r="J25" i="7"/>
  <c r="J26" i="7" s="1"/>
  <c r="F25" i="7"/>
  <c r="F26" i="7" s="1"/>
  <c r="L25" i="6"/>
  <c r="L26" i="6" s="1"/>
  <c r="H17" i="5"/>
  <c r="F17" i="5"/>
  <c r="F37" i="5" s="1"/>
  <c r="H17" i="6"/>
  <c r="H37" i="6" s="1"/>
  <c r="J17" i="5"/>
  <c r="F63" i="11"/>
  <c r="P63" i="11" s="1"/>
  <c r="M11" i="10"/>
  <c r="F11" i="10" s="1"/>
  <c r="M15" i="10"/>
  <c r="F15" i="10" s="1"/>
  <c r="Q15" i="10" s="1"/>
  <c r="M19" i="10"/>
  <c r="F19" i="10" s="1"/>
  <c r="O19" i="10" s="1"/>
  <c r="M9" i="10"/>
  <c r="M13" i="10"/>
  <c r="F13" i="10" s="1"/>
  <c r="M17" i="10"/>
  <c r="F17" i="10" s="1"/>
  <c r="O17" i="10" s="1"/>
  <c r="M25" i="10"/>
  <c r="F25" i="10" s="1"/>
  <c r="N25" i="10" s="1"/>
  <c r="M7" i="10"/>
  <c r="M44" i="29"/>
  <c r="M45" i="30"/>
  <c r="N33" i="16"/>
  <c r="F33" i="16" s="1"/>
  <c r="N56" i="16"/>
  <c r="M60" i="11"/>
  <c r="M65" i="12"/>
  <c r="N65" i="12" s="1"/>
  <c r="F65" i="12" s="1"/>
  <c r="N64" i="12"/>
  <c r="F64" i="12" s="1"/>
  <c r="Q65" i="10"/>
  <c r="P65" i="10"/>
  <c r="O65" i="10"/>
  <c r="N65" i="10"/>
  <c r="P54" i="10"/>
  <c r="O54" i="10"/>
  <c r="N54" i="10"/>
  <c r="Q62" i="10"/>
  <c r="O62" i="10"/>
  <c r="N62" i="10"/>
  <c r="P62" i="10"/>
  <c r="N57" i="10"/>
  <c r="O57" i="10"/>
  <c r="Q57" i="10"/>
  <c r="P57" i="10"/>
  <c r="P53" i="10"/>
  <c r="O53" i="10"/>
  <c r="N53" i="10"/>
  <c r="O52" i="10"/>
  <c r="N52" i="10"/>
  <c r="N51" i="16"/>
  <c r="N37" i="16"/>
  <c r="F37" i="16" s="1"/>
  <c r="N29" i="16"/>
  <c r="F29" i="16" s="1"/>
  <c r="G29" i="16" s="1"/>
  <c r="M58" i="11"/>
  <c r="F58" i="11" s="1"/>
  <c r="P58" i="11" s="1"/>
  <c r="N60" i="16"/>
  <c r="M29" i="18"/>
  <c r="F29" i="18" s="1"/>
  <c r="N29" i="18" s="1"/>
  <c r="F51" i="16"/>
  <c r="P51" i="16" s="1"/>
  <c r="N54" i="16"/>
  <c r="F54" i="16" s="1"/>
  <c r="N58" i="16"/>
  <c r="F58" i="16" s="1"/>
  <c r="Q58" i="16" s="1"/>
  <c r="N34" i="16"/>
  <c r="F34" i="16" s="1"/>
  <c r="O34" i="16" s="1"/>
  <c r="N44" i="16"/>
  <c r="F44" i="16" s="1"/>
  <c r="F10" i="2"/>
  <c r="L10" i="5"/>
  <c r="J17" i="6"/>
  <c r="F7" i="10"/>
  <c r="P7" i="10" s="1"/>
  <c r="F56" i="10"/>
  <c r="F60" i="10"/>
  <c r="O60" i="10" s="1"/>
  <c r="M62" i="11"/>
  <c r="F59" i="12"/>
  <c r="P59" i="12" s="1"/>
  <c r="F63" i="12"/>
  <c r="O63" i="12" s="1"/>
  <c r="L17" i="6"/>
  <c r="L37" i="6" s="1"/>
  <c r="F64" i="10"/>
  <c r="N63" i="12"/>
  <c r="J10" i="2"/>
  <c r="H10" i="5"/>
  <c r="M31" i="11"/>
  <c r="F31" i="11" s="1"/>
  <c r="F62" i="11"/>
  <c r="O62" i="11" s="1"/>
  <c r="F57" i="12"/>
  <c r="R57" i="12" s="1"/>
  <c r="F61" i="12"/>
  <c r="O61" i="12" s="1"/>
  <c r="N49" i="12"/>
  <c r="F49" i="12" s="1"/>
  <c r="N51" i="12"/>
  <c r="F51" i="12" s="1"/>
  <c r="G51" i="12" s="1"/>
  <c r="N50" i="16"/>
  <c r="F50" i="16" s="1"/>
  <c r="N52" i="16"/>
  <c r="F52" i="16" s="1"/>
  <c r="M60" i="18"/>
  <c r="C4" i="20"/>
  <c r="N47" i="12"/>
  <c r="F47" i="12" s="1"/>
  <c r="G47" i="12" s="1"/>
  <c r="N27" i="16"/>
  <c r="F27" i="16" s="1"/>
  <c r="G27" i="16" s="1"/>
  <c r="M39" i="18"/>
  <c r="M23" i="18"/>
  <c r="F23" i="18" s="1"/>
  <c r="P23" i="18" s="1"/>
  <c r="M33" i="18"/>
  <c r="F33" i="18" s="1"/>
  <c r="N33" i="18" s="1"/>
  <c r="N42" i="16"/>
  <c r="F42" i="16" s="1"/>
  <c r="N40" i="16"/>
  <c r="F40" i="16" s="1"/>
  <c r="M42" i="11"/>
  <c r="F42" i="11" s="1"/>
  <c r="N42" i="11" s="1"/>
  <c r="M47" i="11"/>
  <c r="F47" i="11" s="1"/>
  <c r="M22" i="11"/>
  <c r="F22" i="11" s="1"/>
  <c r="N22" i="11" s="1"/>
  <c r="M39" i="11"/>
  <c r="F39" i="11" s="1"/>
  <c r="M50" i="11"/>
  <c r="F50" i="11" s="1"/>
  <c r="O50" i="11" s="1"/>
  <c r="M55" i="11"/>
  <c r="F55" i="11" s="1"/>
  <c r="P55" i="11" s="1"/>
  <c r="N47" i="16"/>
  <c r="F47" i="16" s="1"/>
  <c r="N30" i="16"/>
  <c r="F30" i="16" s="1"/>
  <c r="N38" i="16"/>
  <c r="F38" i="16" s="1"/>
  <c r="P38" i="16" s="1"/>
  <c r="N15" i="16"/>
  <c r="F15" i="16" s="1"/>
  <c r="F17" i="16"/>
  <c r="N43" i="16"/>
  <c r="F43" i="16" s="1"/>
  <c r="Q43" i="16" s="1"/>
  <c r="N55" i="16"/>
  <c r="F55" i="16" s="1"/>
  <c r="R55" i="16" s="1"/>
  <c r="F56" i="16"/>
  <c r="O56" i="16" s="1"/>
  <c r="N57" i="16"/>
  <c r="M27" i="18"/>
  <c r="F27" i="18" s="1"/>
  <c r="N27" i="18" s="1"/>
  <c r="M20" i="18"/>
  <c r="F20" i="18" s="1"/>
  <c r="M9" i="18"/>
  <c r="M37" i="18"/>
  <c r="M54" i="18"/>
  <c r="M62" i="18"/>
  <c r="M48" i="18"/>
  <c r="M56" i="18"/>
  <c r="M13" i="18"/>
  <c r="F13" i="18" s="1"/>
  <c r="N13" i="18" s="1"/>
  <c r="M50" i="18"/>
  <c r="M58" i="18"/>
  <c r="N41" i="12"/>
  <c r="F41" i="12" s="1"/>
  <c r="N23" i="12"/>
  <c r="F23" i="12" s="1"/>
  <c r="N20" i="12"/>
  <c r="F20" i="12" s="1"/>
  <c r="N9" i="12"/>
  <c r="F9" i="12" s="1"/>
  <c r="N17" i="12"/>
  <c r="F17" i="12" s="1"/>
  <c r="G17" i="12" s="1"/>
  <c r="N45" i="12"/>
  <c r="F45" i="12" s="1"/>
  <c r="N13" i="12"/>
  <c r="F13" i="12" s="1"/>
  <c r="G13" i="12" s="1"/>
  <c r="N27" i="12"/>
  <c r="F27" i="12" s="1"/>
  <c r="G27" i="12" s="1"/>
  <c r="N29" i="12"/>
  <c r="N43" i="12"/>
  <c r="F43" i="12" s="1"/>
  <c r="N53" i="12"/>
  <c r="F53" i="12" s="1"/>
  <c r="N55" i="12"/>
  <c r="F55" i="12" s="1"/>
  <c r="G55" i="12" s="1"/>
  <c r="N57" i="12"/>
  <c r="N59" i="12"/>
  <c r="N61" i="12"/>
  <c r="M19" i="11"/>
  <c r="F19" i="11" s="1"/>
  <c r="N19" i="11" s="1"/>
  <c r="M30" i="11"/>
  <c r="F30" i="11" s="1"/>
  <c r="N30" i="11" s="1"/>
  <c r="M15" i="11"/>
  <c r="F15" i="11" s="1"/>
  <c r="N15" i="11" s="1"/>
  <c r="M28" i="11"/>
  <c r="F28" i="11" s="1"/>
  <c r="N28" i="11" s="1"/>
  <c r="M25" i="11"/>
  <c r="F25" i="11" s="1"/>
  <c r="N25" i="11" s="1"/>
  <c r="M38" i="11"/>
  <c r="F38" i="11" s="1"/>
  <c r="O38" i="11" s="1"/>
  <c r="M43" i="11"/>
  <c r="F43" i="11" s="1"/>
  <c r="M54" i="11"/>
  <c r="F54" i="11" s="1"/>
  <c r="O54" i="11" s="1"/>
  <c r="M51" i="11"/>
  <c r="F51" i="11" s="1"/>
  <c r="M35" i="18"/>
  <c r="F35" i="18" s="1"/>
  <c r="P35" i="18" s="1"/>
  <c r="M44" i="18"/>
  <c r="F44" i="18" s="1"/>
  <c r="Q44" i="18" s="1"/>
  <c r="M31" i="18"/>
  <c r="F31" i="18" s="1"/>
  <c r="M17" i="18"/>
  <c r="F17" i="18" s="1"/>
  <c r="M41" i="18"/>
  <c r="F41" i="18" s="1"/>
  <c r="Q41" i="18" s="1"/>
  <c r="M44" i="10"/>
  <c r="F44" i="10" s="1"/>
  <c r="M43" i="10"/>
  <c r="F43" i="10" s="1"/>
  <c r="M47" i="10"/>
  <c r="F47" i="10" s="1"/>
  <c r="M40" i="10"/>
  <c r="F40" i="10" s="1"/>
  <c r="M27" i="10"/>
  <c r="F27" i="10" s="1"/>
  <c r="M38" i="10"/>
  <c r="F38" i="10" s="1"/>
  <c r="M21" i="10"/>
  <c r="F21" i="10" s="1"/>
  <c r="M36" i="10"/>
  <c r="F36" i="10" s="1"/>
  <c r="J17" i="9"/>
  <c r="J37" i="9" s="1"/>
  <c r="F17" i="7"/>
  <c r="F37" i="7" s="1"/>
  <c r="L17" i="9"/>
  <c r="L37" i="9" s="1"/>
  <c r="F17" i="9"/>
  <c r="H17" i="7"/>
  <c r="H17" i="9"/>
  <c r="L10" i="6"/>
  <c r="M9" i="6" s="1"/>
  <c r="H10" i="6"/>
  <c r="I9" i="6" s="1"/>
  <c r="F9" i="16"/>
  <c r="N7" i="16"/>
  <c r="F7" i="16" s="1"/>
  <c r="O14" i="12"/>
  <c r="P14" i="12"/>
  <c r="R14" i="12"/>
  <c r="Q14" i="12"/>
  <c r="N14" i="11"/>
  <c r="Q14" i="11"/>
  <c r="O14" i="11"/>
  <c r="P14" i="11"/>
  <c r="N14" i="10"/>
  <c r="O14" i="10"/>
  <c r="Q14" i="10"/>
  <c r="P14" i="10"/>
  <c r="F25" i="9"/>
  <c r="Q53" i="10"/>
  <c r="Q61" i="10"/>
  <c r="N19" i="16"/>
  <c r="F19" i="16" s="1"/>
  <c r="F20" i="16"/>
  <c r="P9" i="18"/>
  <c r="L25" i="9"/>
  <c r="N61" i="11"/>
  <c r="N11" i="16"/>
  <c r="F11" i="16" s="1"/>
  <c r="N25" i="16"/>
  <c r="F25" i="16" s="1"/>
  <c r="N28" i="16"/>
  <c r="F28" i="16" s="1"/>
  <c r="N39" i="16"/>
  <c r="F39" i="16" s="1"/>
  <c r="Q39" i="16" s="1"/>
  <c r="N41" i="16"/>
  <c r="N53" i="16"/>
  <c r="F53" i="16" s="1"/>
  <c r="R53" i="16" s="1"/>
  <c r="M42" i="18"/>
  <c r="F42" i="18" s="1"/>
  <c r="N42" i="18" s="1"/>
  <c r="L25" i="2"/>
  <c r="L26" i="2" s="1"/>
  <c r="M11" i="11"/>
  <c r="F11" i="11" s="1"/>
  <c r="M7" i="11"/>
  <c r="L18" i="2"/>
  <c r="L18" i="5"/>
  <c r="F18" i="2"/>
  <c r="H25" i="2"/>
  <c r="H26" i="2" s="1"/>
  <c r="H18" i="2"/>
  <c r="J18" i="2"/>
  <c r="J26" i="2"/>
  <c r="M48" i="10"/>
  <c r="F48" i="10" s="1"/>
  <c r="P51" i="10"/>
  <c r="O51" i="10"/>
  <c r="Q51" i="10"/>
  <c r="P59" i="10"/>
  <c r="O59" i="10"/>
  <c r="Q59" i="10"/>
  <c r="M36" i="11"/>
  <c r="F36" i="11" s="1"/>
  <c r="M37" i="11"/>
  <c r="F37" i="11" s="1"/>
  <c r="M44" i="11"/>
  <c r="F44" i="11" s="1"/>
  <c r="M45" i="11"/>
  <c r="F45" i="11" s="1"/>
  <c r="M52" i="11"/>
  <c r="F52" i="11" s="1"/>
  <c r="M53" i="11"/>
  <c r="F53" i="11" s="1"/>
  <c r="F18" i="5"/>
  <c r="F18" i="6"/>
  <c r="F10" i="7"/>
  <c r="L17" i="7"/>
  <c r="L37" i="7" s="1"/>
  <c r="F10" i="9"/>
  <c r="H25" i="9"/>
  <c r="J25" i="9"/>
  <c r="M23" i="10"/>
  <c r="F23" i="10" s="1"/>
  <c r="Q58" i="10"/>
  <c r="P58" i="10"/>
  <c r="O58" i="10"/>
  <c r="N39" i="12"/>
  <c r="F39" i="12" s="1"/>
  <c r="G39" i="12" s="1"/>
  <c r="J17" i="7"/>
  <c r="J37" i="7" s="1"/>
  <c r="M39" i="10"/>
  <c r="F39" i="10" s="1"/>
  <c r="P55" i="10"/>
  <c r="O55" i="10"/>
  <c r="Q55" i="10"/>
  <c r="P63" i="10"/>
  <c r="O63" i="10"/>
  <c r="Q63" i="10"/>
  <c r="M32" i="11"/>
  <c r="F32" i="11" s="1"/>
  <c r="M33" i="11"/>
  <c r="F33" i="11" s="1"/>
  <c r="M40" i="11"/>
  <c r="F40" i="11" s="1"/>
  <c r="M41" i="11"/>
  <c r="F41" i="11" s="1"/>
  <c r="M48" i="11"/>
  <c r="F48" i="11" s="1"/>
  <c r="M49" i="11"/>
  <c r="F49" i="11" s="1"/>
  <c r="M56" i="11"/>
  <c r="F56" i="11" s="1"/>
  <c r="N34" i="12"/>
  <c r="F34" i="12" s="1"/>
  <c r="G34" i="12" s="1"/>
  <c r="N35" i="12"/>
  <c r="F35" i="12" s="1"/>
  <c r="G35" i="12" s="1"/>
  <c r="J10" i="7"/>
  <c r="K9" i="7" s="1"/>
  <c r="J10" i="9"/>
  <c r="F29" i="10"/>
  <c r="M30" i="10"/>
  <c r="F30" i="10" s="1"/>
  <c r="M37" i="10"/>
  <c r="F37" i="10" s="1"/>
  <c r="Q54" i="10"/>
  <c r="N30" i="12"/>
  <c r="F30" i="12" s="1"/>
  <c r="G30" i="12" s="1"/>
  <c r="N31" i="12"/>
  <c r="F31" i="12" s="1"/>
  <c r="G31" i="12" s="1"/>
  <c r="M34" i="10"/>
  <c r="F34" i="10" s="1"/>
  <c r="M41" i="10"/>
  <c r="F41" i="10" s="1"/>
  <c r="M45" i="10"/>
  <c r="F45" i="10" s="1"/>
  <c r="P52" i="10"/>
  <c r="O61" i="10"/>
  <c r="M9" i="11"/>
  <c r="F9" i="11" s="1"/>
  <c r="M13" i="11"/>
  <c r="F13" i="11" s="1"/>
  <c r="M17" i="11"/>
  <c r="F17" i="11" s="1"/>
  <c r="M20" i="11"/>
  <c r="F20" i="11" s="1"/>
  <c r="M23" i="11"/>
  <c r="F23" i="11" s="1"/>
  <c r="M27" i="11"/>
  <c r="F27" i="11" s="1"/>
  <c r="M29" i="11"/>
  <c r="F29" i="11" s="1"/>
  <c r="M34" i="11"/>
  <c r="F34" i="11" s="1"/>
  <c r="M35" i="11"/>
  <c r="F35" i="11" s="1"/>
  <c r="N60" i="11"/>
  <c r="N19" i="12"/>
  <c r="F19" i="12" s="1"/>
  <c r="G19" i="12" s="1"/>
  <c r="N42" i="12"/>
  <c r="F42" i="12" s="1"/>
  <c r="G42" i="12" s="1"/>
  <c r="Q52" i="10"/>
  <c r="M59" i="11"/>
  <c r="F59" i="11" s="1"/>
  <c r="Q59" i="11" s="1"/>
  <c r="P60" i="11"/>
  <c r="O61" i="11"/>
  <c r="N7" i="12"/>
  <c r="F7" i="12" s="1"/>
  <c r="G7" i="12" s="1"/>
  <c r="N22" i="12"/>
  <c r="F22" i="12" s="1"/>
  <c r="G22" i="12" s="1"/>
  <c r="N32" i="12"/>
  <c r="F32" i="12" s="1"/>
  <c r="G32" i="12" s="1"/>
  <c r="N33" i="12"/>
  <c r="F33" i="12" s="1"/>
  <c r="G33" i="12" s="1"/>
  <c r="N36" i="12"/>
  <c r="F36" i="12" s="1"/>
  <c r="G36" i="12" s="1"/>
  <c r="N37" i="12"/>
  <c r="F37" i="12" s="1"/>
  <c r="G37" i="12" s="1"/>
  <c r="N44" i="12"/>
  <c r="F44" i="12" s="1"/>
  <c r="G44" i="12" s="1"/>
  <c r="M57" i="11"/>
  <c r="F57" i="11" s="1"/>
  <c r="Q60" i="11"/>
  <c r="M61" i="11"/>
  <c r="P61" i="11"/>
  <c r="N11" i="12"/>
  <c r="F11" i="12" s="1"/>
  <c r="G11" i="12" s="1"/>
  <c r="N25" i="12"/>
  <c r="F25" i="12" s="1"/>
  <c r="G25" i="12" s="1"/>
  <c r="N38" i="12"/>
  <c r="F38" i="12" s="1"/>
  <c r="G38" i="12" s="1"/>
  <c r="M63" i="11"/>
  <c r="N15" i="12"/>
  <c r="F15" i="12" s="1"/>
  <c r="N28" i="12"/>
  <c r="N40" i="12"/>
  <c r="F40" i="12" s="1"/>
  <c r="G40" i="12" s="1"/>
  <c r="N48" i="12"/>
  <c r="F48" i="12" s="1"/>
  <c r="G48" i="12" s="1"/>
  <c r="N50" i="12"/>
  <c r="F50" i="12" s="1"/>
  <c r="G50" i="12" s="1"/>
  <c r="N52" i="12"/>
  <c r="F52" i="12" s="1"/>
  <c r="G52" i="12" s="1"/>
  <c r="N54" i="12"/>
  <c r="F54" i="12" s="1"/>
  <c r="G54" i="12" s="1"/>
  <c r="N56" i="12"/>
  <c r="F56" i="12" s="1"/>
  <c r="N58" i="12"/>
  <c r="F58" i="12" s="1"/>
  <c r="N60" i="12"/>
  <c r="F60" i="12" s="1"/>
  <c r="N62" i="12"/>
  <c r="F62" i="12" s="1"/>
  <c r="R23" i="16"/>
  <c r="Q23" i="16"/>
  <c r="P23" i="16"/>
  <c r="O23" i="16"/>
  <c r="N48" i="16"/>
  <c r="F48" i="16" s="1"/>
  <c r="N49" i="16"/>
  <c r="F49" i="16" s="1"/>
  <c r="N45" i="16"/>
  <c r="F45" i="16" s="1"/>
  <c r="Q59" i="16"/>
  <c r="R59" i="16"/>
  <c r="P59" i="16"/>
  <c r="O59" i="16"/>
  <c r="F13" i="16"/>
  <c r="G13" i="16" s="1"/>
  <c r="N31" i="16"/>
  <c r="F31" i="16" s="1"/>
  <c r="N32" i="16"/>
  <c r="F32" i="16" s="1"/>
  <c r="N35" i="16"/>
  <c r="F35" i="16" s="1"/>
  <c r="N36" i="16"/>
  <c r="F36" i="16" s="1"/>
  <c r="Q57" i="16"/>
  <c r="N59" i="16"/>
  <c r="N61" i="16"/>
  <c r="F61" i="16" s="1"/>
  <c r="N62" i="16"/>
  <c r="N63" i="16"/>
  <c r="F63" i="16" s="1"/>
  <c r="R57" i="16"/>
  <c r="P62" i="16"/>
  <c r="O57" i="16"/>
  <c r="F60" i="16"/>
  <c r="Q62" i="16"/>
  <c r="R62" i="16"/>
  <c r="M15" i="18"/>
  <c r="F15" i="18" s="1"/>
  <c r="M22" i="18"/>
  <c r="F22" i="18" s="1"/>
  <c r="M28" i="18"/>
  <c r="F28" i="18" s="1"/>
  <c r="M32" i="18"/>
  <c r="F32" i="18" s="1"/>
  <c r="M34" i="18"/>
  <c r="F34" i="18" s="1"/>
  <c r="M36" i="18"/>
  <c r="F36" i="18" s="1"/>
  <c r="M38" i="18"/>
  <c r="F38" i="18" s="1"/>
  <c r="M40" i="18"/>
  <c r="F40" i="18" s="1"/>
  <c r="O37" i="18"/>
  <c r="P37" i="18"/>
  <c r="Q37" i="18"/>
  <c r="N37" i="18"/>
  <c r="O39" i="18"/>
  <c r="P39" i="18"/>
  <c r="Q39" i="18"/>
  <c r="N39" i="18"/>
  <c r="M43" i="18"/>
  <c r="F43" i="18" s="1"/>
  <c r="M7" i="18"/>
  <c r="F7" i="18"/>
  <c r="Q9" i="18"/>
  <c r="M11" i="18"/>
  <c r="F11" i="18" s="1"/>
  <c r="M25" i="18"/>
  <c r="F25" i="18" s="1"/>
  <c r="M47" i="18"/>
  <c r="O50" i="18"/>
  <c r="P50" i="18"/>
  <c r="N50" i="18"/>
  <c r="M51" i="18"/>
  <c r="O54" i="18"/>
  <c r="P54" i="18"/>
  <c r="N54" i="18"/>
  <c r="M55" i="18"/>
  <c r="O58" i="18"/>
  <c r="P58" i="18"/>
  <c r="N58" i="18"/>
  <c r="M59" i="18"/>
  <c r="F59" i="18"/>
  <c r="O62" i="18"/>
  <c r="P62" i="18"/>
  <c r="N62" i="18"/>
  <c r="M63" i="18"/>
  <c r="F63" i="18"/>
  <c r="N9" i="18"/>
  <c r="M19" i="18"/>
  <c r="F19" i="18" s="1"/>
  <c r="M30" i="18"/>
  <c r="F30" i="18" s="1"/>
  <c r="Q50" i="18"/>
  <c r="Q54" i="18"/>
  <c r="Q58" i="18"/>
  <c r="Q62" i="18"/>
  <c r="M45" i="18"/>
  <c r="F45" i="18" s="1"/>
  <c r="O48" i="18"/>
  <c r="P48" i="18"/>
  <c r="N48" i="18"/>
  <c r="M49" i="18"/>
  <c r="O52" i="18"/>
  <c r="P52" i="18"/>
  <c r="N52" i="18"/>
  <c r="M53" i="18"/>
  <c r="O56" i="18"/>
  <c r="P56" i="18"/>
  <c r="N56" i="18"/>
  <c r="M57" i="18"/>
  <c r="F57" i="18"/>
  <c r="O60" i="18"/>
  <c r="P60" i="18"/>
  <c r="N60" i="18"/>
  <c r="M61" i="18"/>
  <c r="F61" i="18"/>
  <c r="D36" i="19"/>
  <c r="D33" i="19"/>
  <c r="D34" i="19"/>
  <c r="P11" i="16" l="1"/>
  <c r="G11" i="16"/>
  <c r="R41" i="12"/>
  <c r="G41" i="12"/>
  <c r="J26" i="9"/>
  <c r="J31" i="9" s="1"/>
  <c r="P28" i="12"/>
  <c r="G28" i="12"/>
  <c r="P28" i="16"/>
  <c r="G28" i="16"/>
  <c r="P9" i="16"/>
  <c r="G9" i="16"/>
  <c r="R53" i="12"/>
  <c r="G53" i="12"/>
  <c r="O20" i="12"/>
  <c r="G20" i="12"/>
  <c r="J39" i="9"/>
  <c r="P29" i="12"/>
  <c r="G29" i="12"/>
  <c r="L26" i="9"/>
  <c r="L29" i="9" s="1"/>
  <c r="P20" i="16"/>
  <c r="G20" i="16"/>
  <c r="R17" i="16"/>
  <c r="G17" i="16"/>
  <c r="H21" i="6"/>
  <c r="H22" i="6" s="1"/>
  <c r="H25" i="6" s="1"/>
  <c r="H26" i="6" s="1"/>
  <c r="G15" i="12"/>
  <c r="O19" i="16"/>
  <c r="G19" i="16"/>
  <c r="O7" i="16"/>
  <c r="G7" i="16"/>
  <c r="Q9" i="12"/>
  <c r="G9" i="12"/>
  <c r="P15" i="16"/>
  <c r="G15" i="16"/>
  <c r="H26" i="9"/>
  <c r="H31" i="9" s="1"/>
  <c r="R25" i="16"/>
  <c r="G25" i="16"/>
  <c r="R43" i="12"/>
  <c r="G43" i="12"/>
  <c r="Q45" i="12"/>
  <c r="G45" i="12"/>
  <c r="R23" i="12"/>
  <c r="G23" i="12"/>
  <c r="R30" i="16"/>
  <c r="G30" i="16"/>
  <c r="Q49" i="12"/>
  <c r="G49" i="12"/>
  <c r="F26" i="9"/>
  <c r="F30" i="9" s="1"/>
  <c r="N63" i="11"/>
  <c r="Q63" i="11"/>
  <c r="D43" i="50"/>
  <c r="F19" i="50" s="1"/>
  <c r="D43" i="53"/>
  <c r="D43" i="5"/>
  <c r="H19" i="5" s="1"/>
  <c r="D43" i="9"/>
  <c r="H19" i="9" s="1"/>
  <c r="L19" i="2"/>
  <c r="O32" i="10"/>
  <c r="D43" i="41"/>
  <c r="F19" i="41" s="1"/>
  <c r="D43" i="36"/>
  <c r="F19" i="36" s="1"/>
  <c r="Q32" i="10"/>
  <c r="G43" i="2"/>
  <c r="D43" i="7"/>
  <c r="G43" i="7" s="1"/>
  <c r="D16" i="11" s="1"/>
  <c r="D43" i="34"/>
  <c r="G43" i="34" s="1"/>
  <c r="D16" i="30" s="1"/>
  <c r="D43" i="46"/>
  <c r="G43" i="46" s="1"/>
  <c r="D16" i="29" s="1"/>
  <c r="D43" i="39"/>
  <c r="F19" i="39" s="1"/>
  <c r="D43" i="6"/>
  <c r="F19" i="6" s="1"/>
  <c r="F19" i="2"/>
  <c r="C48" i="2"/>
  <c r="J19" i="2"/>
  <c r="H19" i="2"/>
  <c r="Q11" i="10"/>
  <c r="F21" i="2"/>
  <c r="F22" i="2" s="1"/>
  <c r="F36" i="2" s="1"/>
  <c r="R64" i="16"/>
  <c r="O64" i="16"/>
  <c r="Q64" i="16"/>
  <c r="P64" i="16"/>
  <c r="I9" i="2"/>
  <c r="N32" i="10"/>
  <c r="J21" i="5"/>
  <c r="F21" i="5"/>
  <c r="P35" i="10"/>
  <c r="Q35" i="10"/>
  <c r="N7" i="10"/>
  <c r="N35" i="10"/>
  <c r="O41" i="16"/>
  <c r="Q9" i="10"/>
  <c r="Q41" i="16"/>
  <c r="R41" i="16"/>
  <c r="P9" i="10"/>
  <c r="O9" i="10"/>
  <c r="N57" i="11"/>
  <c r="O57" i="11"/>
  <c r="P57" i="11"/>
  <c r="Q57" i="11"/>
  <c r="O59" i="11"/>
  <c r="N20" i="18"/>
  <c r="L21" i="5"/>
  <c r="O17" i="18"/>
  <c r="H21" i="5"/>
  <c r="H31" i="7"/>
  <c r="H27" i="7"/>
  <c r="H29" i="7"/>
  <c r="H30" i="7"/>
  <c r="H30" i="9"/>
  <c r="L31" i="6"/>
  <c r="L30" i="6"/>
  <c r="L29" i="6"/>
  <c r="L28" i="6"/>
  <c r="L27" i="6"/>
  <c r="J31" i="7"/>
  <c r="J30" i="7"/>
  <c r="J29" i="7"/>
  <c r="J28" i="7"/>
  <c r="J27" i="7"/>
  <c r="L31" i="7"/>
  <c r="L30" i="7"/>
  <c r="L29" i="7"/>
  <c r="L28" i="7"/>
  <c r="L27" i="7"/>
  <c r="F31" i="7"/>
  <c r="F30" i="7"/>
  <c r="F29" i="7"/>
  <c r="F28" i="7"/>
  <c r="F27" i="7"/>
  <c r="L27" i="2"/>
  <c r="L28" i="2"/>
  <c r="L29" i="2"/>
  <c r="L30" i="2"/>
  <c r="L31" i="2"/>
  <c r="H27" i="2"/>
  <c r="H28" i="2"/>
  <c r="H29" i="2"/>
  <c r="H30" i="2"/>
  <c r="H31" i="2"/>
  <c r="J27" i="2"/>
  <c r="J28" i="2"/>
  <c r="J29" i="2"/>
  <c r="J30" i="2"/>
  <c r="J31" i="2"/>
  <c r="G9" i="2"/>
  <c r="Q58" i="11"/>
  <c r="Q28" i="12"/>
  <c r="H18" i="6"/>
  <c r="O29" i="12"/>
  <c r="R29" i="12"/>
  <c r="Q29" i="12"/>
  <c r="H36" i="9"/>
  <c r="Q7" i="10"/>
  <c r="F36" i="9"/>
  <c r="Q30" i="11"/>
  <c r="P59" i="11"/>
  <c r="H18" i="7"/>
  <c r="H37" i="7"/>
  <c r="H38" i="7" s="1"/>
  <c r="R28" i="12"/>
  <c r="O28" i="12"/>
  <c r="J38" i="9"/>
  <c r="K9" i="2"/>
  <c r="J36" i="2"/>
  <c r="L38" i="9"/>
  <c r="L36" i="9"/>
  <c r="L39" i="7"/>
  <c r="L36" i="7"/>
  <c r="L38" i="7"/>
  <c r="F36" i="7"/>
  <c r="F39" i="7"/>
  <c r="F38" i="7"/>
  <c r="P60" i="10"/>
  <c r="J36" i="7"/>
  <c r="J39" i="7"/>
  <c r="J38" i="7"/>
  <c r="O28" i="16"/>
  <c r="Q56" i="16"/>
  <c r="J18" i="5"/>
  <c r="J37" i="5"/>
  <c r="I9" i="5"/>
  <c r="M9" i="5"/>
  <c r="H18" i="5"/>
  <c r="H37" i="5"/>
  <c r="F18" i="9"/>
  <c r="F37" i="9"/>
  <c r="F38" i="9" s="1"/>
  <c r="H18" i="9"/>
  <c r="H37" i="9"/>
  <c r="H38" i="9" s="1"/>
  <c r="K9" i="9"/>
  <c r="J36" i="9"/>
  <c r="L38" i="6"/>
  <c r="L39" i="6"/>
  <c r="L36" i="6"/>
  <c r="J18" i="6"/>
  <c r="J37" i="6"/>
  <c r="N23" i="18"/>
  <c r="L18" i="9"/>
  <c r="J18" i="9"/>
  <c r="P56" i="16"/>
  <c r="R58" i="16"/>
  <c r="N11" i="10"/>
  <c r="O11" i="10"/>
  <c r="Q33" i="18"/>
  <c r="P33" i="18"/>
  <c r="O33" i="18"/>
  <c r="Q62" i="11"/>
  <c r="O63" i="11"/>
  <c r="N59" i="11"/>
  <c r="Q29" i="18"/>
  <c r="P61" i="12"/>
  <c r="Q61" i="12"/>
  <c r="P29" i="18"/>
  <c r="O43" i="16"/>
  <c r="R61" i="12"/>
  <c r="P11" i="10"/>
  <c r="O29" i="18"/>
  <c r="O39" i="16"/>
  <c r="M46" i="30"/>
  <c r="M45" i="29"/>
  <c r="M46" i="11"/>
  <c r="F46" i="11" s="1"/>
  <c r="Q46" i="11" s="1"/>
  <c r="M46" i="18"/>
  <c r="F46" i="18" s="1"/>
  <c r="Q46" i="18" s="1"/>
  <c r="M46" i="16"/>
  <c r="N46" i="16" s="1"/>
  <c r="F46" i="16" s="1"/>
  <c r="Q46" i="16" s="1"/>
  <c r="N46" i="12"/>
  <c r="F46" i="12" s="1"/>
  <c r="Q25" i="11"/>
  <c r="N58" i="11"/>
  <c r="Q65" i="12"/>
  <c r="R65" i="12"/>
  <c r="O65" i="12"/>
  <c r="P65" i="12"/>
  <c r="O53" i="16"/>
  <c r="Q23" i="18"/>
  <c r="Q34" i="16"/>
  <c r="R64" i="12"/>
  <c r="O64" i="12"/>
  <c r="P64" i="12"/>
  <c r="Q64" i="12"/>
  <c r="P50" i="11"/>
  <c r="R39" i="16"/>
  <c r="P34" i="16"/>
  <c r="Q42" i="10"/>
  <c r="P42" i="10"/>
  <c r="N42" i="10"/>
  <c r="R34" i="16"/>
  <c r="O19" i="11"/>
  <c r="N62" i="11"/>
  <c r="P62" i="11"/>
  <c r="Q55" i="11"/>
  <c r="O55" i="11"/>
  <c r="N55" i="11"/>
  <c r="Q59" i="12"/>
  <c r="Q56" i="10"/>
  <c r="P56" i="10"/>
  <c r="O56" i="10"/>
  <c r="N56" i="10"/>
  <c r="O58" i="11"/>
  <c r="O57" i="12"/>
  <c r="P63" i="12"/>
  <c r="Q64" i="10"/>
  <c r="O42" i="11"/>
  <c r="P38" i="11"/>
  <c r="Q27" i="16"/>
  <c r="O27" i="16"/>
  <c r="R27" i="16"/>
  <c r="P27" i="16"/>
  <c r="R28" i="16"/>
  <c r="Q28" i="16"/>
  <c r="O47" i="16"/>
  <c r="R47" i="16"/>
  <c r="Q47" i="16"/>
  <c r="P47" i="16"/>
  <c r="R56" i="16"/>
  <c r="O55" i="12"/>
  <c r="P55" i="12"/>
  <c r="O51" i="12"/>
  <c r="Q51" i="12"/>
  <c r="P51" i="12"/>
  <c r="R51" i="12"/>
  <c r="Q13" i="12"/>
  <c r="F21" i="6"/>
  <c r="Q17" i="12"/>
  <c r="J21" i="6"/>
  <c r="P17" i="12"/>
  <c r="Q38" i="11"/>
  <c r="N38" i="11"/>
  <c r="O35" i="18"/>
  <c r="O23" i="18"/>
  <c r="O7" i="10"/>
  <c r="Q15" i="16"/>
  <c r="F7" i="11"/>
  <c r="Q7" i="11" s="1"/>
  <c r="P27" i="12"/>
  <c r="O58" i="16"/>
  <c r="Q60" i="10"/>
  <c r="Q63" i="12"/>
  <c r="Q55" i="12"/>
  <c r="R63" i="12"/>
  <c r="R55" i="12"/>
  <c r="P58" i="16"/>
  <c r="Q51" i="16"/>
  <c r="O55" i="16"/>
  <c r="R59" i="12"/>
  <c r="Q50" i="11"/>
  <c r="P57" i="12"/>
  <c r="O51" i="16"/>
  <c r="R51" i="16"/>
  <c r="Q57" i="12"/>
  <c r="O59" i="12"/>
  <c r="N50" i="11"/>
  <c r="P41" i="12"/>
  <c r="Q41" i="12"/>
  <c r="R15" i="16"/>
  <c r="Q20" i="12"/>
  <c r="P20" i="12"/>
  <c r="R13" i="12"/>
  <c r="P20" i="18"/>
  <c r="Q20" i="18"/>
  <c r="O20" i="18"/>
  <c r="N31" i="10"/>
  <c r="O31" i="10"/>
  <c r="Q31" i="10"/>
  <c r="Q20" i="16"/>
  <c r="O41" i="10"/>
  <c r="N41" i="10"/>
  <c r="Q41" i="10"/>
  <c r="P41" i="10"/>
  <c r="O45" i="12"/>
  <c r="O43" i="12"/>
  <c r="L18" i="6"/>
  <c r="R43" i="16"/>
  <c r="Q38" i="16"/>
  <c r="R38" i="16"/>
  <c r="Q44" i="16"/>
  <c r="R44" i="16"/>
  <c r="O44" i="16"/>
  <c r="P42" i="11"/>
  <c r="Q42" i="11"/>
  <c r="P30" i="11"/>
  <c r="O30" i="11"/>
  <c r="O22" i="11"/>
  <c r="Q19" i="11"/>
  <c r="P19" i="11"/>
  <c r="Q15" i="11"/>
  <c r="O15" i="11"/>
  <c r="P15" i="11"/>
  <c r="R47" i="12"/>
  <c r="P47" i="12"/>
  <c r="Q47" i="12"/>
  <c r="R45" i="12"/>
  <c r="P45" i="12"/>
  <c r="P43" i="12"/>
  <c r="Q43" i="12"/>
  <c r="O41" i="12"/>
  <c r="O23" i="12"/>
  <c r="Q23" i="12"/>
  <c r="P23" i="12"/>
  <c r="Q27" i="18"/>
  <c r="P27" i="18"/>
  <c r="O27" i="18"/>
  <c r="O13" i="18"/>
  <c r="P44" i="16"/>
  <c r="Q22" i="11"/>
  <c r="P22" i="11"/>
  <c r="O25" i="10"/>
  <c r="N15" i="10"/>
  <c r="P25" i="10"/>
  <c r="Q25" i="10"/>
  <c r="R49" i="12"/>
  <c r="O49" i="12"/>
  <c r="P49" i="12"/>
  <c r="O53" i="12"/>
  <c r="Q52" i="16"/>
  <c r="P52" i="16"/>
  <c r="O52" i="16"/>
  <c r="R52" i="16"/>
  <c r="O31" i="11"/>
  <c r="P31" i="11"/>
  <c r="Q31" i="11"/>
  <c r="N31" i="11"/>
  <c r="Q50" i="16"/>
  <c r="P50" i="16"/>
  <c r="O50" i="16"/>
  <c r="R50" i="16"/>
  <c r="O17" i="16"/>
  <c r="Q17" i="16"/>
  <c r="O15" i="16"/>
  <c r="O30" i="16"/>
  <c r="P17" i="16"/>
  <c r="O25" i="16"/>
  <c r="P9" i="12"/>
  <c r="P43" i="16"/>
  <c r="P30" i="16"/>
  <c r="Q30" i="16"/>
  <c r="P42" i="18"/>
  <c r="O42" i="18"/>
  <c r="R20" i="12"/>
  <c r="O27" i="12"/>
  <c r="O9" i="12"/>
  <c r="R9" i="12"/>
  <c r="P13" i="12"/>
  <c r="P54" i="11"/>
  <c r="O25" i="11"/>
  <c r="P25" i="11"/>
  <c r="P45" i="10"/>
  <c r="O45" i="10"/>
  <c r="N45" i="10"/>
  <c r="Q45" i="10"/>
  <c r="P15" i="10"/>
  <c r="O33" i="10"/>
  <c r="P33" i="10"/>
  <c r="F18" i="7"/>
  <c r="O38" i="16"/>
  <c r="P7" i="16"/>
  <c r="P55" i="16"/>
  <c r="R20" i="16"/>
  <c r="Q55" i="16"/>
  <c r="O20" i="16"/>
  <c r="P19" i="16"/>
  <c r="Q11" i="16"/>
  <c r="Q13" i="18"/>
  <c r="P13" i="18"/>
  <c r="Q42" i="18"/>
  <c r="O44" i="18"/>
  <c r="N17" i="18"/>
  <c r="Q35" i="18"/>
  <c r="Q17" i="18"/>
  <c r="N35" i="18"/>
  <c r="N44" i="18"/>
  <c r="P44" i="18"/>
  <c r="P17" i="18"/>
  <c r="R17" i="12"/>
  <c r="O17" i="12"/>
  <c r="Q53" i="12"/>
  <c r="R27" i="12"/>
  <c r="O13" i="12"/>
  <c r="P53" i="12"/>
  <c r="Q27" i="12"/>
  <c r="O47" i="12"/>
  <c r="N54" i="11"/>
  <c r="Q54" i="11"/>
  <c r="O28" i="11"/>
  <c r="Q28" i="11"/>
  <c r="P28" i="11"/>
  <c r="Q46" i="10"/>
  <c r="P46" i="10"/>
  <c r="N46" i="10"/>
  <c r="N40" i="10"/>
  <c r="Q40" i="10"/>
  <c r="P40" i="10"/>
  <c r="O40" i="10"/>
  <c r="Q33" i="10"/>
  <c r="P53" i="16"/>
  <c r="P25" i="16"/>
  <c r="Q9" i="16"/>
  <c r="Q53" i="16"/>
  <c r="Q25" i="16"/>
  <c r="R9" i="16"/>
  <c r="N31" i="18"/>
  <c r="O31" i="18"/>
  <c r="Q31" i="18"/>
  <c r="P31" i="18"/>
  <c r="P41" i="18"/>
  <c r="O41" i="18"/>
  <c r="N41" i="18"/>
  <c r="N44" i="10"/>
  <c r="Q44" i="10"/>
  <c r="P44" i="10"/>
  <c r="O44" i="10"/>
  <c r="P43" i="10"/>
  <c r="N43" i="10"/>
  <c r="Q43" i="10"/>
  <c r="O43" i="10"/>
  <c r="N47" i="10"/>
  <c r="Q47" i="10"/>
  <c r="P47" i="10"/>
  <c r="O47" i="10"/>
  <c r="P27" i="10"/>
  <c r="O27" i="10"/>
  <c r="N27" i="10"/>
  <c r="Q27" i="10"/>
  <c r="O38" i="10"/>
  <c r="N38" i="10"/>
  <c r="P38" i="10"/>
  <c r="Q38" i="10"/>
  <c r="O36" i="10"/>
  <c r="N36" i="10"/>
  <c r="Q36" i="10"/>
  <c r="P36" i="10"/>
  <c r="P21" i="10"/>
  <c r="N21" i="10"/>
  <c r="Q21" i="10"/>
  <c r="O21" i="10"/>
  <c r="R7" i="16"/>
  <c r="Q7" i="16"/>
  <c r="O9" i="16"/>
  <c r="Q19" i="16"/>
  <c r="P17" i="10"/>
  <c r="R11" i="16"/>
  <c r="P39" i="16"/>
  <c r="O11" i="16"/>
  <c r="R19" i="16"/>
  <c r="N17" i="10"/>
  <c r="O15" i="10"/>
  <c r="Q17" i="10"/>
  <c r="P19" i="10"/>
  <c r="N19" i="10"/>
  <c r="Q19" i="10"/>
  <c r="N11" i="11"/>
  <c r="O11" i="11"/>
  <c r="P11" i="11"/>
  <c r="Q11" i="11"/>
  <c r="P32" i="16"/>
  <c r="O32" i="16"/>
  <c r="R32" i="16"/>
  <c r="Q32" i="16"/>
  <c r="Q43" i="18"/>
  <c r="N43" i="18"/>
  <c r="P43" i="18"/>
  <c r="O43" i="18"/>
  <c r="Q28" i="18"/>
  <c r="O28" i="18"/>
  <c r="P28" i="18"/>
  <c r="N28" i="18"/>
  <c r="O31" i="16"/>
  <c r="R31" i="16"/>
  <c r="Q31" i="16"/>
  <c r="P31" i="16"/>
  <c r="O40" i="12"/>
  <c r="R40" i="12"/>
  <c r="Q40" i="12"/>
  <c r="P40" i="12"/>
  <c r="O36" i="12"/>
  <c r="Q36" i="12"/>
  <c r="P36" i="12"/>
  <c r="R36" i="12"/>
  <c r="N34" i="11"/>
  <c r="Q34" i="11"/>
  <c r="P34" i="11"/>
  <c r="O34" i="11"/>
  <c r="P48" i="11"/>
  <c r="N48" i="11"/>
  <c r="Q48" i="11"/>
  <c r="O48" i="11"/>
  <c r="P49" i="16"/>
  <c r="O49" i="16"/>
  <c r="R49" i="16"/>
  <c r="Q49" i="16"/>
  <c r="R15" i="12"/>
  <c r="Q15" i="12"/>
  <c r="P15" i="12"/>
  <c r="O15" i="12"/>
  <c r="P40" i="11"/>
  <c r="N40" i="11"/>
  <c r="Q40" i="11"/>
  <c r="O40" i="11"/>
  <c r="Q37" i="11"/>
  <c r="N37" i="11"/>
  <c r="P37" i="11"/>
  <c r="O37" i="11"/>
  <c r="Q55" i="18"/>
  <c r="N55" i="18"/>
  <c r="O55" i="18"/>
  <c r="P55" i="18"/>
  <c r="Q61" i="16"/>
  <c r="R61" i="16"/>
  <c r="P61" i="16"/>
  <c r="O61" i="16"/>
  <c r="P36" i="16"/>
  <c r="O36" i="16"/>
  <c r="R36" i="16"/>
  <c r="Q36" i="16"/>
  <c r="Q45" i="18"/>
  <c r="N45" i="18"/>
  <c r="P45" i="18"/>
  <c r="O45" i="18"/>
  <c r="O35" i="16"/>
  <c r="R35" i="16"/>
  <c r="Q35" i="16"/>
  <c r="P35" i="16"/>
  <c r="P34" i="10"/>
  <c r="O34" i="10"/>
  <c r="N34" i="10"/>
  <c r="Q34" i="10"/>
  <c r="O30" i="10"/>
  <c r="N30" i="10"/>
  <c r="Q30" i="10"/>
  <c r="P30" i="10"/>
  <c r="Q34" i="12"/>
  <c r="R34" i="12"/>
  <c r="P34" i="12"/>
  <c r="O34" i="12"/>
  <c r="P32" i="11"/>
  <c r="N32" i="11"/>
  <c r="Q32" i="11"/>
  <c r="O32" i="11"/>
  <c r="Q63" i="16"/>
  <c r="R63" i="16"/>
  <c r="P63" i="16"/>
  <c r="O63" i="16"/>
  <c r="O42" i="12"/>
  <c r="R42" i="12"/>
  <c r="Q42" i="12"/>
  <c r="P42" i="12"/>
  <c r="P56" i="11"/>
  <c r="N56" i="11"/>
  <c r="Q56" i="11"/>
  <c r="O56" i="11"/>
  <c r="Q61" i="18"/>
  <c r="N61" i="18"/>
  <c r="P61" i="18"/>
  <c r="O61" i="18"/>
  <c r="Q11" i="18"/>
  <c r="N11" i="18"/>
  <c r="P11" i="18"/>
  <c r="O11" i="18"/>
  <c r="Q7" i="18"/>
  <c r="O7" i="18"/>
  <c r="P7" i="18"/>
  <c r="N7" i="18"/>
  <c r="Q15" i="18"/>
  <c r="O15" i="18"/>
  <c r="P15" i="18"/>
  <c r="N15" i="18"/>
  <c r="Q33" i="16"/>
  <c r="P33" i="16"/>
  <c r="O33" i="16"/>
  <c r="R33" i="16"/>
  <c r="R13" i="16"/>
  <c r="Q13" i="16"/>
  <c r="P13" i="16"/>
  <c r="O13" i="16"/>
  <c r="P58" i="12"/>
  <c r="O58" i="12"/>
  <c r="R58" i="12"/>
  <c r="Q58" i="12"/>
  <c r="P50" i="12"/>
  <c r="O50" i="12"/>
  <c r="R50" i="12"/>
  <c r="Q50" i="12"/>
  <c r="Q38" i="12"/>
  <c r="P38" i="12"/>
  <c r="O38" i="12"/>
  <c r="R38" i="12"/>
  <c r="R11" i="12"/>
  <c r="Q11" i="12"/>
  <c r="P11" i="12"/>
  <c r="O11" i="12"/>
  <c r="R7" i="12"/>
  <c r="O7" i="12"/>
  <c r="Q7" i="12"/>
  <c r="P7" i="12"/>
  <c r="O47" i="11"/>
  <c r="Q47" i="11"/>
  <c r="P47" i="11"/>
  <c r="N47" i="11"/>
  <c r="P27" i="11"/>
  <c r="O27" i="11"/>
  <c r="N27" i="11"/>
  <c r="Q27" i="11"/>
  <c r="P20" i="11"/>
  <c r="O20" i="11"/>
  <c r="N20" i="11"/>
  <c r="Q20" i="11"/>
  <c r="P13" i="11"/>
  <c r="O13" i="11"/>
  <c r="N13" i="11"/>
  <c r="Q13" i="11"/>
  <c r="O39" i="10"/>
  <c r="N39" i="10"/>
  <c r="Q39" i="10"/>
  <c r="P39" i="10"/>
  <c r="J18" i="7"/>
  <c r="Q57" i="18"/>
  <c r="N57" i="18"/>
  <c r="P57" i="18"/>
  <c r="O57" i="18"/>
  <c r="Q51" i="18"/>
  <c r="N51" i="18"/>
  <c r="O51" i="18"/>
  <c r="P51" i="18"/>
  <c r="Q40" i="18"/>
  <c r="N40" i="18"/>
  <c r="P40" i="18"/>
  <c r="O40" i="18"/>
  <c r="Q36" i="18"/>
  <c r="N36" i="18"/>
  <c r="P36" i="18"/>
  <c r="O36" i="18"/>
  <c r="Q32" i="18"/>
  <c r="N32" i="18"/>
  <c r="P32" i="18"/>
  <c r="O32" i="18"/>
  <c r="Q29" i="16"/>
  <c r="P29" i="16"/>
  <c r="O29" i="16"/>
  <c r="R29" i="16"/>
  <c r="R54" i="16"/>
  <c r="Q54" i="16"/>
  <c r="P54" i="16"/>
  <c r="O54" i="16"/>
  <c r="O45" i="16"/>
  <c r="R45" i="16"/>
  <c r="Q45" i="16"/>
  <c r="P45" i="16"/>
  <c r="P56" i="12"/>
  <c r="O56" i="12"/>
  <c r="R56" i="12"/>
  <c r="Q56" i="12"/>
  <c r="P48" i="12"/>
  <c r="O48" i="12"/>
  <c r="R48" i="12"/>
  <c r="Q48" i="12"/>
  <c r="O48" i="16"/>
  <c r="R48" i="16"/>
  <c r="Q48" i="16"/>
  <c r="P48" i="16"/>
  <c r="P37" i="12"/>
  <c r="Q37" i="12"/>
  <c r="O37" i="12"/>
  <c r="R37" i="12"/>
  <c r="R25" i="12"/>
  <c r="Q25" i="12"/>
  <c r="P25" i="12"/>
  <c r="O25" i="12"/>
  <c r="O32" i="12"/>
  <c r="Q32" i="12"/>
  <c r="P32" i="12"/>
  <c r="R32" i="12"/>
  <c r="O43" i="11"/>
  <c r="Q43" i="11"/>
  <c r="P43" i="11"/>
  <c r="N43" i="11"/>
  <c r="R19" i="12"/>
  <c r="P19" i="12"/>
  <c r="O19" i="12"/>
  <c r="Q19" i="12"/>
  <c r="Q30" i="12"/>
  <c r="R30" i="12"/>
  <c r="P30" i="12"/>
  <c r="O30" i="12"/>
  <c r="O37" i="10"/>
  <c r="N37" i="10"/>
  <c r="Q37" i="10"/>
  <c r="P37" i="10"/>
  <c r="P29" i="10"/>
  <c r="O29" i="10"/>
  <c r="N29" i="10"/>
  <c r="Q29" i="10"/>
  <c r="O13" i="10"/>
  <c r="N13" i="10"/>
  <c r="Q13" i="10"/>
  <c r="P13" i="10"/>
  <c r="R35" i="12"/>
  <c r="Q35" i="12"/>
  <c r="P35" i="12"/>
  <c r="O35" i="12"/>
  <c r="Q49" i="11"/>
  <c r="N49" i="11"/>
  <c r="P49" i="11"/>
  <c r="O49" i="11"/>
  <c r="Q33" i="11"/>
  <c r="N33" i="11"/>
  <c r="P33" i="11"/>
  <c r="O33" i="11"/>
  <c r="R39" i="12"/>
  <c r="Q39" i="12"/>
  <c r="P39" i="12"/>
  <c r="O39" i="12"/>
  <c r="Q53" i="11"/>
  <c r="N53" i="11"/>
  <c r="P53" i="11"/>
  <c r="O53" i="11"/>
  <c r="P44" i="11"/>
  <c r="N44" i="11"/>
  <c r="Q44" i="11"/>
  <c r="O44" i="11"/>
  <c r="Q53" i="18"/>
  <c r="N53" i="18"/>
  <c r="P53" i="18"/>
  <c r="O53" i="18"/>
  <c r="Q30" i="18"/>
  <c r="P30" i="18"/>
  <c r="N30" i="18"/>
  <c r="O30" i="18"/>
  <c r="Q63" i="18"/>
  <c r="N63" i="18"/>
  <c r="O63" i="18"/>
  <c r="P63" i="18"/>
  <c r="Q47" i="18"/>
  <c r="N47" i="18"/>
  <c r="O47" i="18"/>
  <c r="P47" i="18"/>
  <c r="O60" i="16"/>
  <c r="R60" i="16"/>
  <c r="Q60" i="16"/>
  <c r="P60" i="16"/>
  <c r="R42" i="16"/>
  <c r="Q42" i="16"/>
  <c r="P42" i="16"/>
  <c r="O42" i="16"/>
  <c r="P62" i="12"/>
  <c r="O62" i="12"/>
  <c r="R62" i="12"/>
  <c r="Q62" i="12"/>
  <c r="P54" i="12"/>
  <c r="O54" i="12"/>
  <c r="R54" i="12"/>
  <c r="Q54" i="12"/>
  <c r="P33" i="12"/>
  <c r="Q33" i="12"/>
  <c r="O33" i="12"/>
  <c r="R33" i="12"/>
  <c r="R22" i="12"/>
  <c r="O22" i="12"/>
  <c r="Q22" i="12"/>
  <c r="P22" i="12"/>
  <c r="O39" i="11"/>
  <c r="Q39" i="11"/>
  <c r="P39" i="11"/>
  <c r="N39" i="11"/>
  <c r="P29" i="11"/>
  <c r="O29" i="11"/>
  <c r="N29" i="11"/>
  <c r="Q29" i="11"/>
  <c r="P23" i="11"/>
  <c r="O23" i="11"/>
  <c r="N23" i="11"/>
  <c r="Q23" i="11"/>
  <c r="P17" i="11"/>
  <c r="O17" i="11"/>
  <c r="N17" i="11"/>
  <c r="Q17" i="11"/>
  <c r="P9" i="11"/>
  <c r="O9" i="11"/>
  <c r="N9" i="11"/>
  <c r="Q9" i="11"/>
  <c r="L18" i="7"/>
  <c r="Q49" i="18"/>
  <c r="N49" i="18"/>
  <c r="P49" i="18"/>
  <c r="O49" i="18"/>
  <c r="Q19" i="18"/>
  <c r="P19" i="18"/>
  <c r="N19" i="18"/>
  <c r="O19" i="18"/>
  <c r="Q59" i="18"/>
  <c r="N59" i="18"/>
  <c r="O59" i="18"/>
  <c r="P59" i="18"/>
  <c r="Q25" i="18"/>
  <c r="N25" i="18"/>
  <c r="P25" i="18"/>
  <c r="O25" i="18"/>
  <c r="Q38" i="18"/>
  <c r="N38" i="18"/>
  <c r="P38" i="18"/>
  <c r="O38" i="18"/>
  <c r="Q34" i="18"/>
  <c r="N34" i="18"/>
  <c r="P34" i="18"/>
  <c r="O34" i="18"/>
  <c r="Q22" i="18"/>
  <c r="O22" i="18"/>
  <c r="P22" i="18"/>
  <c r="N22" i="18"/>
  <c r="Q37" i="16"/>
  <c r="P37" i="16"/>
  <c r="O37" i="16"/>
  <c r="R37" i="16"/>
  <c r="R40" i="16"/>
  <c r="Q40" i="16"/>
  <c r="P40" i="16"/>
  <c r="O40" i="16"/>
  <c r="P60" i="12"/>
  <c r="O60" i="12"/>
  <c r="R60" i="12"/>
  <c r="Q60" i="12"/>
  <c r="P52" i="12"/>
  <c r="O52" i="12"/>
  <c r="R52" i="12"/>
  <c r="Q52" i="12"/>
  <c r="O44" i="12"/>
  <c r="R44" i="12"/>
  <c r="P44" i="12"/>
  <c r="Q44" i="12"/>
  <c r="O51" i="11"/>
  <c r="Q51" i="11"/>
  <c r="P51" i="11"/>
  <c r="N51" i="11"/>
  <c r="O35" i="11"/>
  <c r="Q35" i="11"/>
  <c r="P35" i="11"/>
  <c r="N35" i="11"/>
  <c r="R31" i="12"/>
  <c r="Q31" i="12"/>
  <c r="P31" i="12"/>
  <c r="O31" i="12"/>
  <c r="Q41" i="11"/>
  <c r="N41" i="11"/>
  <c r="P41" i="11"/>
  <c r="O41" i="11"/>
  <c r="O23" i="10"/>
  <c r="N23" i="10"/>
  <c r="Q23" i="10"/>
  <c r="P23" i="10"/>
  <c r="G9" i="9"/>
  <c r="G9" i="7"/>
  <c r="P52" i="11"/>
  <c r="N52" i="11"/>
  <c r="Q52" i="11"/>
  <c r="O52" i="11"/>
  <c r="Q45" i="11"/>
  <c r="N45" i="11"/>
  <c r="P45" i="11"/>
  <c r="O45" i="11"/>
  <c r="P36" i="11"/>
  <c r="N36" i="11"/>
  <c r="Q36" i="11"/>
  <c r="O36" i="11"/>
  <c r="O48" i="10"/>
  <c r="N48" i="10"/>
  <c r="Q48" i="10"/>
  <c r="P48" i="10"/>
  <c r="D16" i="10" l="1"/>
  <c r="D24" i="10"/>
  <c r="D20" i="10"/>
  <c r="H28" i="9"/>
  <c r="H29" i="9"/>
  <c r="F27" i="9"/>
  <c r="F28" i="9"/>
  <c r="J28" i="9"/>
  <c r="J29" i="9"/>
  <c r="L30" i="9"/>
  <c r="L31" i="9"/>
  <c r="J30" i="9"/>
  <c r="H27" i="9"/>
  <c r="J27" i="9"/>
  <c r="F31" i="9"/>
  <c r="L27" i="9"/>
  <c r="O46" i="12"/>
  <c r="G46" i="12"/>
  <c r="F29" i="9"/>
  <c r="L28" i="9"/>
  <c r="J22" i="6"/>
  <c r="J25" i="6" s="1"/>
  <c r="J26" i="6" s="1"/>
  <c r="F22" i="6"/>
  <c r="F25" i="6" s="1"/>
  <c r="F26" i="6" s="1"/>
  <c r="D34" i="10"/>
  <c r="L19" i="50"/>
  <c r="D22" i="29"/>
  <c r="D11" i="10"/>
  <c r="D22" i="10"/>
  <c r="D8" i="10"/>
  <c r="D14" i="29"/>
  <c r="G43" i="50"/>
  <c r="D42" i="49" s="1"/>
  <c r="J19" i="50"/>
  <c r="D10" i="10"/>
  <c r="D65" i="10"/>
  <c r="D59" i="10"/>
  <c r="D19" i="10"/>
  <c r="D44" i="10"/>
  <c r="D49" i="10"/>
  <c r="D43" i="10"/>
  <c r="L19" i="39"/>
  <c r="D46" i="10"/>
  <c r="D66" i="10"/>
  <c r="D33" i="10"/>
  <c r="D25" i="10"/>
  <c r="G43" i="39"/>
  <c r="D17" i="38" s="1"/>
  <c r="J19" i="5"/>
  <c r="D17" i="11"/>
  <c r="G43" i="5"/>
  <c r="D56" i="52" s="1"/>
  <c r="D39" i="11"/>
  <c r="D46" i="11"/>
  <c r="D44" i="11"/>
  <c r="D13" i="11"/>
  <c r="H19" i="7"/>
  <c r="D55" i="11"/>
  <c r="D40" i="11"/>
  <c r="D31" i="11"/>
  <c r="D9" i="11"/>
  <c r="D23" i="11"/>
  <c r="D7" i="11"/>
  <c r="D50" i="11"/>
  <c r="D56" i="10"/>
  <c r="D62" i="10"/>
  <c r="D30" i="10"/>
  <c r="D48" i="10"/>
  <c r="D60" i="10"/>
  <c r="D27" i="10"/>
  <c r="D50" i="10"/>
  <c r="D12" i="10"/>
  <c r="D57" i="10"/>
  <c r="D41" i="10"/>
  <c r="D21" i="10"/>
  <c r="D67" i="10"/>
  <c r="D51" i="10"/>
  <c r="D35" i="10"/>
  <c r="D13" i="10"/>
  <c r="D28" i="10"/>
  <c r="H19" i="39"/>
  <c r="D29" i="49"/>
  <c r="D32" i="10"/>
  <c r="D54" i="10"/>
  <c r="D17" i="10"/>
  <c r="D40" i="10"/>
  <c r="D52" i="10"/>
  <c r="D14" i="10"/>
  <c r="D42" i="10"/>
  <c r="D69" i="10"/>
  <c r="D53" i="10"/>
  <c r="D37" i="10"/>
  <c r="D15" i="10"/>
  <c r="D63" i="10"/>
  <c r="D47" i="10"/>
  <c r="D31" i="10"/>
  <c r="D9" i="10"/>
  <c r="J19" i="39"/>
  <c r="H19" i="50"/>
  <c r="D6" i="10"/>
  <c r="D38" i="10"/>
  <c r="D64" i="10"/>
  <c r="D68" i="10"/>
  <c r="D36" i="10"/>
  <c r="D58" i="10"/>
  <c r="D23" i="10"/>
  <c r="D61" i="10"/>
  <c r="D45" i="10"/>
  <c r="D29" i="10"/>
  <c r="D7" i="10"/>
  <c r="D55" i="10"/>
  <c r="D39" i="10"/>
  <c r="D18" i="10"/>
  <c r="D26" i="10"/>
  <c r="D35" i="49"/>
  <c r="D26" i="49"/>
  <c r="D57" i="11"/>
  <c r="D60" i="11"/>
  <c r="D28" i="11"/>
  <c r="D14" i="11"/>
  <c r="D10" i="11"/>
  <c r="D34" i="11"/>
  <c r="D37" i="11"/>
  <c r="D21" i="11"/>
  <c r="H19" i="41"/>
  <c r="J19" i="7"/>
  <c r="F19" i="7"/>
  <c r="D49" i="11"/>
  <c r="D56" i="11"/>
  <c r="D22" i="11"/>
  <c r="D59" i="11"/>
  <c r="D62" i="11"/>
  <c r="D30" i="11"/>
  <c r="D29" i="11"/>
  <c r="D24" i="11"/>
  <c r="L19" i="41"/>
  <c r="L19" i="7"/>
  <c r="L19" i="5"/>
  <c r="F19" i="5"/>
  <c r="D63" i="11"/>
  <c r="D41" i="11"/>
  <c r="D8" i="11"/>
  <c r="D52" i="11"/>
  <c r="D36" i="11"/>
  <c r="D15" i="11"/>
  <c r="D47" i="11"/>
  <c r="D51" i="11"/>
  <c r="D27" i="11"/>
  <c r="D58" i="11"/>
  <c r="D42" i="11"/>
  <c r="D25" i="11"/>
  <c r="D53" i="11"/>
  <c r="D12" i="11"/>
  <c r="D26" i="11"/>
  <c r="G43" i="41"/>
  <c r="D19" i="40" s="1"/>
  <c r="D61" i="11"/>
  <c r="D33" i="11"/>
  <c r="D6" i="11"/>
  <c r="D48" i="11"/>
  <c r="D32" i="11"/>
  <c r="D11" i="11"/>
  <c r="D35" i="11"/>
  <c r="D43" i="11"/>
  <c r="D20" i="11"/>
  <c r="D54" i="11"/>
  <c r="D38" i="11"/>
  <c r="D19" i="11"/>
  <c r="D45" i="11"/>
  <c r="H19" i="6"/>
  <c r="D18" i="11"/>
  <c r="J19" i="41"/>
  <c r="L19" i="34"/>
  <c r="J19" i="9"/>
  <c r="D17" i="30"/>
  <c r="L22" i="5"/>
  <c r="L39" i="5" s="1"/>
  <c r="F22" i="5"/>
  <c r="F36" i="5" s="1"/>
  <c r="D38" i="30"/>
  <c r="D54" i="30"/>
  <c r="J22" i="5"/>
  <c r="J36" i="5" s="1"/>
  <c r="D6" i="30"/>
  <c r="D53" i="30"/>
  <c r="H22" i="5"/>
  <c r="H39" i="5" s="1"/>
  <c r="D25" i="30"/>
  <c r="D57" i="49"/>
  <c r="F19" i="9"/>
  <c r="D29" i="30"/>
  <c r="D31" i="30"/>
  <c r="D20" i="30"/>
  <c r="D13" i="30"/>
  <c r="D60" i="30"/>
  <c r="D49" i="30"/>
  <c r="J19" i="36"/>
  <c r="G43" i="9"/>
  <c r="D16" i="16" s="1"/>
  <c r="L19" i="9"/>
  <c r="D44" i="30"/>
  <c r="D37" i="30"/>
  <c r="D28" i="30"/>
  <c r="D19" i="30"/>
  <c r="D14" i="30"/>
  <c r="D58" i="30"/>
  <c r="D55" i="30"/>
  <c r="D18" i="30"/>
  <c r="H19" i="36"/>
  <c r="D24" i="30"/>
  <c r="G43" i="53"/>
  <c r="H19" i="53"/>
  <c r="F19" i="53"/>
  <c r="L19" i="53"/>
  <c r="J19" i="53"/>
  <c r="D22" i="30"/>
  <c r="D45" i="30"/>
  <c r="D40" i="30"/>
  <c r="D12" i="30"/>
  <c r="D39" i="30"/>
  <c r="D50" i="30"/>
  <c r="D51" i="30"/>
  <c r="G43" i="36"/>
  <c r="D21" i="30"/>
  <c r="F19" i="34"/>
  <c r="J19" i="6"/>
  <c r="L19" i="6"/>
  <c r="G43" i="6"/>
  <c r="D16" i="12" s="1"/>
  <c r="D6" i="29"/>
  <c r="J19" i="46"/>
  <c r="D8" i="29"/>
  <c r="D33" i="49"/>
  <c r="D11" i="29"/>
  <c r="D18" i="29"/>
  <c r="D21" i="29"/>
  <c r="D24" i="29"/>
  <c r="D7" i="29"/>
  <c r="D10" i="29"/>
  <c r="F19" i="46"/>
  <c r="D15" i="30"/>
  <c r="D42" i="30"/>
  <c r="D8" i="30"/>
  <c r="D30" i="30"/>
  <c r="D7" i="30"/>
  <c r="D9" i="30"/>
  <c r="D46" i="30"/>
  <c r="D33" i="30"/>
  <c r="D10" i="30"/>
  <c r="D56" i="30"/>
  <c r="D52" i="30"/>
  <c r="D61" i="30"/>
  <c r="D63" i="30"/>
  <c r="D47" i="30"/>
  <c r="D26" i="30"/>
  <c r="L19" i="36"/>
  <c r="H19" i="34"/>
  <c r="D13" i="29"/>
  <c r="D17" i="29"/>
  <c r="D20" i="29"/>
  <c r="D23" i="29"/>
  <c r="L19" i="46"/>
  <c r="D36" i="30"/>
  <c r="D43" i="30"/>
  <c r="D23" i="30"/>
  <c r="D27" i="30"/>
  <c r="D11" i="30"/>
  <c r="D34" i="30"/>
  <c r="D32" i="30"/>
  <c r="D41" i="30"/>
  <c r="D35" i="30"/>
  <c r="D62" i="30"/>
  <c r="D48" i="30"/>
  <c r="D57" i="30"/>
  <c r="D59" i="30"/>
  <c r="J19" i="34"/>
  <c r="D9" i="29"/>
  <c r="D12" i="29"/>
  <c r="D15" i="29"/>
  <c r="D19" i="29"/>
  <c r="H19" i="46"/>
  <c r="D37" i="49"/>
  <c r="D25" i="38"/>
  <c r="D57" i="38"/>
  <c r="D10" i="38"/>
  <c r="D42" i="38"/>
  <c r="D6" i="38"/>
  <c r="D35" i="38"/>
  <c r="D8" i="38"/>
  <c r="D15" i="40"/>
  <c r="D62" i="40"/>
  <c r="D56" i="40"/>
  <c r="D22" i="40"/>
  <c r="F39" i="2"/>
  <c r="F38" i="2"/>
  <c r="F25" i="2"/>
  <c r="F26" i="2" s="1"/>
  <c r="F38" i="5"/>
  <c r="L38" i="5"/>
  <c r="H38" i="5"/>
  <c r="H36" i="5"/>
  <c r="H25" i="5"/>
  <c r="H26" i="5" s="1"/>
  <c r="H29" i="5" s="1"/>
  <c r="H31" i="6"/>
  <c r="H30" i="6"/>
  <c r="H29" i="6"/>
  <c r="H28" i="6"/>
  <c r="H27" i="6"/>
  <c r="D15" i="18"/>
  <c r="D28" i="18"/>
  <c r="D37" i="18"/>
  <c r="D50" i="18"/>
  <c r="J39" i="6"/>
  <c r="J36" i="6"/>
  <c r="J38" i="6"/>
  <c r="H38" i="6"/>
  <c r="H36" i="6"/>
  <c r="H39" i="6"/>
  <c r="F39" i="6"/>
  <c r="F36" i="6"/>
  <c r="F38" i="6"/>
  <c r="P46" i="12"/>
  <c r="R46" i="16"/>
  <c r="O46" i="16"/>
  <c r="P46" i="16"/>
  <c r="P46" i="11"/>
  <c r="Q46" i="12"/>
  <c r="R46" i="12"/>
  <c r="O7" i="11"/>
  <c r="P7" i="11"/>
  <c r="P46" i="18"/>
  <c r="O46" i="18"/>
  <c r="N46" i="18"/>
  <c r="N46" i="11"/>
  <c r="O46" i="11"/>
  <c r="N7" i="11"/>
  <c r="D40" i="38" l="1"/>
  <c r="D55" i="38"/>
  <c r="D23" i="38"/>
  <c r="D30" i="38"/>
  <c r="D13" i="38"/>
  <c r="D57" i="40"/>
  <c r="D34" i="40"/>
  <c r="D52" i="38"/>
  <c r="D51" i="38"/>
  <c r="D19" i="38"/>
  <c r="D58" i="38"/>
  <c r="D26" i="38"/>
  <c r="D32" i="38"/>
  <c r="D41" i="38"/>
  <c r="D9" i="38"/>
  <c r="D30" i="52"/>
  <c r="D60" i="38"/>
  <c r="D62" i="38"/>
  <c r="D45" i="38"/>
  <c r="D63" i="12"/>
  <c r="D54" i="40"/>
  <c r="D27" i="40"/>
  <c r="D20" i="38"/>
  <c r="D39" i="38"/>
  <c r="D7" i="38"/>
  <c r="D46" i="38"/>
  <c r="D14" i="38"/>
  <c r="D61" i="38"/>
  <c r="D29" i="38"/>
  <c r="D39" i="52"/>
  <c r="D44" i="38"/>
  <c r="D63" i="38"/>
  <c r="D47" i="38"/>
  <c r="D31" i="38"/>
  <c r="D15" i="38"/>
  <c r="D36" i="38"/>
  <c r="D54" i="38"/>
  <c r="D38" i="38"/>
  <c r="D22" i="38"/>
  <c r="D56" i="38"/>
  <c r="D24" i="38"/>
  <c r="D53" i="38"/>
  <c r="D37" i="38"/>
  <c r="D21" i="38"/>
  <c r="D28" i="38"/>
  <c r="D59" i="38"/>
  <c r="D43" i="38"/>
  <c r="D27" i="38"/>
  <c r="D11" i="38"/>
  <c r="D16" i="38"/>
  <c r="D50" i="38"/>
  <c r="D34" i="38"/>
  <c r="D18" i="38"/>
  <c r="D48" i="38"/>
  <c r="D12" i="38"/>
  <c r="D49" i="38"/>
  <c r="D33" i="38"/>
  <c r="D21" i="52"/>
  <c r="D47" i="52"/>
  <c r="D65" i="49"/>
  <c r="D51" i="49"/>
  <c r="D52" i="49"/>
  <c r="D24" i="49"/>
  <c r="D20" i="49"/>
  <c r="D16" i="35"/>
  <c r="D52" i="35"/>
  <c r="D51" i="35"/>
  <c r="D24" i="35"/>
  <c r="D20" i="35"/>
  <c r="J38" i="5"/>
  <c r="J30" i="6"/>
  <c r="J29" i="6"/>
  <c r="J27" i="6"/>
  <c r="J28" i="6"/>
  <c r="J31" i="6"/>
  <c r="D18" i="18"/>
  <c r="D34" i="18"/>
  <c r="D8" i="18"/>
  <c r="D28" i="52"/>
  <c r="D42" i="52"/>
  <c r="D58" i="52"/>
  <c r="D16" i="18"/>
  <c r="D14" i="18"/>
  <c r="D60" i="18"/>
  <c r="D51" i="18"/>
  <c r="L25" i="5"/>
  <c r="L26" i="5" s="1"/>
  <c r="L31" i="5" s="1"/>
  <c r="L36" i="5"/>
  <c r="J39" i="5"/>
  <c r="D37" i="40"/>
  <c r="D36" i="40"/>
  <c r="D59" i="40"/>
  <c r="D12" i="52"/>
  <c r="D63" i="52"/>
  <c r="D45" i="52"/>
  <c r="D44" i="49"/>
  <c r="D23" i="49"/>
  <c r="D53" i="49"/>
  <c r="F25" i="5"/>
  <c r="F26" i="5" s="1"/>
  <c r="F28" i="5" s="1"/>
  <c r="D53" i="18"/>
  <c r="D44" i="18"/>
  <c r="D35" i="18"/>
  <c r="D24" i="18"/>
  <c r="J25" i="5"/>
  <c r="J26" i="5" s="1"/>
  <c r="D25" i="40"/>
  <c r="D24" i="40"/>
  <c r="D47" i="40"/>
  <c r="D61" i="52"/>
  <c r="D57" i="52"/>
  <c r="D33" i="52"/>
  <c r="D52" i="52"/>
  <c r="D6" i="49"/>
  <c r="D54" i="49"/>
  <c r="F31" i="6"/>
  <c r="F27" i="6"/>
  <c r="F30" i="6"/>
  <c r="F28" i="6"/>
  <c r="F29" i="6"/>
  <c r="D40" i="49"/>
  <c r="D17" i="49"/>
  <c r="D10" i="18"/>
  <c r="D63" i="18"/>
  <c r="D9" i="52"/>
  <c r="D43" i="52"/>
  <c r="D36" i="52"/>
  <c r="D46" i="52"/>
  <c r="D13" i="52"/>
  <c r="D16" i="52"/>
  <c r="D15" i="52"/>
  <c r="D27" i="52"/>
  <c r="D10" i="52"/>
  <c r="D35" i="52"/>
  <c r="D31" i="52"/>
  <c r="D53" i="52"/>
  <c r="D48" i="52"/>
  <c r="D11" i="49"/>
  <c r="D16" i="49"/>
  <c r="D66" i="49"/>
  <c r="D28" i="49"/>
  <c r="D41" i="49"/>
  <c r="D46" i="49"/>
  <c r="D61" i="49"/>
  <c r="D12" i="49"/>
  <c r="D27" i="49"/>
  <c r="D59" i="49"/>
  <c r="D64" i="49"/>
  <c r="D36" i="49"/>
  <c r="D62" i="49"/>
  <c r="D46" i="18"/>
  <c r="D33" i="18"/>
  <c r="D40" i="18"/>
  <c r="D31" i="18"/>
  <c r="D59" i="52"/>
  <c r="D58" i="18"/>
  <c r="D42" i="18"/>
  <c r="D25" i="18"/>
  <c r="D61" i="18"/>
  <c r="D45" i="18"/>
  <c r="D29" i="18"/>
  <c r="D9" i="18"/>
  <c r="D52" i="18"/>
  <c r="D36" i="18"/>
  <c r="D17" i="18"/>
  <c r="D59" i="18"/>
  <c r="D43" i="18"/>
  <c r="D27" i="18"/>
  <c r="D7" i="18"/>
  <c r="D26" i="18"/>
  <c r="D25" i="49"/>
  <c r="D32" i="52"/>
  <c r="D29" i="52"/>
  <c r="D18" i="52"/>
  <c r="D25" i="52"/>
  <c r="D38" i="52"/>
  <c r="D40" i="52"/>
  <c r="D22" i="52"/>
  <c r="D8" i="52"/>
  <c r="D34" i="52"/>
  <c r="D6" i="52"/>
  <c r="D19" i="52"/>
  <c r="D44" i="52"/>
  <c r="D60" i="52"/>
  <c r="D20" i="52"/>
  <c r="D49" i="52"/>
  <c r="D49" i="49"/>
  <c r="D34" i="49"/>
  <c r="D22" i="49"/>
  <c r="D63" i="49"/>
  <c r="D18" i="49"/>
  <c r="D48" i="49"/>
  <c r="D38" i="49"/>
  <c r="D47" i="49"/>
  <c r="D32" i="49"/>
  <c r="D9" i="49"/>
  <c r="D45" i="49"/>
  <c r="D30" i="49"/>
  <c r="D62" i="18"/>
  <c r="D30" i="18"/>
  <c r="D49" i="18"/>
  <c r="D13" i="18"/>
  <c r="D56" i="18"/>
  <c r="D22" i="18"/>
  <c r="D47" i="18"/>
  <c r="D11" i="18"/>
  <c r="D18" i="12"/>
  <c r="D21" i="18"/>
  <c r="D7" i="49"/>
  <c r="D54" i="18"/>
  <c r="D38" i="18"/>
  <c r="D19" i="18"/>
  <c r="D57" i="18"/>
  <c r="D41" i="18"/>
  <c r="D23" i="18"/>
  <c r="D6" i="18"/>
  <c r="D48" i="18"/>
  <c r="D32" i="18"/>
  <c r="D12" i="18"/>
  <c r="D55" i="18"/>
  <c r="D39" i="18"/>
  <c r="D20" i="18"/>
  <c r="D40" i="12"/>
  <c r="F39" i="5"/>
  <c r="D15" i="49"/>
  <c r="D14" i="52"/>
  <c r="D37" i="52"/>
  <c r="D11" i="52"/>
  <c r="D54" i="52"/>
  <c r="D23" i="52"/>
  <c r="D24" i="52"/>
  <c r="D7" i="52"/>
  <c r="D62" i="52"/>
  <c r="D26" i="52"/>
  <c r="D17" i="52"/>
  <c r="D55" i="52"/>
  <c r="D50" i="52"/>
  <c r="D51" i="52"/>
  <c r="D41" i="52"/>
  <c r="D67" i="49"/>
  <c r="D50" i="49"/>
  <c r="D39" i="49"/>
  <c r="D58" i="49"/>
  <c r="D13" i="49"/>
  <c r="D55" i="49"/>
  <c r="D60" i="49"/>
  <c r="D10" i="49"/>
  <c r="D21" i="49"/>
  <c r="D31" i="49"/>
  <c r="D14" i="49"/>
  <c r="D8" i="49"/>
  <c r="D43" i="49"/>
  <c r="D19" i="49"/>
  <c r="D56" i="49"/>
  <c r="D44" i="35"/>
  <c r="D33" i="16"/>
  <c r="D51" i="16"/>
  <c r="D11" i="2"/>
  <c r="D14" i="2" s="1"/>
  <c r="D64" i="16"/>
  <c r="D57" i="35"/>
  <c r="D42" i="16"/>
  <c r="D41" i="35"/>
  <c r="D10" i="12"/>
  <c r="D43" i="40"/>
  <c r="D15" i="12"/>
  <c r="D58" i="40"/>
  <c r="D53" i="40"/>
  <c r="D21" i="40"/>
  <c r="D52" i="40"/>
  <c r="D20" i="40"/>
  <c r="D26" i="40"/>
  <c r="D11" i="40"/>
  <c r="D19" i="12"/>
  <c r="D53" i="12"/>
  <c r="D30" i="40"/>
  <c r="D41" i="40"/>
  <c r="D9" i="40"/>
  <c r="D40" i="40"/>
  <c r="D8" i="40"/>
  <c r="D63" i="40"/>
  <c r="D31" i="40"/>
  <c r="D13" i="16"/>
  <c r="D28" i="35"/>
  <c r="D35" i="16"/>
  <c r="D64" i="35"/>
  <c r="D32" i="16"/>
  <c r="D15" i="16"/>
  <c r="D6" i="16"/>
  <c r="D30" i="35"/>
  <c r="D6" i="35"/>
  <c r="D7" i="35"/>
  <c r="D26" i="16"/>
  <c r="D48" i="16"/>
  <c r="D25" i="16"/>
  <c r="D23" i="35"/>
  <c r="D19" i="35"/>
  <c r="D8" i="16"/>
  <c r="D58" i="16"/>
  <c r="D49" i="16"/>
  <c r="D59" i="35"/>
  <c r="D62" i="35"/>
  <c r="D25" i="35"/>
  <c r="D62" i="12"/>
  <c r="D42" i="12"/>
  <c r="D47" i="12"/>
  <c r="D37" i="12"/>
  <c r="D46" i="40"/>
  <c r="D10" i="40"/>
  <c r="D49" i="40"/>
  <c r="D33" i="40"/>
  <c r="D17" i="40"/>
  <c r="D6" i="40"/>
  <c r="D48" i="40"/>
  <c r="D32" i="40"/>
  <c r="D16" i="40"/>
  <c r="D50" i="40"/>
  <c r="D18" i="40"/>
  <c r="D55" i="40"/>
  <c r="D39" i="40"/>
  <c r="D23" i="40"/>
  <c r="D7" i="40"/>
  <c r="D11" i="7"/>
  <c r="D16" i="7" s="1"/>
  <c r="D52" i="12"/>
  <c r="D46" i="12"/>
  <c r="D31" i="12"/>
  <c r="D17" i="12"/>
  <c r="D38" i="40"/>
  <c r="D61" i="40"/>
  <c r="D45" i="40"/>
  <c r="D29" i="40"/>
  <c r="D13" i="40"/>
  <c r="D60" i="40"/>
  <c r="D44" i="40"/>
  <c r="D28" i="40"/>
  <c r="D12" i="40"/>
  <c r="D42" i="40"/>
  <c r="D14" i="40"/>
  <c r="D51" i="40"/>
  <c r="D35" i="40"/>
  <c r="D11" i="46"/>
  <c r="D21" i="46" s="1"/>
  <c r="D22" i="46" s="1"/>
  <c r="D39" i="46" s="1"/>
  <c r="D11" i="34"/>
  <c r="D14" i="34" s="1"/>
  <c r="D39" i="35"/>
  <c r="D38" i="12"/>
  <c r="D44" i="12"/>
  <c r="D7" i="12"/>
  <c r="D6" i="12"/>
  <c r="D34" i="12"/>
  <c r="D64" i="12"/>
  <c r="D32" i="12"/>
  <c r="D59" i="12"/>
  <c r="D43" i="12"/>
  <c r="D27" i="12"/>
  <c r="D65" i="12"/>
  <c r="D49" i="12"/>
  <c r="D33" i="12"/>
  <c r="D12" i="12"/>
  <c r="D26" i="12"/>
  <c r="D21" i="12"/>
  <c r="D9" i="12"/>
  <c r="D36" i="12"/>
  <c r="D54" i="12"/>
  <c r="D58" i="12"/>
  <c r="D25" i="12"/>
  <c r="D56" i="12"/>
  <c r="D22" i="12"/>
  <c r="D55" i="12"/>
  <c r="D39" i="12"/>
  <c r="D20" i="12"/>
  <c r="D61" i="12"/>
  <c r="D45" i="12"/>
  <c r="D29" i="12"/>
  <c r="D8" i="12"/>
  <c r="D24" i="12"/>
  <c r="D60" i="12"/>
  <c r="D28" i="12"/>
  <c r="D30" i="12"/>
  <c r="D50" i="12"/>
  <c r="D13" i="12"/>
  <c r="D48" i="12"/>
  <c r="D11" i="12"/>
  <c r="D51" i="12"/>
  <c r="D35" i="12"/>
  <c r="D14" i="12"/>
  <c r="D57" i="12"/>
  <c r="D41" i="12"/>
  <c r="D23" i="12"/>
  <c r="D60" i="16"/>
  <c r="D44" i="16"/>
  <c r="D28" i="16"/>
  <c r="D63" i="16"/>
  <c r="D47" i="16"/>
  <c r="D31" i="16"/>
  <c r="D11" i="16"/>
  <c r="D54" i="16"/>
  <c r="D38" i="16"/>
  <c r="D19" i="16"/>
  <c r="D61" i="16"/>
  <c r="D45" i="16"/>
  <c r="D29" i="16"/>
  <c r="D9" i="16"/>
  <c r="D56" i="35"/>
  <c r="D9" i="35"/>
  <c r="D55" i="35"/>
  <c r="D37" i="35"/>
  <c r="D17" i="35"/>
  <c r="D50" i="35"/>
  <c r="D58" i="35"/>
  <c r="D40" i="35"/>
  <c r="D21" i="35"/>
  <c r="D60" i="35"/>
  <c r="D13" i="35"/>
  <c r="D53" i="35"/>
  <c r="D35" i="35"/>
  <c r="D14" i="35"/>
  <c r="D22" i="16"/>
  <c r="D26" i="35"/>
  <c r="D56" i="16"/>
  <c r="D40" i="16"/>
  <c r="D17" i="16"/>
  <c r="D59" i="16"/>
  <c r="D43" i="16"/>
  <c r="D27" i="16"/>
  <c r="D7" i="16"/>
  <c r="D50" i="16"/>
  <c r="D34" i="16"/>
  <c r="D14" i="16"/>
  <c r="D57" i="16"/>
  <c r="D41" i="16"/>
  <c r="D23" i="16"/>
  <c r="D46" i="35"/>
  <c r="D67" i="35"/>
  <c r="D49" i="35"/>
  <c r="D33" i="35"/>
  <c r="D12" i="35"/>
  <c r="D18" i="35"/>
  <c r="D54" i="35"/>
  <c r="D36" i="35"/>
  <c r="D15" i="35"/>
  <c r="D42" i="35"/>
  <c r="D65" i="35"/>
  <c r="D47" i="35"/>
  <c r="D31" i="35"/>
  <c r="D10" i="35"/>
  <c r="D21" i="16"/>
  <c r="D22" i="35"/>
  <c r="D52" i="16"/>
  <c r="D36" i="16"/>
  <c r="D12" i="16"/>
  <c r="D55" i="16"/>
  <c r="D39" i="16"/>
  <c r="D20" i="16"/>
  <c r="D62" i="16"/>
  <c r="D46" i="16"/>
  <c r="D30" i="16"/>
  <c r="D10" i="16"/>
  <c r="D53" i="16"/>
  <c r="D37" i="16"/>
  <c r="D18" i="16"/>
  <c r="D38" i="35"/>
  <c r="D63" i="35"/>
  <c r="D45" i="35"/>
  <c r="D29" i="35"/>
  <c r="D8" i="35"/>
  <c r="D66" i="35"/>
  <c r="D48" i="35"/>
  <c r="D32" i="35"/>
  <c r="D11" i="35"/>
  <c r="D34" i="35"/>
  <c r="D61" i="35"/>
  <c r="D43" i="35"/>
  <c r="D27" i="35"/>
  <c r="D24" i="16"/>
  <c r="J28" i="5"/>
  <c r="D11" i="39"/>
  <c r="D16" i="39" s="1"/>
  <c r="J30" i="5"/>
  <c r="F30" i="2"/>
  <c r="F27" i="2"/>
  <c r="F31" i="2"/>
  <c r="F28" i="2"/>
  <c r="F29" i="2"/>
  <c r="J27" i="5"/>
  <c r="H27" i="5"/>
  <c r="L27" i="5"/>
  <c r="H28" i="5"/>
  <c r="H30" i="5"/>
  <c r="H31" i="5"/>
  <c r="D11" i="50" l="1"/>
  <c r="D11" i="53"/>
  <c r="D21" i="53" s="1"/>
  <c r="D22" i="53" s="1"/>
  <c r="D11" i="5"/>
  <c r="D16" i="5" s="1"/>
  <c r="D17" i="46"/>
  <c r="D19" i="46" s="1"/>
  <c r="L30" i="5"/>
  <c r="F27" i="5"/>
  <c r="L29" i="5"/>
  <c r="F30" i="5"/>
  <c r="F31" i="5"/>
  <c r="L28" i="5"/>
  <c r="F29" i="5"/>
  <c r="J31" i="5"/>
  <c r="J29" i="5"/>
  <c r="D16" i="50"/>
  <c r="D14" i="50"/>
  <c r="D17" i="2"/>
  <c r="D18" i="2" s="1"/>
  <c r="D10" i="2"/>
  <c r="E9" i="2" s="1"/>
  <c r="D16" i="2"/>
  <c r="D21" i="2"/>
  <c r="D22" i="2" s="1"/>
  <c r="D39" i="2" s="1"/>
  <c r="D16" i="46"/>
  <c r="D14" i="46"/>
  <c r="D25" i="46"/>
  <c r="D26" i="46" s="1"/>
  <c r="D27" i="46" s="1"/>
  <c r="D10" i="46"/>
  <c r="E9" i="46" s="1"/>
  <c r="D10" i="34"/>
  <c r="E9" i="34" s="1"/>
  <c r="D17" i="34"/>
  <c r="D18" i="34" s="1"/>
  <c r="D16" i="34"/>
  <c r="D21" i="34"/>
  <c r="D22" i="34" s="1"/>
  <c r="D11" i="41"/>
  <c r="D16" i="41" s="1"/>
  <c r="D10" i="7"/>
  <c r="E9" i="7" s="1"/>
  <c r="D21" i="7"/>
  <c r="D22" i="7" s="1"/>
  <c r="D14" i="7"/>
  <c r="D17" i="7"/>
  <c r="D37" i="7" s="1"/>
  <c r="D10" i="50"/>
  <c r="E9" i="50" s="1"/>
  <c r="D17" i="50" s="1"/>
  <c r="D18" i="50" s="1"/>
  <c r="D21" i="50"/>
  <c r="D22" i="50" s="1"/>
  <c r="D39" i="50" s="1"/>
  <c r="D17" i="53"/>
  <c r="D18" i="53" s="1"/>
  <c r="D14" i="39"/>
  <c r="D14" i="53"/>
  <c r="D11" i="9"/>
  <c r="D16" i="53"/>
  <c r="D21" i="39"/>
  <c r="D22" i="39" s="1"/>
  <c r="D25" i="39" s="1"/>
  <c r="D26" i="39" s="1"/>
  <c r="D10" i="53"/>
  <c r="E9" i="53" s="1"/>
  <c r="D11" i="36"/>
  <c r="D14" i="36" s="1"/>
  <c r="D11" i="6"/>
  <c r="D10" i="39"/>
  <c r="E9" i="39" s="1"/>
  <c r="D17" i="39" s="1"/>
  <c r="D19" i="39" s="1"/>
  <c r="D39" i="53"/>
  <c r="D25" i="53"/>
  <c r="D26" i="53" s="1"/>
  <c r="D31" i="46"/>
  <c r="D28" i="46"/>
  <c r="D21" i="5"/>
  <c r="D22" i="5" s="1"/>
  <c r="D10" i="5"/>
  <c r="E9" i="5" s="1"/>
  <c r="D14" i="5" l="1"/>
  <c r="D18" i="46"/>
  <c r="D17" i="5"/>
  <c r="D19" i="2"/>
  <c r="D37" i="46"/>
  <c r="D38" i="46" s="1"/>
  <c r="D30" i="46"/>
  <c r="D29" i="46"/>
  <c r="D37" i="2"/>
  <c r="D10" i="6"/>
  <c r="E9" i="6" s="1"/>
  <c r="D14" i="6"/>
  <c r="D21" i="9"/>
  <c r="D22" i="9" s="1"/>
  <c r="D14" i="9"/>
  <c r="D19" i="34"/>
  <c r="D37" i="34"/>
  <c r="D38" i="34" s="1"/>
  <c r="D10" i="36"/>
  <c r="E9" i="36" s="1"/>
  <c r="D17" i="36" s="1"/>
  <c r="D18" i="36" s="1"/>
  <c r="D16" i="36"/>
  <c r="D25" i="50"/>
  <c r="D26" i="50" s="1"/>
  <c r="D30" i="50" s="1"/>
  <c r="D25" i="2"/>
  <c r="D26" i="2" s="1"/>
  <c r="D29" i="2" s="1"/>
  <c r="D36" i="2"/>
  <c r="D38" i="2"/>
  <c r="D21" i="41"/>
  <c r="D22" i="41" s="1"/>
  <c r="D25" i="41" s="1"/>
  <c r="D26" i="41" s="1"/>
  <c r="D27" i="41" s="1"/>
  <c r="D14" i="41"/>
  <c r="D16" i="9"/>
  <c r="D36" i="46"/>
  <c r="D19" i="7"/>
  <c r="D18" i="7"/>
  <c r="D10" i="41"/>
  <c r="E9" i="41" s="1"/>
  <c r="D17" i="41" s="1"/>
  <c r="D18" i="41" s="1"/>
  <c r="D37" i="53"/>
  <c r="D38" i="53" s="1"/>
  <c r="D10" i="9"/>
  <c r="E9" i="9" s="1"/>
  <c r="D19" i="53"/>
  <c r="D19" i="50"/>
  <c r="D36" i="50"/>
  <c r="D37" i="50"/>
  <c r="D38" i="50" s="1"/>
  <c r="D17" i="9"/>
  <c r="D37" i="9" s="1"/>
  <c r="D39" i="39"/>
  <c r="D36" i="53"/>
  <c r="D37" i="39"/>
  <c r="D38" i="39" s="1"/>
  <c r="D21" i="36"/>
  <c r="D22" i="36" s="1"/>
  <c r="D25" i="36" s="1"/>
  <c r="D26" i="36" s="1"/>
  <c r="D18" i="39"/>
  <c r="D21" i="6"/>
  <c r="D22" i="6" s="1"/>
  <c r="D16" i="6"/>
  <c r="D17" i="6"/>
  <c r="D19" i="6" s="1"/>
  <c r="D36" i="39"/>
  <c r="D30" i="53"/>
  <c r="D29" i="53"/>
  <c r="D28" i="53"/>
  <c r="D27" i="53"/>
  <c r="D31" i="53"/>
  <c r="D29" i="39"/>
  <c r="D28" i="39"/>
  <c r="D27" i="39"/>
  <c r="D30" i="39"/>
  <c r="D31" i="39"/>
  <c r="D25" i="34"/>
  <c r="D26" i="34" s="1"/>
  <c r="D25" i="7"/>
  <c r="D26" i="7" s="1"/>
  <c r="D37" i="5"/>
  <c r="D18" i="5"/>
  <c r="D19" i="5"/>
  <c r="D39" i="34"/>
  <c r="D36" i="34"/>
  <c r="D39" i="7"/>
  <c r="D36" i="7"/>
  <c r="D38" i="7"/>
  <c r="D28" i="2" l="1"/>
  <c r="D29" i="50"/>
  <c r="D28" i="50"/>
  <c r="D19" i="36"/>
  <c r="D27" i="50"/>
  <c r="D31" i="50"/>
  <c r="D37" i="36"/>
  <c r="D38" i="36" s="1"/>
  <c r="D27" i="2"/>
  <c r="D31" i="2"/>
  <c r="D30" i="2"/>
  <c r="D19" i="9"/>
  <c r="D31" i="41"/>
  <c r="D28" i="41"/>
  <c r="D39" i="41"/>
  <c r="D18" i="9"/>
  <c r="D30" i="41"/>
  <c r="D29" i="41"/>
  <c r="D19" i="41"/>
  <c r="D36" i="41"/>
  <c r="D37" i="41"/>
  <c r="D38" i="41" s="1"/>
  <c r="D18" i="6"/>
  <c r="D37" i="6"/>
  <c r="D38" i="6" s="1"/>
  <c r="D39" i="36"/>
  <c r="D31" i="36"/>
  <c r="D29" i="36"/>
  <c r="D27" i="36"/>
  <c r="D30" i="36"/>
  <c r="D28" i="36"/>
  <c r="D36" i="36"/>
  <c r="D28" i="7"/>
  <c r="D31" i="7"/>
  <c r="D27" i="7"/>
  <c r="D30" i="7"/>
  <c r="D29" i="7"/>
  <c r="D30" i="34"/>
  <c r="D29" i="34"/>
  <c r="D28" i="34"/>
  <c r="D31" i="34"/>
  <c r="D27" i="34"/>
  <c r="D25" i="9"/>
  <c r="D26" i="9" s="1"/>
  <c r="D25" i="5"/>
  <c r="D26" i="5" s="1"/>
  <c r="D25" i="6"/>
  <c r="D26" i="6" s="1"/>
  <c r="D38" i="9"/>
  <c r="D39" i="9"/>
  <c r="D36" i="9"/>
  <c r="D39" i="5"/>
  <c r="D38" i="5"/>
  <c r="D36" i="5"/>
  <c r="D39" i="6"/>
  <c r="D36" i="6"/>
  <c r="D29" i="5" l="1"/>
  <c r="D28" i="5"/>
  <c r="D31" i="5"/>
  <c r="D27" i="5"/>
  <c r="D30" i="5"/>
  <c r="D30" i="9"/>
  <c r="D29" i="9"/>
  <c r="D28" i="9"/>
  <c r="D31" i="9"/>
  <c r="D27" i="9"/>
  <c r="D31" i="6"/>
  <c r="D27" i="6"/>
  <c r="D30" i="6"/>
  <c r="D29" i="6"/>
  <c r="D28" i="6"/>
</calcChain>
</file>

<file path=xl/sharedStrings.xml><?xml version="1.0" encoding="utf-8"?>
<sst xmlns="http://schemas.openxmlformats.org/spreadsheetml/2006/main" count="2046" uniqueCount="307">
  <si>
    <t>HISTÓRICO DE CONSUMO</t>
  </si>
  <si>
    <t>Padrão</t>
  </si>
  <si>
    <t>Trifásico</t>
  </si>
  <si>
    <t>Mês/Ano</t>
  </si>
  <si>
    <t>Consumo Faturado</t>
  </si>
  <si>
    <t>Tipos de Padrão</t>
  </si>
  <si>
    <t>Monofásico</t>
  </si>
  <si>
    <t>Bifásico</t>
  </si>
  <si>
    <t>Consumo Médio</t>
  </si>
  <si>
    <t>Energia Compensável</t>
  </si>
  <si>
    <t>Taxa Mínima</t>
  </si>
  <si>
    <t>Versão: Maio/2020</t>
  </si>
  <si>
    <t>PLANILHA CONSOLIDADA DE ESPECIFICAÇÕES E PREÇOS</t>
  </si>
  <si>
    <r>
      <t xml:space="preserve">OPÇÃO GERE FÁCIL – </t>
    </r>
    <r>
      <rPr>
        <b/>
        <sz val="16"/>
        <color rgb="FFFF0000"/>
        <rFont val="Calibri"/>
        <family val="2"/>
      </rPr>
      <t>FRONIUS-BYD</t>
    </r>
  </si>
  <si>
    <t>ESPECIFICAÇÕES TÉCNICAS</t>
  </si>
  <si>
    <t>OPÇÕES/MODELO DE GERADOR SOLAR</t>
  </si>
  <si>
    <t>SFCR-BVK</t>
  </si>
  <si>
    <t>Potência de Pico (KWp)</t>
  </si>
  <si>
    <t xml:space="preserve">Número de placas </t>
  </si>
  <si>
    <t>Marca do módulo fotovoltaico</t>
  </si>
  <si>
    <t>BYD HALF CELL</t>
  </si>
  <si>
    <t>Potência de Pico da placa (Wp)</t>
  </si>
  <si>
    <t>Inversor FRONIUS</t>
  </si>
  <si>
    <t>Inversor 2</t>
  </si>
  <si>
    <t>Nenhum</t>
  </si>
  <si>
    <t>Área útil necessária(m2)</t>
  </si>
  <si>
    <t>Geração Mensal (kWH/Mês)</t>
  </si>
  <si>
    <t>Geração Anual(kWH/Ano)</t>
  </si>
  <si>
    <t>Relação GERAÇÃO/CONSUMO</t>
  </si>
  <si>
    <t>PREÇO A VISTA--&gt;</t>
  </si>
  <si>
    <t>FINANCIAMENTO SANTANDER/BV</t>
  </si>
  <si>
    <t>Entrada</t>
  </si>
  <si>
    <t>TAXAS DE JUROS(%)</t>
  </si>
  <si>
    <t>TAXAS BV</t>
  </si>
  <si>
    <t>R$/Wp - Tabela</t>
  </si>
  <si>
    <t>Economia por ano (R$)</t>
  </si>
  <si>
    <t>Pay back - Tabela</t>
  </si>
  <si>
    <t>Preço/Placa</t>
  </si>
  <si>
    <t>ENTRADA</t>
  </si>
  <si>
    <t>kWH/Mês Médio Atual</t>
  </si>
  <si>
    <t>Pot. Calculada</t>
  </si>
  <si>
    <t>Custo da energia R$xkWH</t>
  </si>
  <si>
    <t>Desconto à vista</t>
  </si>
  <si>
    <t>Rend. Mensal kWh/kWp</t>
  </si>
  <si>
    <t>Custo de deslocamento</t>
  </si>
  <si>
    <t>OPÇÃO GERE FÁCIL – REFUSOL-BYD</t>
  </si>
  <si>
    <t>Inversor REFUSOL</t>
  </si>
  <si>
    <t>OPÇÃO GERE FÁCIL – GROWATT-BYD</t>
  </si>
  <si>
    <t>Inversor GROWATT</t>
  </si>
  <si>
    <t>Potência da placa</t>
  </si>
  <si>
    <t>TABELA DE PREÇOS SFCR-BVK</t>
  </si>
  <si>
    <t>TELHADO COLONIAL E LAJE PLANA</t>
  </si>
  <si>
    <t>KIT</t>
  </si>
  <si>
    <t>Pot. Pico</t>
  </si>
  <si>
    <t>No. Placas</t>
  </si>
  <si>
    <t xml:space="preserve">PREÇO </t>
  </si>
  <si>
    <t>INVERSOR</t>
  </si>
  <si>
    <t>Transformador + Painel A/C</t>
  </si>
  <si>
    <t>VALOR KIT ALDO</t>
  </si>
  <si>
    <t>Custo SFCR Completo</t>
  </si>
  <si>
    <t>Custo de Instalação</t>
  </si>
  <si>
    <t>SFCR + INSTALAÇÃO</t>
  </si>
  <si>
    <t>TRIBUTOS</t>
  </si>
  <si>
    <t>CUSTO DE VENDAS</t>
  </si>
  <si>
    <t>Percentual Adicionado</t>
  </si>
  <si>
    <t>Preço/Wp</t>
  </si>
  <si>
    <t>Rend.Esperado kW.h/Mês</t>
  </si>
  <si>
    <t>SFCR-BVK-FC</t>
  </si>
  <si>
    <t xml:space="preserve">PRIMO 3.0-1 </t>
  </si>
  <si>
    <t xml:space="preserve">PRIMO 4.0-1 </t>
  </si>
  <si>
    <t xml:space="preserve">PRIMO 5.0-1 </t>
  </si>
  <si>
    <t xml:space="preserve">PRIMO 6.0-1 </t>
  </si>
  <si>
    <t xml:space="preserve">PRIMO 8.2-1 </t>
  </si>
  <si>
    <t xml:space="preserve">2XPRIMO 5.0-1 </t>
  </si>
  <si>
    <t>PRIMO 5,0kW+6,0KW</t>
  </si>
  <si>
    <t>2XPRIMO 6.0-2</t>
  </si>
  <si>
    <t>SYMO BR 15KW</t>
  </si>
  <si>
    <t xml:space="preserve">2XPRIMO 8.2-1 </t>
  </si>
  <si>
    <t>SFCR-BVK-FO</t>
  </si>
  <si>
    <t>Última atualização</t>
  </si>
  <si>
    <t>MIN 5KW</t>
  </si>
  <si>
    <t>MIN 6KW</t>
  </si>
  <si>
    <t>2XMIN 5KW</t>
  </si>
  <si>
    <t>2XMIN 6KW</t>
  </si>
  <si>
    <t>3XMIN 6KW</t>
  </si>
  <si>
    <t>SFCR-BVK-RC</t>
  </si>
  <si>
    <t>REFUSOL 1,6KW</t>
  </si>
  <si>
    <t>REFUSOL 7,5KW</t>
  </si>
  <si>
    <t>2XREFUSOL 7,5KW</t>
  </si>
  <si>
    <t>SFCR-BVK-RO</t>
  </si>
  <si>
    <t>DATA DE ATUALIZAÇÃO</t>
  </si>
  <si>
    <t>CATEGORIA DO MATERIAL</t>
  </si>
  <si>
    <t>EQUIPAMENTOS - DESCRIÇÃO SIMPLIFICADA</t>
  </si>
  <si>
    <t>V.Unit.</t>
  </si>
  <si>
    <t>CÓDIGO BVK</t>
  </si>
  <si>
    <t>CÓDIGO ALDO</t>
  </si>
  <si>
    <t>EQUIPAMENTOS</t>
  </si>
  <si>
    <t>Módulo Fotovoltaico 270Wp - AXITEC SOLAR</t>
  </si>
  <si>
    <t>Módulo Fotovoltaico 300 Wp - AXITEC SOLAR</t>
  </si>
  <si>
    <t>PREÇO DO METRO DO PERFIL DE ALUMÍNIO</t>
  </si>
  <si>
    <t>Inversor Primo 3.0-1 - FRONIUS INTERNACIONAL</t>
  </si>
  <si>
    <t>30579-7</t>
  </si>
  <si>
    <t>Inversor Primo 4.0-1 - FRONIUS INTERNACIONAL</t>
  </si>
  <si>
    <t>30582-2</t>
  </si>
  <si>
    <t>MÃO FRANCESA</t>
  </si>
  <si>
    <t>Inversor Primo 5.0-1 - FRONIUS INTERNACIONAL</t>
  </si>
  <si>
    <t>30437-5</t>
  </si>
  <si>
    <t>Preço do Kg do alumínio</t>
  </si>
  <si>
    <t>Inversor Primo 6.0-1 - FRONIUS INTERNACIONAL</t>
  </si>
  <si>
    <t>31282-7</t>
  </si>
  <si>
    <t>Densidade do alumínio (kg/m)</t>
  </si>
  <si>
    <t>Inversor Primo 8.2-1 - FRONIUS INTERNACIONAL</t>
  </si>
  <si>
    <t>30438-9</t>
  </si>
  <si>
    <t>Metragem do perfil necessária, incluindo perdas</t>
  </si>
  <si>
    <t>Fronius Symo "BRASIL" 12.0-3-M 208/240</t>
  </si>
  <si>
    <t>30439-3</t>
  </si>
  <si>
    <t>Fronius Symo "BRASIL" 15.0-3-M 208/240</t>
  </si>
  <si>
    <t>31588-7</t>
  </si>
  <si>
    <t>Inversor ECO 25.0-3-S 380 V</t>
  </si>
  <si>
    <t>31608-5</t>
  </si>
  <si>
    <t>BARRA CHATA</t>
  </si>
  <si>
    <t>inversor ECO 27.0-3-S 380 V</t>
  </si>
  <si>
    <t>31582-3</t>
  </si>
  <si>
    <t>Preço do kg do aço inox</t>
  </si>
  <si>
    <t>Fronius Symo 20.0-3-M 380 V</t>
  </si>
  <si>
    <t>30315-9</t>
  </si>
  <si>
    <t>Densidade do aço (kg/m)</t>
  </si>
  <si>
    <t>Fronius Symo "BRASIL" 15.0-3-M 380 VOLTS</t>
  </si>
  <si>
    <t>BARRA ROSCADA (200 mm)</t>
  </si>
  <si>
    <t>CANADIAN CSI-30KTL-GI-FL POTENCIA 30KW</t>
  </si>
  <si>
    <t>37710-4</t>
  </si>
  <si>
    <t>Valor da barra de 1m</t>
  </si>
  <si>
    <t>CANADIAN CSI-25KTL-GI-FL POTENCIA 25KW</t>
  </si>
  <si>
    <t>37708-3</t>
  </si>
  <si>
    <t>CANADIAN CSI-5K-MTL POTENCIA 5,0KW</t>
  </si>
  <si>
    <t>37707-9</t>
  </si>
  <si>
    <t>CANADIAN CSI-3K-TL POTENCIA 3,0KW</t>
  </si>
  <si>
    <t>37706-5</t>
  </si>
  <si>
    <t>CANADIAN CSI-1.5K-TL POTENCIA 1,5KW</t>
  </si>
  <si>
    <t>37703-3</t>
  </si>
  <si>
    <t>ATT 220 OU 380E/220 OU 380E 25KVA 60HZ</t>
  </si>
  <si>
    <t>ATT 220 OU 380E/220 OU 380E 30KVA 60HZ</t>
  </si>
  <si>
    <t>ATT 220 OU 380E/220 OU 380E 150KVA 60HZ</t>
  </si>
  <si>
    <t>ELEMENTOS DE INFRAESTRUTURA</t>
  </si>
  <si>
    <t>Arruela de borracha para vedação</t>
  </si>
  <si>
    <t>Perfil de alumínio 40x40 (em peças de 3,10 m)</t>
  </si>
  <si>
    <t>Perfil de alumínio 40x40 (em peças de 4,20 m)</t>
  </si>
  <si>
    <t>Perfil de alumínio 40x40 (em peças de 5,20 m)</t>
  </si>
  <si>
    <t>Perfil de alumínio 40x40 (em peças de 6,20 m)</t>
  </si>
  <si>
    <t>Parafuso Francês 5/16" x 1" inox 304</t>
  </si>
  <si>
    <t>Parafuso Francês 5/16" x 1.1/2" inox 304</t>
  </si>
  <si>
    <t>Parafuso Francês 5/16" x 2.1/4" inox 304</t>
  </si>
  <si>
    <t>Parafuso sext. 5/16" x 1" inox 304</t>
  </si>
  <si>
    <t>Arruela de Pressão 5/16" inox 304</t>
  </si>
  <si>
    <t>Arruela lisa padrão 5/16" inox 304</t>
  </si>
  <si>
    <t>Porca sext. Trav. 5/16 inox 304</t>
  </si>
  <si>
    <t>Porca sext. 5/16 inox 304</t>
  </si>
  <si>
    <t>Presilha intermediaria para módulo FV</t>
  </si>
  <si>
    <t>Presilha de extremidade para módulo FV</t>
  </si>
  <si>
    <t xml:space="preserve">Suporte INOX 304 p/ fixação em telhado colonial </t>
  </si>
  <si>
    <t xml:space="preserve">Bucha de fixação Nº 8 </t>
  </si>
  <si>
    <t>Paraf. Sext. Atarrachante p/ bucha nº 8</t>
  </si>
  <si>
    <t>Arruela aba larga M8X24mm inox 304</t>
  </si>
  <si>
    <t>Placa de advertência - GERAÇÃO PRÓPRIA</t>
  </si>
  <si>
    <t>Suporte INOX 304 em barra roscada 5/16" x 250mm</t>
  </si>
  <si>
    <t>Mão francesa 01 Módulo 250/260/270Wp Tipo 1</t>
  </si>
  <si>
    <t>Barra roscada de 5/16" x 200 mm aço inox</t>
  </si>
  <si>
    <t>MATERIAL ELÉTRICO</t>
  </si>
  <si>
    <t>Cabo classe 1KV C/ proteção UV 6MM² VM</t>
  </si>
  <si>
    <t>Cabo classe 1KV C/ proteção UV 6MM² PT</t>
  </si>
  <si>
    <t>CABO CLASSE 1KV MULTIPOLAR C/ 3 VIAS 6MM²</t>
  </si>
  <si>
    <t>STRING BOX 10A (DPS de 20 kA e DJ DIN 10A)</t>
  </si>
  <si>
    <t>STRING BOX 15A (DPS de 20 kA e DJ DIN 16A)</t>
  </si>
  <si>
    <t>STRING BOX 20A (DPS de 20 kA e DJ DIN 20A)</t>
  </si>
  <si>
    <t>Conectores Fotovoltaico WM4 C Conjunto completo</t>
  </si>
  <si>
    <t>STRING BOX 25A (DPS de 20 kA e DJ DIN 25A)</t>
  </si>
  <si>
    <t>BDI + COMISSÕES + TRIBUTOS GERADORES</t>
  </si>
  <si>
    <t>I + CV</t>
  </si>
  <si>
    <t>CI + (I + CV)</t>
  </si>
  <si>
    <t>BDI</t>
  </si>
  <si>
    <t>IMPOSTOS (I)</t>
  </si>
  <si>
    <t>Metragem dos cabos</t>
  </si>
  <si>
    <t>COMISSÃO DE VENDAS (CV)</t>
  </si>
  <si>
    <t>Potência das placas (kWp)</t>
  </si>
  <si>
    <t>COMISSÃO DE INSTALAÇÃO (CI)</t>
  </si>
  <si>
    <t>Rendimento por kWp</t>
  </si>
  <si>
    <t>Lucro:</t>
  </si>
  <si>
    <t>Preço do kW.h</t>
  </si>
  <si>
    <t>Despesas Indiretas:</t>
  </si>
  <si>
    <t>Administração Central:</t>
  </si>
  <si>
    <t>Encargos Financeiros</t>
  </si>
  <si>
    <t>Frete:</t>
  </si>
  <si>
    <t>Margem</t>
  </si>
  <si>
    <t>VALOR DA DIÁRIA - BVK</t>
  </si>
  <si>
    <t>MIC 1KW</t>
  </si>
  <si>
    <t>MIN 3KW</t>
  </si>
  <si>
    <t>MIC 1.5KW</t>
  </si>
  <si>
    <t>MIC 2KW</t>
  </si>
  <si>
    <t>SUNNY BOY 3KW</t>
  </si>
  <si>
    <t>SUNNY BOY 4KW</t>
  </si>
  <si>
    <t>SUNNY BOY 5KW</t>
  </si>
  <si>
    <t>SUNNY BOY 6KW</t>
  </si>
  <si>
    <t>3XMTL-S 8.0KW</t>
  </si>
  <si>
    <t>2XMTL-S 8.0KW</t>
  </si>
  <si>
    <t>MTL-S 8.0KW</t>
  </si>
  <si>
    <t>02 MIN 6KW + 01 MTL-S 8.0KW</t>
  </si>
  <si>
    <t>2XMIN 6KW+MTL-S 8.0KW</t>
  </si>
  <si>
    <r>
      <rPr>
        <b/>
        <sz val="10"/>
        <color rgb="FF000000"/>
        <rFont val="Calibri"/>
        <family val="2"/>
      </rPr>
      <t>Observação:</t>
    </r>
    <r>
      <rPr>
        <sz val="10"/>
        <color rgb="FF000000"/>
        <rFont val="Calibri"/>
        <family val="2"/>
      </rPr>
      <t xml:space="preserve"> Proposta apenas orientativa, caso tenha interesse formalizamos uma proposta.</t>
    </r>
  </si>
  <si>
    <t>UNO 3.3KW</t>
  </si>
  <si>
    <t>UNO 4.0KW</t>
  </si>
  <si>
    <t>UNO 5.0KW</t>
  </si>
  <si>
    <t>UNO 6.0KW</t>
  </si>
  <si>
    <t>3XREFUSOL 7,5KW</t>
  </si>
  <si>
    <t>4XREFUSOL 7,5KW</t>
  </si>
  <si>
    <t>5XREFUSOL 7,5KW</t>
  </si>
  <si>
    <t>5xREFUSOL 7,5KW</t>
  </si>
  <si>
    <t>MIC 2.5KW</t>
  </si>
  <si>
    <t>MIC 3.0KW</t>
  </si>
  <si>
    <t/>
  </si>
  <si>
    <t>Inversor</t>
  </si>
  <si>
    <t>PREÇO TABELA--&gt;</t>
  </si>
  <si>
    <t>Desconto(+ou-) à vista</t>
  </si>
  <si>
    <t>Inversor MODELO</t>
  </si>
  <si>
    <t>MIC 2,5KW</t>
  </si>
  <si>
    <t>AUXILIAR Pp</t>
  </si>
  <si>
    <t>AUX Pp</t>
  </si>
  <si>
    <t>MIN 5KW + MTL-S 8.0KW</t>
  </si>
  <si>
    <t>MIN 5KW+MTL-S 8.0KW</t>
  </si>
  <si>
    <t>MIN 6KW + MTL-S 8.0KW</t>
  </si>
  <si>
    <t>2XMIN 5KW+MTL-S 8.0KW</t>
  </si>
  <si>
    <t>MIN 5KW + 2xMTL-S 8.0KW</t>
  </si>
  <si>
    <t>MIN 6KW + 2xMTL-S 8.0KW</t>
  </si>
  <si>
    <t>MIN 5KW + MIN 6KW</t>
  </si>
  <si>
    <t>% CARTÃO</t>
  </si>
  <si>
    <t>PRIMO 3.0-2</t>
  </si>
  <si>
    <t>PRIMO 6.0-0</t>
  </si>
  <si>
    <t>OPÇÃO GERE FÁCIL – FRONIUS-JINKO</t>
  </si>
  <si>
    <t>JINKO MONO - TIGER PRO</t>
  </si>
  <si>
    <t>PRIMO 4KW + PRIMO 5KW</t>
  </si>
  <si>
    <t>PRIMO 6KW + PRIMO 8KW</t>
  </si>
  <si>
    <t>REFUSOL 3,3KW</t>
  </si>
  <si>
    <t>REFUSOL 5,0KW</t>
  </si>
  <si>
    <t>2XREFUSOL 5,0KW</t>
  </si>
  <si>
    <t>3XREFUSOL 5,0KW</t>
  </si>
  <si>
    <t>2XPRIMO 5.0-1</t>
  </si>
  <si>
    <t>NT</t>
  </si>
  <si>
    <t>OPÇÃO GERE FÁCIL – GROWATT-PHONO</t>
  </si>
  <si>
    <t>2XSUNNY BOY 4KW</t>
  </si>
  <si>
    <t>SUNNY BOY 4KW+SUNNY BOY 5KW</t>
  </si>
  <si>
    <t>2XSUNNY BOY 5KW</t>
  </si>
  <si>
    <t>SUNNY BOY 5KW+SUNNY BOY 6KW</t>
  </si>
  <si>
    <t>2XSUNNY BOY 6KW</t>
  </si>
  <si>
    <t>3XSUNNY BOY 5KW</t>
  </si>
  <si>
    <t>3xSUNNY BOY 6KW</t>
  </si>
  <si>
    <t>MODELO DE GERADOR SOLAR</t>
  </si>
  <si>
    <t>MIN 10KW</t>
  </si>
  <si>
    <t>2XUNO 6.0KW</t>
  </si>
  <si>
    <t>nt</t>
  </si>
  <si>
    <t>SYMO BR 12KW</t>
  </si>
  <si>
    <t>CUSTO DO SERVIÇO</t>
  </si>
  <si>
    <t>TRIBUTOS + CV</t>
  </si>
  <si>
    <t>PREÇO DO SERVIÇO</t>
  </si>
  <si>
    <t>PREÇO TOTAL</t>
  </si>
  <si>
    <t>PREÇO FATURAMENTO DIRETO</t>
  </si>
  <si>
    <t>MARGEM DE VENDA - EQUIP.</t>
  </si>
  <si>
    <t>DIFERENÇA</t>
  </si>
  <si>
    <t>Observação: Devido a previsão de instalação das placas ser orinentação sul do telhado é esperado uma perda de rendimento entre 8 a 15%.</t>
  </si>
  <si>
    <t>MIC 1,5KW</t>
  </si>
  <si>
    <t>TRINA MONO PERC</t>
  </si>
  <si>
    <t>OPÇÃO GERE FÁCIL – GROWATT-TRINA</t>
  </si>
  <si>
    <t>BYD MONO</t>
  </si>
  <si>
    <t>MIC 3KW</t>
  </si>
  <si>
    <t>PHONO MONO PERC</t>
  </si>
  <si>
    <t>PREÇOS DOS INVERSORES</t>
  </si>
  <si>
    <t>MIC1500TL-X 1.5KW MONOFASICO 220V 1MPPT MONITORAMENTO</t>
  </si>
  <si>
    <t>MIC2000TL-X 2KW MONOFASICO 220V 1MPPT MONITORAMENTO</t>
  </si>
  <si>
    <t>MIC2500TL-X 2.5KW MONOFASICO 220V 1MPPT MONITORAMENTO</t>
  </si>
  <si>
    <t>MIC3000TL-X 3KW MONOFASICO 220V 1MPPT MONITORAMENTO</t>
  </si>
  <si>
    <t>MIN3000TL-X 3KW MONOFASICO 220V 2MPPT MONITORAMENTO</t>
  </si>
  <si>
    <t>MIN5000TL-X 5KW MONOFASICO 220V 2MPPT MONITORAMENTO</t>
  </si>
  <si>
    <t>MIN6000TL-X 6KW MONOFASICO 220V 2MPPT MONITORAMENTO</t>
  </si>
  <si>
    <t>8000MTL-S 8KW MONOFASICO 220V 2MPPT MONITORAMENTO</t>
  </si>
  <si>
    <t>DESCONTO CARÃO AZUL</t>
  </si>
  <si>
    <t>VALOR ALDO</t>
  </si>
  <si>
    <t>VALOR CORRIGIDO</t>
  </si>
  <si>
    <t>DESCRIÇÃO</t>
  </si>
  <si>
    <t>COM BDI</t>
  </si>
  <si>
    <t>STRING BOX</t>
  </si>
  <si>
    <t>PRIMO 4.0-2</t>
  </si>
  <si>
    <t>OPÇÃO GERE FÁCIL – FRONIUS-PHONO</t>
  </si>
  <si>
    <t xml:space="preserve">CDC: </t>
  </si>
  <si>
    <t xml:space="preserve">CLIENTE: </t>
  </si>
  <si>
    <t>ÁREA DA PLACA</t>
  </si>
  <si>
    <t>Altura</t>
  </si>
  <si>
    <t>largura</t>
  </si>
  <si>
    <t>TELHADO COLONIAL</t>
  </si>
  <si>
    <t>BYD MONO PERC</t>
  </si>
  <si>
    <t>2x REFUSOL 3,3KW</t>
  </si>
  <si>
    <t>REFUSOL 3,3KW + 5,0KW</t>
  </si>
  <si>
    <t>MID 15KW</t>
  </si>
  <si>
    <t>MID 20KW</t>
  </si>
  <si>
    <t>MAC 25KW</t>
  </si>
  <si>
    <t>MAC 30KW</t>
  </si>
  <si>
    <t>MAC 36KW</t>
  </si>
  <si>
    <t>MIN 8KW</t>
  </si>
  <si>
    <t>MIN 6KW+MIN 8.0KW</t>
  </si>
  <si>
    <t>2XMAC30KW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</si>
</sst>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* #,##0.00_-;\-* #,##0.00_-;_-* &quot;-&quot;??_-;_-@"/>
    <numFmt numFmtId="165" formatCode="_-&quot;R$&quot;\ * #,##0.00_-;\-&quot;R$&quot;\ * #,##0.00_-;_-&quot;R$&quot;\ * &quot;-&quot;??_-;_-@"/>
    <numFmt numFmtId="166" formatCode="&quot;R$&quot;#,##0.00_);[Red]\(&quot;R$&quot;#,##0.00\)"/>
    <numFmt numFmtId="167" formatCode="_-[$R$-416]\ * #,##0.00_-;\-[$R$-416]\ * #,##0.00_-;_-[$R$-416]\ * &quot;-&quot;??_-;_-@"/>
    <numFmt numFmtId="168" formatCode="_(&quot;R$&quot;* #,##0.00_);_(&quot;R$&quot;* \(#,##0.00\);_(&quot;R$&quot;* &quot;-&quot;??_);_(@_)"/>
    <numFmt numFmtId="169" formatCode="0.0%"/>
    <numFmt numFmtId="170" formatCode="_(* #,##0.00_);_(* \(#,##0.00\);_(* &quot;-&quot;??_);_(@_)"/>
    <numFmt numFmtId="171" formatCode="_-[$R$-416]\ * #,##0.00_-;\-[$R$-416]\ * #,##0.00_-;_-[$R$-416]\ * &quot;-&quot;??_-;_-@_-"/>
    <numFmt numFmtId="172" formatCode="0.000%"/>
    <numFmt numFmtId="173" formatCode="0\ &quot;Parcelas&quot;"/>
  </numFmts>
  <fonts count="47" x14ac:knownFonts="1">
    <font>
      <sz val="11"/>
      <color rgb="FF000000"/>
      <name val="Calibri"/>
    </font>
    <font>
      <b/>
      <sz val="9"/>
      <color rgb="FFFFFFFF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2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b/>
      <sz val="16"/>
      <name val="Calibri"/>
      <family val="2"/>
    </font>
    <font>
      <b/>
      <sz val="18"/>
      <color rgb="FF000000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4"/>
      <color rgb="FFFFFFFF"/>
      <name val="Calibri"/>
      <family val="2"/>
    </font>
    <font>
      <b/>
      <sz val="14"/>
      <name val="Calibri"/>
      <family val="2"/>
    </font>
    <font>
      <sz val="20"/>
      <color rgb="FF000000"/>
      <name val="Calibri"/>
      <family val="2"/>
    </font>
    <font>
      <b/>
      <sz val="16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b/>
      <sz val="16"/>
      <name val="Calibri"/>
      <family val="2"/>
    </font>
    <font>
      <b/>
      <sz val="12"/>
      <color rgb="FF000000"/>
      <name val="Calibri"/>
      <family val="2"/>
    </font>
    <font>
      <b/>
      <sz val="16"/>
      <color rgb="FFFF0000"/>
      <name val="Calibri"/>
      <family val="2"/>
    </font>
    <font>
      <sz val="1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b/>
      <sz val="16"/>
      <color theme="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E4141"/>
        <bgColor rgb="FFFE4141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rgb="FFD9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0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5">
    <xf numFmtId="0" fontId="0" fillId="0" borderId="0"/>
    <xf numFmtId="44" fontId="31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31" fillId="0" borderId="42"/>
    <xf numFmtId="9" fontId="31" fillId="0" borderId="42" applyFont="0" applyFill="0" applyBorder="0" applyAlignment="0" applyProtection="0"/>
  </cellStyleXfs>
  <cellXfs count="517">
    <xf numFmtId="0" fontId="0" fillId="0" borderId="0" xfId="0" applyFont="1" applyAlignment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17" fontId="4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0" xfId="0" applyFont="1"/>
    <xf numFmtId="3" fontId="5" fillId="0" borderId="0" xfId="0" applyNumberFormat="1" applyFont="1" applyAlignment="1">
      <alignment horizontal="center"/>
    </xf>
    <xf numFmtId="3" fontId="6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11" xfId="0" applyFont="1" applyBorder="1"/>
    <xf numFmtId="0" fontId="10" fillId="0" borderId="12" xfId="0" applyFont="1" applyBorder="1"/>
    <xf numFmtId="0" fontId="10" fillId="3" borderId="14" xfId="0" applyFont="1" applyFill="1" applyBorder="1" applyAlignment="1">
      <alignment horizontal="right"/>
    </xf>
    <xf numFmtId="164" fontId="10" fillId="3" borderId="15" xfId="0" applyNumberFormat="1" applyFont="1" applyFill="1" applyBorder="1" applyAlignment="1">
      <alignment horizontal="left"/>
    </xf>
    <xf numFmtId="0" fontId="10" fillId="4" borderId="14" xfId="0" applyFont="1" applyFill="1" applyBorder="1" applyAlignment="1">
      <alignment horizontal="right"/>
    </xf>
    <xf numFmtId="164" fontId="10" fillId="4" borderId="15" xfId="0" applyNumberFormat="1" applyFont="1" applyFill="1" applyBorder="1" applyAlignment="1">
      <alignment horizontal="left"/>
    </xf>
    <xf numFmtId="0" fontId="10" fillId="5" borderId="14" xfId="0" applyFont="1" applyFill="1" applyBorder="1" applyAlignment="1">
      <alignment horizontal="right"/>
    </xf>
    <xf numFmtId="164" fontId="10" fillId="5" borderId="15" xfId="0" applyNumberFormat="1" applyFont="1" applyFill="1" applyBorder="1" applyAlignment="1">
      <alignment horizontal="left"/>
    </xf>
    <xf numFmtId="164" fontId="10" fillId="7" borderId="15" xfId="0" applyNumberFormat="1" applyFont="1" applyFill="1" applyBorder="1" applyAlignment="1">
      <alignment horizontal="left"/>
    </xf>
    <xf numFmtId="0" fontId="5" fillId="8" borderId="16" xfId="0" applyFont="1" applyFill="1" applyBorder="1" applyAlignment="1">
      <alignment vertical="center" wrapText="1"/>
    </xf>
    <xf numFmtId="0" fontId="11" fillId="9" borderId="17" xfId="0" applyFont="1" applyFill="1" applyBorder="1"/>
    <xf numFmtId="0" fontId="11" fillId="0" borderId="21" xfId="0" applyFont="1" applyBorder="1"/>
    <xf numFmtId="0" fontId="11" fillId="9" borderId="21" xfId="0" applyFont="1" applyFill="1" applyBorder="1"/>
    <xf numFmtId="165" fontId="11" fillId="3" borderId="23" xfId="0" applyNumberFormat="1" applyFont="1" applyFill="1" applyBorder="1"/>
    <xf numFmtId="164" fontId="11" fillId="3" borderId="24" xfId="0" applyNumberFormat="1" applyFont="1" applyFill="1" applyBorder="1"/>
    <xf numFmtId="165" fontId="11" fillId="4" borderId="23" xfId="0" applyNumberFormat="1" applyFont="1" applyFill="1" applyBorder="1"/>
    <xf numFmtId="164" fontId="11" fillId="4" borderId="24" xfId="0" applyNumberFormat="1" applyFont="1" applyFill="1" applyBorder="1"/>
    <xf numFmtId="165" fontId="11" fillId="5" borderId="23" xfId="0" applyNumberFormat="1" applyFont="1" applyFill="1" applyBorder="1"/>
    <xf numFmtId="164" fontId="11" fillId="5" borderId="24" xfId="0" applyNumberFormat="1" applyFont="1" applyFill="1" applyBorder="1"/>
    <xf numFmtId="165" fontId="11" fillId="6" borderId="23" xfId="0" applyNumberFormat="1" applyFont="1" applyFill="1" applyBorder="1"/>
    <xf numFmtId="164" fontId="11" fillId="6" borderId="24" xfId="0" applyNumberFormat="1" applyFont="1" applyFill="1" applyBorder="1"/>
    <xf numFmtId="165" fontId="11" fillId="7" borderId="23" xfId="0" applyNumberFormat="1" applyFont="1" applyFill="1" applyBorder="1"/>
    <xf numFmtId="164" fontId="13" fillId="7" borderId="25" xfId="0" applyNumberFormat="1" applyFont="1" applyFill="1" applyBorder="1"/>
    <xf numFmtId="0" fontId="11" fillId="0" borderId="26" xfId="0" applyFont="1" applyBorder="1"/>
    <xf numFmtId="165" fontId="11" fillId="3" borderId="27" xfId="0" applyNumberFormat="1" applyFont="1" applyFill="1" applyBorder="1"/>
    <xf numFmtId="164" fontId="11" fillId="3" borderId="28" xfId="0" applyNumberFormat="1" applyFont="1" applyFill="1" applyBorder="1"/>
    <xf numFmtId="165" fontId="11" fillId="4" borderId="27" xfId="0" applyNumberFormat="1" applyFont="1" applyFill="1" applyBorder="1"/>
    <xf numFmtId="164" fontId="11" fillId="4" borderId="28" xfId="0" applyNumberFormat="1" applyFont="1" applyFill="1" applyBorder="1"/>
    <xf numFmtId="165" fontId="11" fillId="5" borderId="27" xfId="0" applyNumberFormat="1" applyFont="1" applyFill="1" applyBorder="1"/>
    <xf numFmtId="164" fontId="11" fillId="5" borderId="28" xfId="0" applyNumberFormat="1" applyFont="1" applyFill="1" applyBorder="1"/>
    <xf numFmtId="165" fontId="11" fillId="6" borderId="27" xfId="0" applyNumberFormat="1" applyFont="1" applyFill="1" applyBorder="1"/>
    <xf numFmtId="164" fontId="11" fillId="6" borderId="28" xfId="0" applyNumberFormat="1" applyFont="1" applyFill="1" applyBorder="1"/>
    <xf numFmtId="165" fontId="13" fillId="7" borderId="27" xfId="0" applyNumberFormat="1" applyFont="1" applyFill="1" applyBorder="1"/>
    <xf numFmtId="164" fontId="14" fillId="7" borderId="29" xfId="0" applyNumberFormat="1" applyFont="1" applyFill="1" applyBorder="1"/>
    <xf numFmtId="8" fontId="0" fillId="0" borderId="0" xfId="0" applyNumberFormat="1" applyFont="1"/>
    <xf numFmtId="0" fontId="15" fillId="9" borderId="17" xfId="0" applyFont="1" applyFill="1" applyBorder="1"/>
    <xf numFmtId="10" fontId="0" fillId="0" borderId="0" xfId="0" applyNumberFormat="1" applyFont="1"/>
    <xf numFmtId="0" fontId="13" fillId="9" borderId="30" xfId="0" applyFont="1" applyFill="1" applyBorder="1"/>
    <xf numFmtId="0" fontId="18" fillId="0" borderId="0" xfId="0" applyFont="1" applyAlignment="1">
      <alignment horizontal="center" vertical="center" wrapText="1"/>
    </xf>
    <xf numFmtId="165" fontId="19" fillId="0" borderId="0" xfId="0" applyNumberFormat="1" applyFont="1" applyAlignment="1">
      <alignment horizontal="center" vertical="center"/>
    </xf>
    <xf numFmtId="0" fontId="19" fillId="0" borderId="0" xfId="0" applyFont="1"/>
    <xf numFmtId="165" fontId="18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/>
    <xf numFmtId="0" fontId="20" fillId="0" borderId="0" xfId="0" applyFont="1"/>
    <xf numFmtId="0" fontId="11" fillId="9" borderId="37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2" fillId="8" borderId="21" xfId="0" applyFont="1" applyFill="1" applyBorder="1" applyAlignment="1">
      <alignment vertical="center" wrapText="1"/>
    </xf>
    <xf numFmtId="0" fontId="3" fillId="0" borderId="3" xfId="0" applyFont="1" applyBorder="1"/>
    <xf numFmtId="10" fontId="7" fillId="0" borderId="3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165" fontId="0" fillId="0" borderId="0" xfId="0" applyNumberFormat="1" applyFont="1"/>
    <xf numFmtId="165" fontId="11" fillId="0" borderId="0" xfId="0" applyNumberFormat="1" applyFont="1"/>
    <xf numFmtId="166" fontId="22" fillId="8" borderId="16" xfId="0" applyNumberFormat="1" applyFont="1" applyFill="1" applyBorder="1" applyAlignment="1">
      <alignment horizontal="center" vertical="center" wrapText="1"/>
    </xf>
    <xf numFmtId="10" fontId="22" fillId="8" borderId="16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0" fontId="22" fillId="8" borderId="16" xfId="0" applyFont="1" applyFill="1" applyBorder="1" applyAlignment="1">
      <alignment horizontal="center" vertical="center" wrapText="1"/>
    </xf>
    <xf numFmtId="164" fontId="22" fillId="8" borderId="1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8" borderId="6" xfId="0" applyFont="1" applyFill="1" applyBorder="1" applyAlignment="1">
      <alignment horizontal="left" vertical="center" wrapText="1"/>
    </xf>
    <xf numFmtId="167" fontId="0" fillId="8" borderId="16" xfId="0" applyNumberFormat="1" applyFont="1" applyFill="1" applyBorder="1" applyAlignment="1">
      <alignment horizontal="center" vertical="center" wrapText="1"/>
    </xf>
    <xf numFmtId="0" fontId="0" fillId="0" borderId="6" xfId="0" applyFont="1" applyBorder="1"/>
    <xf numFmtId="164" fontId="0" fillId="0" borderId="0" xfId="0" applyNumberFormat="1" applyFont="1"/>
    <xf numFmtId="0" fontId="23" fillId="8" borderId="16" xfId="0" applyFont="1" applyFill="1" applyBorder="1" applyAlignment="1">
      <alignment horizontal="center" vertical="center" wrapText="1"/>
    </xf>
    <xf numFmtId="9" fontId="7" fillId="0" borderId="0" xfId="0" applyNumberFormat="1" applyFont="1" applyAlignment="1">
      <alignment horizontal="center"/>
    </xf>
    <xf numFmtId="165" fontId="22" fillId="8" borderId="16" xfId="0" applyNumberFormat="1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right" vertical="center" wrapText="1"/>
    </xf>
    <xf numFmtId="3" fontId="3" fillId="0" borderId="0" xfId="0" applyNumberFormat="1" applyFont="1" applyAlignment="1">
      <alignment horizontal="center"/>
    </xf>
    <xf numFmtId="9" fontId="0" fillId="0" borderId="0" xfId="0" applyNumberFormat="1" applyFont="1"/>
    <xf numFmtId="165" fontId="22" fillId="0" borderId="0" xfId="0" applyNumberFormat="1" applyFont="1"/>
    <xf numFmtId="0" fontId="22" fillId="0" borderId="0" xfId="0" applyFont="1" applyAlignment="1">
      <alignment horizontal="right"/>
    </xf>
    <xf numFmtId="0" fontId="24" fillId="8" borderId="16" xfId="0" applyFont="1" applyFill="1" applyBorder="1" applyAlignment="1">
      <alignment horizontal="center" vertical="center" wrapText="1"/>
    </xf>
    <xf numFmtId="10" fontId="24" fillId="8" borderId="16" xfId="0" applyNumberFormat="1" applyFont="1" applyFill="1" applyBorder="1" applyAlignment="1">
      <alignment horizontal="left" vertical="center" wrapText="1"/>
    </xf>
    <xf numFmtId="165" fontId="22" fillId="8" borderId="16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wrapText="1"/>
    </xf>
    <xf numFmtId="3" fontId="25" fillId="0" borderId="0" xfId="0" applyNumberFormat="1" applyFont="1"/>
    <xf numFmtId="10" fontId="3" fillId="0" borderId="3" xfId="0" applyNumberFormat="1" applyFont="1" applyBorder="1" applyAlignment="1">
      <alignment horizontal="center"/>
    </xf>
    <xf numFmtId="9" fontId="26" fillId="8" borderId="16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165" fontId="23" fillId="8" borderId="16" xfId="0" applyNumberFormat="1" applyFont="1" applyFill="1" applyBorder="1" applyAlignment="1">
      <alignment horizontal="center" vertical="center" wrapText="1"/>
    </xf>
    <xf numFmtId="9" fontId="3" fillId="0" borderId="0" xfId="0" applyNumberFormat="1" applyFont="1"/>
    <xf numFmtId="165" fontId="23" fillId="0" borderId="0" xfId="0" applyNumberFormat="1" applyFont="1"/>
    <xf numFmtId="164" fontId="23" fillId="8" borderId="16" xfId="0" applyNumberFormat="1" applyFont="1" applyFill="1" applyBorder="1" applyAlignment="1">
      <alignment horizontal="center" vertical="center" wrapText="1"/>
    </xf>
    <xf numFmtId="0" fontId="26" fillId="8" borderId="16" xfId="0" applyFont="1" applyFill="1" applyBorder="1" applyAlignment="1">
      <alignment horizontal="center" vertical="center" wrapText="1"/>
    </xf>
    <xf numFmtId="10" fontId="26" fillId="8" borderId="16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12" borderId="23" xfId="0" applyFont="1" applyFill="1" applyBorder="1" applyAlignment="1">
      <alignment horizontal="right"/>
    </xf>
    <xf numFmtId="4" fontId="5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168" fontId="0" fillId="0" borderId="3" xfId="0" applyNumberFormat="1" applyFont="1" applyBorder="1"/>
    <xf numFmtId="166" fontId="0" fillId="0" borderId="6" xfId="0" applyNumberFormat="1" applyFont="1" applyBorder="1" applyAlignment="1">
      <alignment horizontal="center"/>
    </xf>
    <xf numFmtId="168" fontId="6" fillId="0" borderId="3" xfId="0" applyNumberFormat="1" applyFont="1" applyBorder="1"/>
    <xf numFmtId="169" fontId="0" fillId="0" borderId="3" xfId="0" applyNumberFormat="1" applyFont="1" applyBorder="1"/>
    <xf numFmtId="2" fontId="6" fillId="0" borderId="3" xfId="0" applyNumberFormat="1" applyFont="1" applyBorder="1" applyAlignment="1">
      <alignment horizontal="center"/>
    </xf>
    <xf numFmtId="170" fontId="0" fillId="0" borderId="3" xfId="0" applyNumberFormat="1" applyFont="1" applyBorder="1"/>
    <xf numFmtId="168" fontId="0" fillId="13" borderId="24" xfId="0" applyNumberFormat="1" applyFont="1" applyFill="1" applyBorder="1"/>
    <xf numFmtId="168" fontId="0" fillId="10" borderId="24" xfId="0" applyNumberFormat="1" applyFont="1" applyFill="1" applyBorder="1"/>
    <xf numFmtId="166" fontId="0" fillId="0" borderId="0" xfId="0" applyNumberFormat="1" applyFont="1" applyAlignment="1">
      <alignment horizontal="center"/>
    </xf>
    <xf numFmtId="168" fontId="0" fillId="0" borderId="6" xfId="0" applyNumberFormat="1" applyFont="1" applyBorder="1"/>
    <xf numFmtId="0" fontId="5" fillId="5" borderId="23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168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68" fontId="3" fillId="0" borderId="3" xfId="0" applyNumberFormat="1" applyFont="1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10" fontId="0" fillId="0" borderId="3" xfId="0" applyNumberFormat="1" applyFont="1" applyBorder="1"/>
    <xf numFmtId="0" fontId="0" fillId="14" borderId="6" xfId="0" applyFont="1" applyFill="1" applyBorder="1"/>
    <xf numFmtId="167" fontId="0" fillId="0" borderId="6" xfId="0" applyNumberFormat="1" applyFont="1" applyBorder="1"/>
    <xf numFmtId="167" fontId="0" fillId="0" borderId="0" xfId="0" applyNumberFormat="1" applyFont="1"/>
    <xf numFmtId="168" fontId="0" fillId="0" borderId="0" xfId="0" applyNumberFormat="1" applyFont="1"/>
    <xf numFmtId="168" fontId="6" fillId="0" borderId="0" xfId="0" applyNumberFormat="1" applyFont="1"/>
    <xf numFmtId="168" fontId="0" fillId="10" borderId="16" xfId="0" applyNumberFormat="1" applyFont="1" applyFill="1" applyBorder="1"/>
    <xf numFmtId="166" fontId="0" fillId="0" borderId="6" xfId="0" applyNumberFormat="1" applyFont="1" applyBorder="1"/>
    <xf numFmtId="4" fontId="0" fillId="0" borderId="0" xfId="0" applyNumberFormat="1" applyFont="1"/>
    <xf numFmtId="0" fontId="0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169" fontId="0" fillId="0" borderId="0" xfId="0" applyNumberFormat="1" applyFont="1"/>
    <xf numFmtId="10" fontId="6" fillId="0" borderId="0" xfId="0" applyNumberFormat="1" applyFont="1" applyAlignment="1">
      <alignment horizontal="right"/>
    </xf>
    <xf numFmtId="0" fontId="6" fillId="0" borderId="0" xfId="0" applyFont="1"/>
    <xf numFmtId="9" fontId="6" fillId="0" borderId="0" xfId="0" applyNumberFormat="1" applyFont="1"/>
    <xf numFmtId="169" fontId="6" fillId="0" borderId="0" xfId="0" applyNumberFormat="1" applyFont="1"/>
    <xf numFmtId="168" fontId="0" fillId="15" borderId="3" xfId="0" applyNumberFormat="1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/>
    <xf numFmtId="168" fontId="0" fillId="0" borderId="24" xfId="0" applyNumberFormat="1" applyFont="1" applyBorder="1"/>
    <xf numFmtId="44" fontId="0" fillId="0" borderId="24" xfId="1" applyFont="1" applyBorder="1"/>
    <xf numFmtId="168" fontId="0" fillId="0" borderId="3" xfId="0" applyNumberFormat="1" applyFont="1" applyFill="1" applyBorder="1"/>
    <xf numFmtId="168" fontId="0" fillId="0" borderId="24" xfId="0" applyNumberFormat="1" applyFont="1" applyFill="1" applyBorder="1"/>
    <xf numFmtId="166" fontId="32" fillId="0" borderId="6" xfId="0" applyNumberFormat="1" applyFont="1" applyBorder="1" applyAlignment="1">
      <alignment horizontal="center"/>
    </xf>
    <xf numFmtId="168" fontId="0" fillId="15" borderId="24" xfId="0" applyNumberFormat="1" applyFont="1" applyFill="1" applyBorder="1"/>
    <xf numFmtId="168" fontId="33" fillId="15" borderId="3" xfId="0" applyNumberFormat="1" applyFont="1" applyFill="1" applyBorder="1"/>
    <xf numFmtId="168" fontId="33" fillId="0" borderId="3" xfId="0" applyNumberFormat="1" applyFont="1" applyFill="1" applyBorder="1"/>
    <xf numFmtId="168" fontId="33" fillId="0" borderId="3" xfId="0" applyNumberFormat="1" applyFont="1" applyBorder="1"/>
    <xf numFmtId="168" fontId="0" fillId="16" borderId="6" xfId="0" applyNumberFormat="1" applyFont="1" applyFill="1" applyBorder="1"/>
    <xf numFmtId="44" fontId="0" fillId="16" borderId="24" xfId="1" applyFont="1" applyFill="1" applyBorder="1"/>
    <xf numFmtId="168" fontId="0" fillId="16" borderId="3" xfId="0" applyNumberFormat="1" applyFont="1" applyFill="1" applyBorder="1"/>
    <xf numFmtId="168" fontId="0" fillId="16" borderId="24" xfId="0" applyNumberFormat="1" applyFont="1" applyFill="1" applyBorder="1"/>
    <xf numFmtId="166" fontId="0" fillId="0" borderId="6" xfId="0" applyNumberFormat="1" applyBorder="1" applyAlignment="1">
      <alignment horizontal="center"/>
    </xf>
    <xf numFmtId="168" fontId="0" fillId="0" borderId="24" xfId="0" applyNumberFormat="1" applyBorder="1"/>
    <xf numFmtId="171" fontId="0" fillId="0" borderId="24" xfId="0" applyNumberFormat="1" applyFont="1" applyBorder="1"/>
    <xf numFmtId="168" fontId="0" fillId="0" borderId="3" xfId="0" applyNumberFormat="1" applyFont="1" applyFill="1" applyBorder="1" applyAlignment="1">
      <alignment horizontal="center"/>
    </xf>
    <xf numFmtId="172" fontId="0" fillId="0" borderId="0" xfId="0" applyNumberFormat="1" applyFont="1" applyAlignment="1"/>
    <xf numFmtId="168" fontId="0" fillId="0" borderId="24" xfId="0" applyNumberFormat="1" applyFont="1" applyFill="1" applyBorder="1" applyAlignment="1">
      <alignment horizontal="center"/>
    </xf>
    <xf numFmtId="168" fontId="6" fillId="0" borderId="3" xfId="0" applyNumberFormat="1" applyFont="1" applyFill="1" applyBorder="1"/>
    <xf numFmtId="44" fontId="0" fillId="18" borderId="24" xfId="1" applyFont="1" applyFill="1" applyBorder="1"/>
    <xf numFmtId="171" fontId="0" fillId="18" borderId="24" xfId="0" applyNumberFormat="1" applyFont="1" applyFill="1" applyBorder="1"/>
    <xf numFmtId="0" fontId="0" fillId="0" borderId="0" xfId="0" applyFont="1" applyAlignment="1"/>
    <xf numFmtId="0" fontId="0" fillId="0" borderId="0" xfId="0" applyFont="1"/>
    <xf numFmtId="166" fontId="0" fillId="0" borderId="6" xfId="0" applyNumberFormat="1" applyFont="1" applyFill="1" applyBorder="1" applyAlignment="1">
      <alignment horizontal="center"/>
    </xf>
    <xf numFmtId="168" fontId="35" fillId="0" borderId="3" xfId="0" applyNumberFormat="1" applyFont="1" applyBorder="1"/>
    <xf numFmtId="168" fontId="32" fillId="0" borderId="24" xfId="0" applyNumberFormat="1" applyFont="1" applyFill="1" applyBorder="1"/>
    <xf numFmtId="168" fontId="0" fillId="0" borderId="24" xfId="0" applyNumberFormat="1" applyFill="1" applyBorder="1"/>
    <xf numFmtId="168" fontId="33" fillId="0" borderId="24" xfId="0" applyNumberFormat="1" applyFont="1" applyFill="1" applyBorder="1"/>
    <xf numFmtId="169" fontId="33" fillId="0" borderId="3" xfId="0" applyNumberFormat="1" applyFont="1" applyFill="1" applyBorder="1"/>
    <xf numFmtId="166" fontId="32" fillId="0" borderId="6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9" fontId="0" fillId="0" borderId="0" xfId="0" quotePrefix="1" applyNumberFormat="1" applyFont="1"/>
    <xf numFmtId="167" fontId="0" fillId="0" borderId="6" xfId="0" quotePrefix="1" applyNumberFormat="1" applyFont="1" applyBorder="1"/>
    <xf numFmtId="169" fontId="0" fillId="0" borderId="24" xfId="0" applyNumberFormat="1" applyFont="1" applyBorder="1"/>
    <xf numFmtId="2" fontId="6" fillId="0" borderId="24" xfId="0" applyNumberFormat="1" applyFont="1" applyBorder="1" applyAlignment="1">
      <alignment horizontal="center"/>
    </xf>
    <xf numFmtId="170" fontId="0" fillId="0" borderId="24" xfId="0" applyNumberFormat="1" applyFont="1" applyBorder="1"/>
    <xf numFmtId="3" fontId="37" fillId="0" borderId="3" xfId="0" applyNumberFormat="1" applyFont="1" applyBorder="1" applyAlignment="1">
      <alignment horizontal="center"/>
    </xf>
    <xf numFmtId="3" fontId="37" fillId="0" borderId="3" xfId="0" quotePrefix="1" applyNumberFormat="1" applyFont="1" applyBorder="1" applyAlignment="1">
      <alignment horizontal="center"/>
    </xf>
    <xf numFmtId="3" fontId="37" fillId="17" borderId="3" xfId="0" applyNumberFormat="1" applyFont="1" applyFill="1" applyBorder="1" applyAlignment="1">
      <alignment horizontal="center"/>
    </xf>
    <xf numFmtId="0" fontId="38" fillId="6" borderId="14" xfId="0" applyFont="1" applyFill="1" applyBorder="1" applyAlignment="1">
      <alignment horizontal="right"/>
    </xf>
    <xf numFmtId="164" fontId="38" fillId="6" borderId="15" xfId="0" applyNumberFormat="1" applyFont="1" applyFill="1" applyBorder="1" applyAlignment="1">
      <alignment horizontal="left"/>
    </xf>
    <xf numFmtId="0" fontId="38" fillId="7" borderId="14" xfId="0" applyFont="1" applyFill="1" applyBorder="1" applyAlignment="1">
      <alignment horizontal="right"/>
    </xf>
    <xf numFmtId="164" fontId="38" fillId="7" borderId="15" xfId="0" applyNumberFormat="1" applyFont="1" applyFill="1" applyBorder="1" applyAlignment="1">
      <alignment horizontal="left"/>
    </xf>
    <xf numFmtId="0" fontId="40" fillId="0" borderId="34" xfId="0" applyFont="1" applyBorder="1" applyAlignment="1">
      <alignment horizontal="center" vertical="center" wrapText="1"/>
    </xf>
    <xf numFmtId="0" fontId="42" fillId="0" borderId="34" xfId="0" applyFont="1" applyBorder="1" applyAlignment="1">
      <alignment horizontal="center" vertical="center" wrapText="1"/>
    </xf>
    <xf numFmtId="0" fontId="39" fillId="9" borderId="21" xfId="0" applyFont="1" applyFill="1" applyBorder="1"/>
    <xf numFmtId="0" fontId="0" fillId="0" borderId="0" xfId="0" applyFont="1" applyAlignment="1"/>
    <xf numFmtId="165" fontId="18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2" fillId="0" borderId="42" xfId="0" applyFont="1" applyBorder="1"/>
    <xf numFmtId="0" fontId="0" fillId="0" borderId="0" xfId="0" applyFont="1"/>
    <xf numFmtId="4" fontId="0" fillId="0" borderId="0" xfId="0" applyNumberFormat="1" applyFont="1" applyAlignment="1"/>
    <xf numFmtId="4" fontId="5" fillId="0" borderId="24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4" fontId="5" fillId="0" borderId="60" xfId="0" applyNumberFormat="1" applyFont="1" applyBorder="1" applyAlignment="1">
      <alignment horizontal="left"/>
    </xf>
    <xf numFmtId="4" fontId="0" fillId="0" borderId="61" xfId="0" applyNumberFormat="1" applyFont="1" applyBorder="1" applyAlignment="1"/>
    <xf numFmtId="4" fontId="32" fillId="0" borderId="24" xfId="0" applyNumberFormat="1" applyFont="1" applyBorder="1" applyAlignment="1">
      <alignment horizontal="left"/>
    </xf>
    <xf numFmtId="168" fontId="0" fillId="0" borderId="24" xfId="0" applyNumberFormat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166" fontId="0" fillId="0" borderId="6" xfId="0" applyNumberFormat="1" applyFill="1" applyBorder="1" applyAlignment="1">
      <alignment horizontal="center"/>
    </xf>
    <xf numFmtId="168" fontId="35" fillId="0" borderId="24" xfId="0" applyNumberFormat="1" applyFont="1" applyFill="1" applyBorder="1"/>
    <xf numFmtId="166" fontId="33" fillId="0" borderId="6" xfId="0" applyNumberFormat="1" applyFont="1" applyFill="1" applyBorder="1" applyAlignment="1">
      <alignment horizontal="center"/>
    </xf>
    <xf numFmtId="10" fontId="0" fillId="0" borderId="3" xfId="0" applyNumberFormat="1" applyFont="1" applyFill="1" applyBorder="1"/>
    <xf numFmtId="44" fontId="0" fillId="0" borderId="24" xfId="1" applyFont="1" applyFill="1" applyBorder="1"/>
    <xf numFmtId="0" fontId="18" fillId="0" borderId="0" xfId="0" applyFont="1" applyAlignment="1">
      <alignment vertical="center"/>
    </xf>
    <xf numFmtId="173" fontId="0" fillId="0" borderId="0" xfId="0" applyNumberFormat="1" applyFont="1"/>
    <xf numFmtId="173" fontId="11" fillId="8" borderId="21" xfId="0" applyNumberFormat="1" applyFont="1" applyFill="1" applyBorder="1" applyAlignment="1">
      <alignment horizontal="center" vertical="center" wrapText="1"/>
    </xf>
    <xf numFmtId="173" fontId="39" fillId="9" borderId="21" xfId="0" applyNumberFormat="1" applyFont="1" applyFill="1" applyBorder="1" applyAlignment="1">
      <alignment horizontal="center" vertical="center" wrapText="1"/>
    </xf>
    <xf numFmtId="173" fontId="11" fillId="9" borderId="21" xfId="0" applyNumberFormat="1" applyFont="1" applyFill="1" applyBorder="1" applyAlignment="1">
      <alignment horizontal="center" vertical="center" wrapText="1"/>
    </xf>
    <xf numFmtId="173" fontId="11" fillId="8" borderId="30" xfId="0" applyNumberFormat="1" applyFont="1" applyFill="1" applyBorder="1" applyAlignment="1">
      <alignment horizontal="center" vertical="center" wrapText="1"/>
    </xf>
    <xf numFmtId="0" fontId="31" fillId="0" borderId="0" xfId="0" applyFont="1"/>
    <xf numFmtId="0" fontId="0" fillId="0" borderId="0" xfId="0" applyFont="1" applyAlignment="1"/>
    <xf numFmtId="0" fontId="2" fillId="0" borderId="42" xfId="0" applyFont="1" applyBorder="1"/>
    <xf numFmtId="165" fontId="18" fillId="0" borderId="0" xfId="0" applyNumberFormat="1" applyFont="1" applyAlignment="1">
      <alignment horizontal="center" vertical="center"/>
    </xf>
    <xf numFmtId="0" fontId="0" fillId="0" borderId="0" xfId="0" applyFont="1"/>
    <xf numFmtId="0" fontId="5" fillId="12" borderId="52" xfId="0" applyFont="1" applyFill="1" applyBorder="1" applyAlignment="1">
      <alignment horizontal="center" vertical="center" wrapText="1"/>
    </xf>
    <xf numFmtId="10" fontId="7" fillId="12" borderId="53" xfId="2" applyNumberFormat="1" applyFont="1" applyFill="1" applyBorder="1" applyAlignment="1">
      <alignment vertical="center" wrapText="1"/>
    </xf>
    <xf numFmtId="168" fontId="2" fillId="0" borderId="24" xfId="0" applyNumberFormat="1" applyFont="1" applyFill="1" applyBorder="1"/>
    <xf numFmtId="0" fontId="0" fillId="0" borderId="0" xfId="0" applyFont="1" applyAlignment="1"/>
    <xf numFmtId="0" fontId="0" fillId="0" borderId="0" xfId="0" applyFont="1"/>
    <xf numFmtId="166" fontId="31" fillId="0" borderId="6" xfId="0" applyNumberFormat="1" applyFont="1" applyBorder="1" applyAlignment="1">
      <alignment horizontal="center"/>
    </xf>
    <xf numFmtId="168" fontId="32" fillId="15" borderId="24" xfId="0" applyNumberFormat="1" applyFont="1" applyFill="1" applyBorder="1"/>
    <xf numFmtId="0" fontId="11" fillId="9" borderId="62" xfId="0" applyFont="1" applyFill="1" applyBorder="1" applyAlignment="1">
      <alignment horizontal="center" vertical="center" wrapText="1"/>
    </xf>
    <xf numFmtId="0" fontId="12" fillId="8" borderId="66" xfId="0" applyFont="1" applyFill="1" applyBorder="1" applyAlignment="1">
      <alignment vertical="center" wrapText="1"/>
    </xf>
    <xf numFmtId="173" fontId="11" fillId="8" borderId="66" xfId="0" applyNumberFormat="1" applyFont="1" applyFill="1" applyBorder="1" applyAlignment="1">
      <alignment horizontal="center" vertical="center" wrapText="1"/>
    </xf>
    <xf numFmtId="173" fontId="11" fillId="9" borderId="66" xfId="0" applyNumberFormat="1" applyFont="1" applyFill="1" applyBorder="1" applyAlignment="1">
      <alignment horizontal="center" vertical="center" wrapText="1"/>
    </xf>
    <xf numFmtId="173" fontId="11" fillId="8" borderId="68" xfId="0" applyNumberFormat="1" applyFont="1" applyFill="1" applyBorder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0" borderId="42" xfId="0" applyFont="1" applyBorder="1"/>
    <xf numFmtId="0" fontId="0" fillId="0" borderId="0" xfId="0" applyFont="1"/>
    <xf numFmtId="0" fontId="5" fillId="12" borderId="52" xfId="0" applyFont="1" applyFill="1" applyBorder="1" applyAlignment="1">
      <alignment horizontal="center" vertical="center" wrapText="1"/>
    </xf>
    <xf numFmtId="166" fontId="31" fillId="0" borderId="6" xfId="0" applyNumberFormat="1" applyFont="1" applyFill="1" applyBorder="1" applyAlignment="1">
      <alignment horizontal="center"/>
    </xf>
    <xf numFmtId="0" fontId="0" fillId="0" borderId="0" xfId="0" applyFont="1" applyAlignment="1"/>
    <xf numFmtId="0" fontId="2" fillId="0" borderId="42" xfId="0" applyFont="1" applyBorder="1"/>
    <xf numFmtId="165" fontId="18" fillId="0" borderId="0" xfId="0" applyNumberFormat="1" applyFont="1" applyAlignment="1">
      <alignment horizontal="center" vertical="center"/>
    </xf>
    <xf numFmtId="0" fontId="0" fillId="0" borderId="0" xfId="0" applyFont="1"/>
    <xf numFmtId="0" fontId="5" fillId="12" borderId="52" xfId="0" applyFont="1" applyFill="1" applyBorder="1" applyAlignment="1">
      <alignment horizontal="center" vertical="center" wrapText="1"/>
    </xf>
    <xf numFmtId="44" fontId="31" fillId="0" borderId="24" xfId="1" applyFont="1" applyBorder="1"/>
    <xf numFmtId="0" fontId="10" fillId="3" borderId="48" xfId="0" applyFont="1" applyFill="1" applyBorder="1" applyAlignment="1">
      <alignment horizontal="right"/>
    </xf>
    <xf numFmtId="164" fontId="10" fillId="3" borderId="49" xfId="0" applyNumberFormat="1" applyFont="1" applyFill="1" applyBorder="1" applyAlignment="1">
      <alignment horizontal="left"/>
    </xf>
    <xf numFmtId="0" fontId="10" fillId="4" borderId="48" xfId="0" applyFont="1" applyFill="1" applyBorder="1" applyAlignment="1">
      <alignment horizontal="right"/>
    </xf>
    <xf numFmtId="164" fontId="10" fillId="4" borderId="49" xfId="0" applyNumberFormat="1" applyFont="1" applyFill="1" applyBorder="1" applyAlignment="1">
      <alignment horizontal="left"/>
    </xf>
    <xf numFmtId="0" fontId="0" fillId="0" borderId="0" xfId="0" applyFont="1" applyAlignment="1"/>
    <xf numFmtId="0" fontId="2" fillId="0" borderId="42" xfId="0" applyFont="1" applyBorder="1"/>
    <xf numFmtId="165" fontId="18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/>
    <xf numFmtId="0" fontId="10" fillId="5" borderId="48" xfId="0" applyFont="1" applyFill="1" applyBorder="1" applyAlignment="1">
      <alignment horizontal="right"/>
    </xf>
    <xf numFmtId="164" fontId="10" fillId="5" borderId="49" xfId="0" applyNumberFormat="1" applyFont="1" applyFill="1" applyBorder="1" applyAlignment="1">
      <alignment horizontal="left"/>
    </xf>
    <xf numFmtId="168" fontId="0" fillId="0" borderId="2" xfId="0" applyNumberFormat="1" applyFont="1" applyBorder="1"/>
    <xf numFmtId="168" fontId="0" fillId="0" borderId="59" xfId="0" applyNumberFormat="1" applyBorder="1"/>
    <xf numFmtId="168" fontId="0" fillId="0" borderId="60" xfId="0" applyNumberFormat="1" applyFont="1" applyBorder="1"/>
    <xf numFmtId="168" fontId="0" fillId="0" borderId="61" xfId="0" applyNumberFormat="1" applyBorder="1" applyAlignment="1">
      <alignment horizontal="center"/>
    </xf>
    <xf numFmtId="168" fontId="0" fillId="0" borderId="61" xfId="0" applyNumberFormat="1" applyFont="1" applyBorder="1"/>
    <xf numFmtId="44" fontId="0" fillId="0" borderId="61" xfId="0" applyNumberFormat="1" applyFont="1" applyBorder="1" applyAlignment="1"/>
    <xf numFmtId="0" fontId="10" fillId="0" borderId="74" xfId="0" applyFont="1" applyBorder="1" applyAlignment="1"/>
    <xf numFmtId="0" fontId="10" fillId="0" borderId="75" xfId="0" applyFont="1" applyBorder="1" applyAlignment="1"/>
    <xf numFmtId="166" fontId="6" fillId="0" borderId="6" xfId="0" applyNumberFormat="1" applyFont="1" applyBorder="1" applyAlignment="1">
      <alignment horizontal="center"/>
    </xf>
    <xf numFmtId="0" fontId="0" fillId="0" borderId="0" xfId="0" applyFont="1" applyAlignment="1"/>
    <xf numFmtId="0" fontId="18" fillId="0" borderId="0" xfId="0" applyFont="1" applyAlignment="1">
      <alignment vertical="center" wrapText="1"/>
    </xf>
    <xf numFmtId="168" fontId="31" fillId="0" borderId="24" xfId="0" applyNumberFormat="1" applyFont="1" applyFill="1" applyBorder="1"/>
    <xf numFmtId="44" fontId="0" fillId="0" borderId="0" xfId="0" applyNumberFormat="1" applyFont="1" applyAlignment="1"/>
    <xf numFmtId="0" fontId="5" fillId="12" borderId="76" xfId="3" applyFont="1" applyFill="1" applyBorder="1" applyAlignment="1">
      <alignment horizontal="center" vertical="center" wrapText="1"/>
    </xf>
    <xf numFmtId="0" fontId="5" fillId="12" borderId="78" xfId="3" applyFont="1" applyFill="1" applyBorder="1" applyAlignment="1">
      <alignment horizontal="center" vertical="center" wrapText="1"/>
    </xf>
    <xf numFmtId="10" fontId="7" fillId="12" borderId="79" xfId="4" applyNumberFormat="1" applyFont="1" applyFill="1" applyBorder="1" applyAlignment="1">
      <alignment vertical="center" wrapText="1"/>
    </xf>
    <xf numFmtId="10" fontId="7" fillId="12" borderId="81" xfId="4" applyNumberFormat="1" applyFont="1" applyFill="1" applyBorder="1" applyAlignment="1">
      <alignment vertical="center" wrapText="1"/>
    </xf>
    <xf numFmtId="10" fontId="0" fillId="0" borderId="0" xfId="2" applyNumberFormat="1" applyFont="1" applyAlignment="1"/>
    <xf numFmtId="0" fontId="0" fillId="0" borderId="0" xfId="0" applyFont="1" applyAlignment="1"/>
    <xf numFmtId="0" fontId="0" fillId="0" borderId="0" xfId="0" applyFont="1"/>
    <xf numFmtId="165" fontId="31" fillId="0" borderId="0" xfId="0" applyNumberFormat="1" applyFont="1"/>
    <xf numFmtId="0" fontId="0" fillId="0" borderId="0" xfId="0" applyFont="1" applyAlignment="1"/>
    <xf numFmtId="0" fontId="2" fillId="0" borderId="42" xfId="0" applyFont="1" applyBorder="1"/>
    <xf numFmtId="0" fontId="5" fillId="12" borderId="52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/>
    <xf numFmtId="165" fontId="18" fillId="0" borderId="0" xfId="0" applyNumberFormat="1" applyFont="1" applyAlignment="1">
      <alignment horizontal="center" vertical="center"/>
    </xf>
    <xf numFmtId="0" fontId="0" fillId="0" borderId="0" xfId="0" applyFont="1"/>
    <xf numFmtId="168" fontId="0" fillId="0" borderId="24" xfId="0" applyNumberForma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2" fillId="0" borderId="42" xfId="0" applyFont="1" applyBorder="1"/>
    <xf numFmtId="165" fontId="18" fillId="0" borderId="0" xfId="0" applyNumberFormat="1" applyFont="1" applyAlignment="1">
      <alignment horizontal="center" vertical="center"/>
    </xf>
    <xf numFmtId="0" fontId="5" fillId="12" borderId="52" xfId="0" applyFont="1" applyFill="1" applyBorder="1" applyAlignment="1">
      <alignment horizontal="center" vertical="center" wrapText="1"/>
    </xf>
    <xf numFmtId="0" fontId="0" fillId="0" borderId="0" xfId="0" applyFont="1"/>
    <xf numFmtId="0" fontId="31" fillId="0" borderId="0" xfId="0" applyFont="1" applyAlignment="1"/>
    <xf numFmtId="10" fontId="6" fillId="0" borderId="0" xfId="0" applyNumberFormat="1" applyFont="1" applyAlignment="1"/>
    <xf numFmtId="0" fontId="0" fillId="0" borderId="61" xfId="0" applyFont="1" applyBorder="1" applyAlignment="1"/>
    <xf numFmtId="44" fontId="0" fillId="0" borderId="61" xfId="1" applyFont="1" applyBorder="1" applyAlignment="1"/>
    <xf numFmtId="0" fontId="31" fillId="0" borderId="61" xfId="0" applyFont="1" applyBorder="1" applyAlignment="1"/>
    <xf numFmtId="0" fontId="5" fillId="0" borderId="93" xfId="0" applyFont="1" applyBorder="1" applyAlignment="1"/>
    <xf numFmtId="0" fontId="5" fillId="0" borderId="61" xfId="0" applyFont="1" applyFill="1" applyBorder="1" applyAlignment="1"/>
    <xf numFmtId="9" fontId="6" fillId="0" borderId="0" xfId="0" applyNumberFormat="1" applyFont="1" applyAlignment="1"/>
    <xf numFmtId="0" fontId="0" fillId="0" borderId="0" xfId="0" applyFont="1" applyAlignment="1"/>
    <xf numFmtId="0" fontId="5" fillId="12" borderId="54" xfId="0" applyFont="1" applyFill="1" applyBorder="1" applyAlignment="1">
      <alignment horizontal="center" vertical="center" wrapText="1"/>
    </xf>
    <xf numFmtId="0" fontId="0" fillId="0" borderId="0" xfId="0" applyFont="1"/>
    <xf numFmtId="168" fontId="0" fillId="0" borderId="61" xfId="0" applyNumberFormat="1" applyFont="1" applyFill="1" applyBorder="1"/>
    <xf numFmtId="2" fontId="0" fillId="0" borderId="0" xfId="0" applyNumberFormat="1" applyFont="1"/>
    <xf numFmtId="168" fontId="0" fillId="13" borderId="60" xfId="0" applyNumberFormat="1" applyFont="1" applyFill="1" applyBorder="1"/>
    <xf numFmtId="0" fontId="0" fillId="0" borderId="0" xfId="0" applyFont="1" applyAlignment="1"/>
    <xf numFmtId="0" fontId="0" fillId="0" borderId="0" xfId="0" applyFont="1"/>
    <xf numFmtId="168" fontId="0" fillId="13" borderId="42" xfId="0" applyNumberFormat="1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/>
    <xf numFmtId="168" fontId="2" fillId="15" borderId="24" xfId="0" applyNumberFormat="1" applyFont="1" applyFill="1" applyBorder="1"/>
    <xf numFmtId="168" fontId="0" fillId="15" borderId="24" xfId="0" applyNumberFormat="1" applyFill="1" applyBorder="1"/>
    <xf numFmtId="168" fontId="0" fillId="15" borderId="24" xfId="0" applyNumberFormat="1" applyFill="1" applyBorder="1" applyAlignment="1">
      <alignment horizontal="center"/>
    </xf>
    <xf numFmtId="168" fontId="0" fillId="15" borderId="3" xfId="0" applyNumberFormat="1" applyFont="1" applyFill="1" applyBorder="1" applyAlignment="1">
      <alignment horizontal="center"/>
    </xf>
    <xf numFmtId="168" fontId="0" fillId="0" borderId="2" xfId="0" applyNumberFormat="1" applyBorder="1"/>
    <xf numFmtId="10" fontId="7" fillId="12" borderId="54" xfId="2" applyNumberFormat="1" applyFont="1" applyFill="1" applyBorder="1" applyAlignment="1">
      <alignment vertical="center" wrapText="1"/>
    </xf>
    <xf numFmtId="168" fontId="0" fillId="0" borderId="61" xfId="0" applyNumberFormat="1" applyBorder="1"/>
    <xf numFmtId="168" fontId="2" fillId="0" borderId="61" xfId="0" applyNumberFormat="1" applyFont="1" applyFill="1" applyBorder="1"/>
    <xf numFmtId="168" fontId="0" fillId="0" borderId="61" xfId="0" applyNumberFormat="1" applyFill="1" applyBorder="1"/>
    <xf numFmtId="0" fontId="5" fillId="12" borderId="52" xfId="0" applyFont="1" applyFill="1" applyBorder="1" applyAlignment="1">
      <alignment horizontal="center" vertical="center" wrapText="1"/>
    </xf>
    <xf numFmtId="0" fontId="2" fillId="0" borderId="53" xfId="0" applyFont="1" applyBorder="1"/>
    <xf numFmtId="0" fontId="27" fillId="11" borderId="44" xfId="0" applyFont="1" applyFill="1" applyBorder="1" applyAlignment="1">
      <alignment horizontal="center" vertical="center" wrapText="1"/>
    </xf>
    <xf numFmtId="0" fontId="2" fillId="0" borderId="46" xfId="0" applyFont="1" applyBorder="1"/>
    <xf numFmtId="0" fontId="2" fillId="0" borderId="47" xfId="0" applyFont="1" applyBorder="1"/>
    <xf numFmtId="0" fontId="27" fillId="11" borderId="4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19" fillId="12" borderId="52" xfId="0" applyFont="1" applyFill="1" applyBorder="1" applyAlignment="1">
      <alignment horizontal="center" vertical="center" wrapText="1"/>
    </xf>
    <xf numFmtId="0" fontId="2" fillId="0" borderId="54" xfId="0" applyFont="1" applyBorder="1"/>
    <xf numFmtId="0" fontId="5" fillId="12" borderId="54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/>
    </xf>
    <xf numFmtId="0" fontId="2" fillId="0" borderId="3" xfId="0" applyFont="1" applyBorder="1"/>
    <xf numFmtId="0" fontId="5" fillId="12" borderId="52" xfId="0" applyFont="1" applyFill="1" applyBorder="1" applyAlignment="1">
      <alignment horizontal="center" vertical="center"/>
    </xf>
    <xf numFmtId="0" fontId="23" fillId="10" borderId="44" xfId="0" applyFont="1" applyFill="1" applyBorder="1" applyAlignment="1">
      <alignment horizontal="center" vertical="center" wrapText="1"/>
    </xf>
    <xf numFmtId="0" fontId="23" fillId="10" borderId="47" xfId="0" applyFont="1" applyFill="1" applyBorder="1" applyAlignment="1">
      <alignment horizontal="center" vertical="center" wrapText="1"/>
    </xf>
    <xf numFmtId="0" fontId="23" fillId="10" borderId="45" xfId="0" applyFont="1" applyFill="1" applyBorder="1" applyAlignment="1">
      <alignment horizontal="center" vertical="center" wrapText="1"/>
    </xf>
    <xf numFmtId="0" fontId="28" fillId="10" borderId="48" xfId="0" applyFont="1" applyFill="1" applyBorder="1" applyAlignment="1">
      <alignment horizontal="center" vertical="center" wrapText="1"/>
    </xf>
    <xf numFmtId="0" fontId="28" fillId="10" borderId="51" xfId="0" applyFont="1" applyFill="1" applyBorder="1" applyAlignment="1">
      <alignment horizontal="center" vertical="center" wrapText="1"/>
    </xf>
    <xf numFmtId="0" fontId="28" fillId="10" borderId="4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ont="1" applyAlignment="1"/>
    <xf numFmtId="164" fontId="11" fillId="6" borderId="18" xfId="0" applyNumberFormat="1" applyFont="1" applyFill="1" applyBorder="1" applyAlignment="1">
      <alignment vertical="center"/>
    </xf>
    <xf numFmtId="0" fontId="2" fillId="0" borderId="19" xfId="0" applyFont="1" applyBorder="1"/>
    <xf numFmtId="164" fontId="39" fillId="7" borderId="18" xfId="0" applyNumberFormat="1" applyFont="1" applyFill="1" applyBorder="1" applyAlignment="1">
      <alignment vertical="center"/>
    </xf>
    <xf numFmtId="0" fontId="33" fillId="0" borderId="20" xfId="0" applyFont="1" applyBorder="1"/>
    <xf numFmtId="0" fontId="11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2" fillId="0" borderId="22" xfId="0" applyFont="1" applyBorder="1"/>
    <xf numFmtId="164" fontId="11" fillId="4" borderId="1" xfId="0" applyNumberFormat="1" applyFont="1" applyFill="1" applyBorder="1" applyAlignment="1">
      <alignment vertical="center"/>
    </xf>
    <xf numFmtId="164" fontId="11" fillId="5" borderId="1" xfId="0" applyNumberFormat="1" applyFont="1" applyFill="1" applyBorder="1" applyAlignment="1">
      <alignment vertical="center"/>
    </xf>
    <xf numFmtId="2" fontId="16" fillId="4" borderId="18" xfId="0" applyNumberFormat="1" applyFont="1" applyFill="1" applyBorder="1" applyAlignment="1">
      <alignment vertical="center"/>
    </xf>
    <xf numFmtId="2" fontId="16" fillId="5" borderId="18" xfId="0" applyNumberFormat="1" applyFont="1" applyFill="1" applyBorder="1" applyAlignment="1">
      <alignment vertical="center"/>
    </xf>
    <xf numFmtId="2" fontId="36" fillId="6" borderId="18" xfId="0" applyNumberFormat="1" applyFont="1" applyFill="1" applyBorder="1" applyAlignment="1">
      <alignment vertical="center"/>
    </xf>
    <xf numFmtId="0" fontId="37" fillId="0" borderId="19" xfId="0" applyFont="1" applyBorder="1"/>
    <xf numFmtId="2" fontId="36" fillId="7" borderId="18" xfId="0" applyNumberFormat="1" applyFont="1" applyFill="1" applyBorder="1" applyAlignment="1">
      <alignment vertical="center"/>
    </xf>
    <xf numFmtId="0" fontId="37" fillId="0" borderId="20" xfId="0" applyFont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164" fontId="11" fillId="6" borderId="1" xfId="0" applyNumberFormat="1" applyFont="1" applyFill="1" applyBorder="1" applyAlignment="1">
      <alignment vertical="center"/>
    </xf>
    <xf numFmtId="164" fontId="11" fillId="7" borderId="1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16" fillId="3" borderId="18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164" fontId="11" fillId="3" borderId="1" xfId="0" applyNumberFormat="1" applyFont="1" applyFill="1" applyBorder="1" applyAlignment="1">
      <alignment vertical="center"/>
    </xf>
    <xf numFmtId="0" fontId="11" fillId="3" borderId="1" xfId="0" quotePrefix="1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2" fillId="0" borderId="13" xfId="0" applyFont="1" applyBorder="1"/>
    <xf numFmtId="0" fontId="10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164" fontId="11" fillId="3" borderId="18" xfId="0" applyNumberFormat="1" applyFont="1" applyFill="1" applyBorder="1" applyAlignment="1">
      <alignment vertical="center"/>
    </xf>
    <xf numFmtId="164" fontId="11" fillId="4" borderId="18" xfId="0" applyNumberFormat="1" applyFont="1" applyFill="1" applyBorder="1" applyAlignment="1">
      <alignment vertical="center"/>
    </xf>
    <xf numFmtId="164" fontId="11" fillId="5" borderId="18" xfId="0" applyNumberFormat="1" applyFont="1" applyFill="1" applyBorder="1" applyAlignment="1">
      <alignment vertical="center"/>
    </xf>
    <xf numFmtId="166" fontId="11" fillId="5" borderId="1" xfId="0" applyNumberFormat="1" applyFont="1" applyFill="1" applyBorder="1" applyAlignment="1">
      <alignment horizontal="center" vertical="center" wrapText="1"/>
    </xf>
    <xf numFmtId="166" fontId="11" fillId="6" borderId="1" xfId="0" applyNumberFormat="1" applyFont="1" applyFill="1" applyBorder="1" applyAlignment="1">
      <alignment horizontal="center" vertical="center" wrapText="1"/>
    </xf>
    <xf numFmtId="166" fontId="13" fillId="7" borderId="1" xfId="0" applyNumberFormat="1" applyFont="1" applyFill="1" applyBorder="1" applyAlignment="1">
      <alignment horizontal="center" vertical="center" wrapText="1"/>
    </xf>
    <xf numFmtId="166" fontId="11" fillId="4" borderId="1" xfId="0" applyNumberFormat="1" applyFont="1" applyFill="1" applyBorder="1" applyAlignment="1">
      <alignment horizontal="center" vertical="center" wrapText="1"/>
    </xf>
    <xf numFmtId="166" fontId="11" fillId="3" borderId="1" xfId="0" applyNumberFormat="1" applyFont="1" applyFill="1" applyBorder="1" applyAlignment="1">
      <alignment horizontal="center" vertical="center" wrapText="1"/>
    </xf>
    <xf numFmtId="10" fontId="11" fillId="3" borderId="31" xfId="0" applyNumberFormat="1" applyFont="1" applyFill="1" applyBorder="1" applyAlignment="1">
      <alignment vertical="center"/>
    </xf>
    <xf numFmtId="0" fontId="2" fillId="0" borderId="32" xfId="0" applyFont="1" applyBorder="1"/>
    <xf numFmtId="10" fontId="11" fillId="4" borderId="31" xfId="0" applyNumberFormat="1" applyFont="1" applyFill="1" applyBorder="1" applyAlignment="1">
      <alignment vertical="center"/>
    </xf>
    <xf numFmtId="10" fontId="11" fillId="5" borderId="31" xfId="0" applyNumberFormat="1" applyFont="1" applyFill="1" applyBorder="1" applyAlignment="1">
      <alignment vertical="center"/>
    </xf>
    <xf numFmtId="10" fontId="11" fillId="6" borderId="31" xfId="0" applyNumberFormat="1" applyFont="1" applyFill="1" applyBorder="1" applyAlignment="1">
      <alignment vertical="center"/>
    </xf>
    <xf numFmtId="165" fontId="8" fillId="19" borderId="35" xfId="0" applyNumberFormat="1" applyFont="1" applyFill="1" applyBorder="1" applyAlignment="1">
      <alignment horizontal="center" vertical="center"/>
    </xf>
    <xf numFmtId="0" fontId="2" fillId="20" borderId="36" xfId="0" applyFont="1" applyFill="1" applyBorder="1"/>
    <xf numFmtId="165" fontId="8" fillId="4" borderId="35" xfId="0" applyNumberFormat="1" applyFont="1" applyFill="1" applyBorder="1" applyAlignment="1">
      <alignment horizontal="center" vertical="center"/>
    </xf>
    <xf numFmtId="0" fontId="2" fillId="0" borderId="36" xfId="0" applyFont="1" applyBorder="1"/>
    <xf numFmtId="165" fontId="8" fillId="5" borderId="35" xfId="0" applyNumberFormat="1" applyFont="1" applyFill="1" applyBorder="1" applyAlignment="1">
      <alignment horizontal="center" vertical="center"/>
    </xf>
    <xf numFmtId="165" fontId="8" fillId="6" borderId="35" xfId="0" applyNumberFormat="1" applyFont="1" applyFill="1" applyBorder="1" applyAlignment="1">
      <alignment horizontal="center" vertical="center"/>
    </xf>
    <xf numFmtId="165" fontId="18" fillId="7" borderId="35" xfId="0" applyNumberFormat="1" applyFont="1" applyFill="1" applyBorder="1" applyAlignment="1">
      <alignment horizontal="center" vertical="center"/>
    </xf>
    <xf numFmtId="166" fontId="11" fillId="3" borderId="38" xfId="0" applyNumberFormat="1" applyFont="1" applyFill="1" applyBorder="1" applyAlignment="1">
      <alignment horizontal="center" vertical="center" wrapText="1"/>
    </xf>
    <xf numFmtId="0" fontId="2" fillId="0" borderId="39" xfId="0" applyFont="1" applyBorder="1"/>
    <xf numFmtId="166" fontId="11" fillId="4" borderId="38" xfId="0" applyNumberFormat="1" applyFont="1" applyFill="1" applyBorder="1" applyAlignment="1">
      <alignment horizontal="center" vertical="center" wrapText="1"/>
    </xf>
    <xf numFmtId="166" fontId="11" fillId="5" borderId="38" xfId="0" applyNumberFormat="1" applyFont="1" applyFill="1" applyBorder="1" applyAlignment="1">
      <alignment horizontal="center" vertical="center" wrapText="1"/>
    </xf>
    <xf numFmtId="166" fontId="11" fillId="6" borderId="38" xfId="0" applyNumberFormat="1" applyFont="1" applyFill="1" applyBorder="1" applyAlignment="1">
      <alignment horizontal="center" vertical="center" wrapText="1"/>
    </xf>
    <xf numFmtId="166" fontId="13" fillId="7" borderId="38" xfId="0" applyNumberFormat="1" applyFont="1" applyFill="1" applyBorder="1" applyAlignment="1">
      <alignment horizontal="center" vertical="center" wrapText="1"/>
    </xf>
    <xf numFmtId="0" fontId="2" fillId="0" borderId="40" xfId="0" applyFont="1" applyBorder="1"/>
    <xf numFmtId="10" fontId="43" fillId="7" borderId="31" xfId="0" applyNumberFormat="1" applyFont="1" applyFill="1" applyBorder="1" applyAlignment="1">
      <alignment vertical="center"/>
    </xf>
    <xf numFmtId="0" fontId="33" fillId="0" borderId="33" xfId="0" applyFont="1" applyBorder="1"/>
    <xf numFmtId="0" fontId="41" fillId="8" borderId="41" xfId="0" applyFont="1" applyFill="1" applyBorder="1" applyAlignment="1">
      <alignment horizontal="right" vertical="center" wrapText="1"/>
    </xf>
    <xf numFmtId="0" fontId="2" fillId="0" borderId="42" xfId="0" applyFont="1" applyBorder="1"/>
    <xf numFmtId="2" fontId="11" fillId="0" borderId="1" xfId="0" applyNumberFormat="1" applyFont="1" applyBorder="1" applyAlignment="1">
      <alignment horizontal="center"/>
    </xf>
    <xf numFmtId="166" fontId="11" fillId="5" borderId="31" xfId="0" applyNumberFormat="1" applyFont="1" applyFill="1" applyBorder="1" applyAlignment="1">
      <alignment horizontal="center" vertical="center" wrapText="1"/>
    </xf>
    <xf numFmtId="166" fontId="11" fillId="6" borderId="31" xfId="0" applyNumberFormat="1" applyFont="1" applyFill="1" applyBorder="1" applyAlignment="1">
      <alignment horizontal="center" vertical="center" wrapText="1"/>
    </xf>
    <xf numFmtId="2" fontId="11" fillId="8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Border="1"/>
    <xf numFmtId="166" fontId="11" fillId="3" borderId="31" xfId="0" applyNumberFormat="1" applyFont="1" applyFill="1" applyBorder="1" applyAlignment="1">
      <alignment horizontal="center" vertical="center" wrapText="1"/>
    </xf>
    <xf numFmtId="166" fontId="13" fillId="7" borderId="31" xfId="0" applyNumberFormat="1" applyFont="1" applyFill="1" applyBorder="1" applyAlignment="1">
      <alignment horizontal="center" vertical="center" wrapText="1"/>
    </xf>
    <xf numFmtId="0" fontId="2" fillId="0" borderId="33" xfId="0" applyFont="1" applyBorder="1"/>
    <xf numFmtId="166" fontId="11" fillId="4" borderId="31" xfId="0" applyNumberFormat="1" applyFont="1" applyFill="1" applyBorder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1" fillId="0" borderId="4" xfId="0" applyFont="1" applyBorder="1" applyAlignment="1">
      <alignment horizontal="left"/>
    </xf>
    <xf numFmtId="0" fontId="2" fillId="0" borderId="4" xfId="0" applyFont="1" applyBorder="1"/>
    <xf numFmtId="0" fontId="22" fillId="8" borderId="41" xfId="0" applyFont="1" applyFill="1" applyBorder="1" applyAlignment="1">
      <alignment horizontal="right" vertical="center" wrapText="1"/>
    </xf>
    <xf numFmtId="166" fontId="11" fillId="3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166" fontId="11" fillId="4" borderId="23" xfId="0" applyNumberFormat="1" applyFont="1" applyFill="1" applyBorder="1" applyAlignment="1">
      <alignment horizontal="center" vertical="center" wrapText="1"/>
    </xf>
    <xf numFmtId="166" fontId="11" fillId="5" borderId="23" xfId="0" applyNumberFormat="1" applyFont="1" applyFill="1" applyBorder="1" applyAlignment="1">
      <alignment horizontal="center" vertical="center" wrapText="1"/>
    </xf>
    <xf numFmtId="166" fontId="11" fillId="6" borderId="23" xfId="0" applyNumberFormat="1" applyFont="1" applyFill="1" applyBorder="1" applyAlignment="1">
      <alignment horizontal="center" vertical="center" wrapText="1"/>
    </xf>
    <xf numFmtId="166" fontId="13" fillId="7" borderId="23" xfId="0" applyNumberFormat="1" applyFont="1" applyFill="1" applyBorder="1" applyAlignment="1">
      <alignment horizontal="center" vertical="center" wrapText="1"/>
    </xf>
    <xf numFmtId="0" fontId="2" fillId="0" borderId="67" xfId="0" applyFont="1" applyBorder="1"/>
    <xf numFmtId="166" fontId="11" fillId="3" borderId="69" xfId="0" applyNumberFormat="1" applyFont="1" applyFill="1" applyBorder="1" applyAlignment="1">
      <alignment horizontal="center" vertical="center" wrapText="1"/>
    </xf>
    <xf numFmtId="0" fontId="2" fillId="0" borderId="70" xfId="0" applyFont="1" applyBorder="1"/>
    <xf numFmtId="166" fontId="11" fillId="4" borderId="69" xfId="0" applyNumberFormat="1" applyFont="1" applyFill="1" applyBorder="1" applyAlignment="1">
      <alignment horizontal="center" vertical="center" wrapText="1"/>
    </xf>
    <xf numFmtId="166" fontId="11" fillId="5" borderId="69" xfId="0" applyNumberFormat="1" applyFont="1" applyFill="1" applyBorder="1" applyAlignment="1">
      <alignment horizontal="center" vertical="center" wrapText="1"/>
    </xf>
    <xf numFmtId="166" fontId="11" fillId="6" borderId="69" xfId="0" applyNumberFormat="1" applyFont="1" applyFill="1" applyBorder="1" applyAlignment="1">
      <alignment horizontal="center" vertical="center" wrapText="1"/>
    </xf>
    <xf numFmtId="166" fontId="13" fillId="7" borderId="69" xfId="0" applyNumberFormat="1" applyFont="1" applyFill="1" applyBorder="1" applyAlignment="1">
      <alignment horizontal="center" vertical="center" wrapText="1"/>
    </xf>
    <xf numFmtId="0" fontId="2" fillId="0" borderId="71" xfId="0" applyFont="1" applyBorder="1"/>
    <xf numFmtId="0" fontId="18" fillId="0" borderId="0" xfId="0" applyFont="1" applyAlignment="1">
      <alignment horizontal="left" vertical="center" wrapText="1"/>
    </xf>
    <xf numFmtId="166" fontId="11" fillId="3" borderId="63" xfId="0" applyNumberFormat="1" applyFont="1" applyFill="1" applyBorder="1" applyAlignment="1">
      <alignment horizontal="center" vertical="center" wrapText="1"/>
    </xf>
    <xf numFmtId="0" fontId="2" fillId="0" borderId="64" xfId="0" applyFont="1" applyBorder="1"/>
    <xf numFmtId="166" fontId="11" fillId="4" borderId="63" xfId="0" applyNumberFormat="1" applyFont="1" applyFill="1" applyBorder="1" applyAlignment="1">
      <alignment horizontal="center" vertical="center" wrapText="1"/>
    </xf>
    <xf numFmtId="166" fontId="11" fillId="5" borderId="63" xfId="0" applyNumberFormat="1" applyFont="1" applyFill="1" applyBorder="1" applyAlignment="1">
      <alignment horizontal="center" vertical="center" wrapText="1"/>
    </xf>
    <xf numFmtId="166" fontId="11" fillId="6" borderId="63" xfId="0" applyNumberFormat="1" applyFont="1" applyFill="1" applyBorder="1" applyAlignment="1">
      <alignment horizontal="center" vertical="center" wrapText="1"/>
    </xf>
    <xf numFmtId="166" fontId="13" fillId="7" borderId="63" xfId="0" applyNumberFormat="1" applyFont="1" applyFill="1" applyBorder="1" applyAlignment="1">
      <alignment horizontal="center" vertical="center" wrapText="1"/>
    </xf>
    <xf numFmtId="0" fontId="2" fillId="0" borderId="65" xfId="0" applyFont="1" applyBorder="1"/>
    <xf numFmtId="165" fontId="8" fillId="3" borderId="35" xfId="0" applyNumberFormat="1" applyFont="1" applyFill="1" applyBorder="1" applyAlignment="1">
      <alignment horizontal="center" vertical="center"/>
    </xf>
    <xf numFmtId="10" fontId="17" fillId="7" borderId="31" xfId="0" applyNumberFormat="1" applyFont="1" applyFill="1" applyBorder="1" applyAlignment="1">
      <alignment vertical="center"/>
    </xf>
    <xf numFmtId="0" fontId="35" fillId="0" borderId="20" xfId="0" applyFont="1" applyBorder="1"/>
    <xf numFmtId="164" fontId="12" fillId="7" borderId="18" xfId="0" applyNumberFormat="1" applyFont="1" applyFill="1" applyBorder="1" applyAlignment="1">
      <alignment vertical="center"/>
    </xf>
    <xf numFmtId="0" fontId="2" fillId="0" borderId="20" xfId="0" applyFont="1" applyBorder="1"/>
    <xf numFmtId="0" fontId="0" fillId="0" borderId="0" xfId="0" applyFont="1"/>
    <xf numFmtId="0" fontId="19" fillId="12" borderId="94" xfId="0" applyFont="1" applyFill="1" applyBorder="1" applyAlignment="1">
      <alignment horizontal="center" vertical="center" wrapText="1"/>
    </xf>
    <xf numFmtId="0" fontId="19" fillId="12" borderId="95" xfId="0" applyFont="1" applyFill="1" applyBorder="1" applyAlignment="1">
      <alignment horizontal="center" vertical="center" wrapText="1"/>
    </xf>
    <xf numFmtId="0" fontId="19" fillId="12" borderId="57" xfId="0" applyFont="1" applyFill="1" applyBorder="1" applyAlignment="1">
      <alignment horizontal="center" vertical="center" wrapText="1"/>
    </xf>
    <xf numFmtId="0" fontId="19" fillId="12" borderId="60" xfId="0" applyFont="1" applyFill="1" applyBorder="1" applyAlignment="1">
      <alignment horizontal="center" vertical="center" wrapText="1"/>
    </xf>
    <xf numFmtId="0" fontId="46" fillId="21" borderId="72" xfId="0" applyFont="1" applyFill="1" applyBorder="1" applyAlignment="1">
      <alignment horizontal="center" vertical="center"/>
    </xf>
    <xf numFmtId="0" fontId="46" fillId="21" borderId="83" xfId="0" applyFont="1" applyFill="1" applyBorder="1" applyAlignment="1">
      <alignment horizontal="center" vertical="center"/>
    </xf>
    <xf numFmtId="0" fontId="46" fillId="21" borderId="84" xfId="0" applyFont="1" applyFill="1" applyBorder="1" applyAlignment="1">
      <alignment horizontal="center" vertical="center"/>
    </xf>
    <xf numFmtId="0" fontId="46" fillId="21" borderId="85" xfId="0" applyFont="1" applyFill="1" applyBorder="1" applyAlignment="1">
      <alignment horizontal="center" vertical="center"/>
    </xf>
    <xf numFmtId="0" fontId="46" fillId="21" borderId="82" xfId="0" applyFont="1" applyFill="1" applyBorder="1" applyAlignment="1">
      <alignment horizontal="center" vertical="center"/>
    </xf>
    <xf numFmtId="0" fontId="46" fillId="21" borderId="86" xfId="0" applyFont="1" applyFill="1" applyBorder="1" applyAlignment="1">
      <alignment horizontal="center" vertical="center"/>
    </xf>
    <xf numFmtId="0" fontId="5" fillId="12" borderId="77" xfId="3" applyFont="1" applyFill="1" applyBorder="1" applyAlignment="1">
      <alignment horizontal="center" vertical="center" wrapText="1"/>
    </xf>
    <xf numFmtId="0" fontId="2" fillId="0" borderId="80" xfId="3" applyFont="1" applyBorder="1"/>
    <xf numFmtId="0" fontId="11" fillId="3" borderId="1" xfId="0" applyNumberFormat="1" applyFont="1" applyFill="1" applyBorder="1" applyAlignment="1">
      <alignment horizontal="center" vertical="center" wrapText="1"/>
    </xf>
    <xf numFmtId="0" fontId="11" fillId="8" borderId="1" xfId="0" applyNumberFormat="1" applyFont="1" applyFill="1" applyBorder="1" applyAlignment="1">
      <alignment horizontal="center" vertical="center" wrapText="1"/>
    </xf>
    <xf numFmtId="164" fontId="11" fillId="4" borderId="23" xfId="0" applyNumberFormat="1" applyFont="1" applyFill="1" applyBorder="1" applyAlignment="1">
      <alignment vertical="center"/>
    </xf>
    <xf numFmtId="164" fontId="11" fillId="4" borderId="24" xfId="0" applyNumberFormat="1" applyFont="1" applyFill="1" applyBorder="1" applyAlignment="1">
      <alignment vertical="center"/>
    </xf>
    <xf numFmtId="164" fontId="11" fillId="5" borderId="23" xfId="0" applyNumberFormat="1" applyFont="1" applyFill="1" applyBorder="1" applyAlignment="1">
      <alignment vertical="center"/>
    </xf>
    <xf numFmtId="164" fontId="11" fillId="5" borderId="24" xfId="0" applyNumberFormat="1" applyFont="1" applyFill="1" applyBorder="1" applyAlignment="1">
      <alignment vertical="center"/>
    </xf>
    <xf numFmtId="164" fontId="11" fillId="6" borderId="23" xfId="0" applyNumberFormat="1" applyFont="1" applyFill="1" applyBorder="1" applyAlignment="1">
      <alignment vertical="center"/>
    </xf>
    <xf numFmtId="164" fontId="11" fillId="6" borderId="24" xfId="0" applyNumberFormat="1" applyFont="1" applyFill="1" applyBorder="1" applyAlignment="1">
      <alignment vertical="center"/>
    </xf>
    <xf numFmtId="164" fontId="11" fillId="7" borderId="23" xfId="0" applyNumberFormat="1" applyFont="1" applyFill="1" applyBorder="1" applyAlignment="1">
      <alignment vertical="center"/>
    </xf>
    <xf numFmtId="164" fontId="11" fillId="7" borderId="25" xfId="0" applyNumberFormat="1" applyFont="1" applyFill="1" applyBorder="1" applyAlignment="1">
      <alignment vertical="center"/>
    </xf>
    <xf numFmtId="0" fontId="10" fillId="0" borderId="73" xfId="0" applyFont="1" applyBorder="1" applyAlignment="1">
      <alignment horizontal="center"/>
    </xf>
    <xf numFmtId="0" fontId="10" fillId="0" borderId="74" xfId="0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0" fontId="19" fillId="12" borderId="93" xfId="0" applyFont="1" applyFill="1" applyBorder="1" applyAlignment="1">
      <alignment horizontal="center" vertical="center" wrapText="1"/>
    </xf>
    <xf numFmtId="0" fontId="19" fillId="12" borderId="61" xfId="0" applyFont="1" applyFill="1" applyBorder="1" applyAlignment="1">
      <alignment horizontal="center" vertical="center" wrapText="1"/>
    </xf>
    <xf numFmtId="0" fontId="23" fillId="10" borderId="72" xfId="0" applyFont="1" applyFill="1" applyBorder="1" applyAlignment="1">
      <alignment horizontal="center" vertical="center" wrapText="1"/>
    </xf>
    <xf numFmtId="0" fontId="23" fillId="10" borderId="83" xfId="0" applyFont="1" applyFill="1" applyBorder="1" applyAlignment="1">
      <alignment horizontal="center" vertical="center" wrapText="1"/>
    </xf>
    <xf numFmtId="0" fontId="23" fillId="10" borderId="97" xfId="0" applyFont="1" applyFill="1" applyBorder="1" applyAlignment="1">
      <alignment horizontal="center" vertical="center" wrapText="1"/>
    </xf>
    <xf numFmtId="0" fontId="27" fillId="11" borderId="98" xfId="0" applyFont="1" applyFill="1" applyBorder="1" applyAlignment="1">
      <alignment horizontal="center" vertical="center" wrapText="1"/>
    </xf>
    <xf numFmtId="0" fontId="2" fillId="0" borderId="83" xfId="0" applyFont="1" applyBorder="1"/>
    <xf numFmtId="0" fontId="2" fillId="0" borderId="84" xfId="0" applyFont="1" applyBorder="1"/>
    <xf numFmtId="0" fontId="28" fillId="10" borderId="85" xfId="0" applyFont="1" applyFill="1" applyBorder="1" applyAlignment="1">
      <alignment horizontal="center" vertical="center" wrapText="1"/>
    </xf>
    <xf numFmtId="0" fontId="28" fillId="10" borderId="82" xfId="0" applyFont="1" applyFill="1" applyBorder="1" applyAlignment="1">
      <alignment horizontal="center" vertical="center" wrapText="1"/>
    </xf>
    <xf numFmtId="0" fontId="28" fillId="10" borderId="99" xfId="0" applyFont="1" applyFill="1" applyBorder="1" applyAlignment="1">
      <alignment horizontal="center" vertical="center" wrapText="1"/>
    </xf>
    <xf numFmtId="0" fontId="27" fillId="11" borderId="100" xfId="0" applyFont="1" applyFill="1" applyBorder="1" applyAlignment="1">
      <alignment horizontal="center" vertical="center" wrapText="1"/>
    </xf>
    <xf numFmtId="0" fontId="2" fillId="0" borderId="82" xfId="0" applyFont="1" applyBorder="1"/>
    <xf numFmtId="0" fontId="2" fillId="0" borderId="86" xfId="0" applyFont="1" applyBorder="1"/>
    <xf numFmtId="0" fontId="5" fillId="12" borderId="54" xfId="0" applyFont="1" applyFill="1" applyBorder="1" applyAlignment="1">
      <alignment horizontal="center" vertical="center"/>
    </xf>
    <xf numFmtId="0" fontId="5" fillId="12" borderId="56" xfId="0" applyFont="1" applyFill="1" applyBorder="1" applyAlignment="1">
      <alignment horizontal="center" vertical="center" wrapText="1"/>
    </xf>
    <xf numFmtId="0" fontId="5" fillId="12" borderId="101" xfId="0" applyFont="1" applyFill="1" applyBorder="1" applyAlignment="1">
      <alignment horizontal="center" vertical="center" wrapText="1"/>
    </xf>
    <xf numFmtId="0" fontId="2" fillId="0" borderId="102" xfId="0" applyFont="1" applyBorder="1"/>
    <xf numFmtId="0" fontId="5" fillId="12" borderId="96" xfId="0" applyFont="1" applyFill="1" applyBorder="1" applyAlignment="1">
      <alignment horizontal="center" vertical="center" wrapText="1"/>
    </xf>
    <xf numFmtId="0" fontId="2" fillId="0" borderId="60" xfId="0" applyFont="1" applyBorder="1"/>
    <xf numFmtId="0" fontId="0" fillId="0" borderId="43" xfId="0" applyFont="1" applyBorder="1"/>
    <xf numFmtId="0" fontId="2" fillId="0" borderId="43" xfId="0" applyFont="1" applyBorder="1"/>
    <xf numFmtId="0" fontId="23" fillId="8" borderId="41" xfId="0" applyFont="1" applyFill="1" applyBorder="1" applyAlignment="1">
      <alignment horizontal="right" vertical="center" wrapText="1"/>
    </xf>
    <xf numFmtId="0" fontId="5" fillId="10" borderId="55" xfId="0" applyFont="1" applyFill="1" applyBorder="1" applyAlignment="1">
      <alignment horizontal="center" vertical="center"/>
    </xf>
    <xf numFmtId="14" fontId="29" fillId="0" borderId="56" xfId="0" applyNumberFormat="1" applyFont="1" applyBorder="1" applyAlignment="1">
      <alignment horizontal="center" vertical="center"/>
    </xf>
    <xf numFmtId="0" fontId="2" fillId="0" borderId="57" xfId="0" applyFont="1" applyBorder="1"/>
    <xf numFmtId="0" fontId="5" fillId="10" borderId="58" xfId="0" applyFont="1" applyFill="1" applyBorder="1" applyAlignment="1">
      <alignment horizontal="center" wrapText="1"/>
    </xf>
    <xf numFmtId="0" fontId="2" fillId="0" borderId="59" xfId="0" applyFont="1" applyBorder="1"/>
    <xf numFmtId="0" fontId="19" fillId="22" borderId="87" xfId="0" applyFont="1" applyFill="1" applyBorder="1" applyAlignment="1">
      <alignment horizontal="center" vertical="center"/>
    </xf>
    <xf numFmtId="0" fontId="19" fillId="22" borderId="88" xfId="0" applyFont="1" applyFill="1" applyBorder="1" applyAlignment="1">
      <alignment horizontal="center" vertical="center"/>
    </xf>
    <xf numFmtId="0" fontId="19" fillId="22" borderId="89" xfId="0" applyFont="1" applyFill="1" applyBorder="1" applyAlignment="1">
      <alignment horizontal="center" vertical="center"/>
    </xf>
    <xf numFmtId="0" fontId="19" fillId="22" borderId="90" xfId="0" applyFont="1" applyFill="1" applyBorder="1" applyAlignment="1">
      <alignment horizontal="center" vertical="center"/>
    </xf>
    <xf numFmtId="0" fontId="19" fillId="22" borderId="91" xfId="0" applyFont="1" applyFill="1" applyBorder="1" applyAlignment="1">
      <alignment horizontal="center" vertical="center"/>
    </xf>
    <xf numFmtId="0" fontId="19" fillId="22" borderId="92" xfId="0" applyFont="1" applyFill="1" applyBorder="1" applyAlignment="1">
      <alignment horizontal="center" vertical="center"/>
    </xf>
  </cellXfs>
  <cellStyles count="5">
    <cellStyle name="Currency" xfId="1" builtinId="4"/>
    <cellStyle name="Normal" xfId="0" builtinId="0"/>
    <cellStyle name="Normal 7" xfId="3" xr:uid="{366A42D8-D5E1-49B0-B66F-2DEFEA49E452}"/>
    <cellStyle name="Percent" xfId="2" builtinId="5"/>
    <cellStyle name="Porcentagem 2" xfId="4" xr:uid="{CF95C490-9346-4ED3-97A4-53AA3EFE1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$C$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62001" y="381000"/>
          <a:ext cx="1864177" cy="898072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7B7692ED-1217-4058-B03E-4BB485AF6F07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62001" y="381000"/>
          <a:ext cx="1864177" cy="898072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072B56BE-7585-4D32-A910-64F36284A030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7C5E2932-59EB-412E-A782-5C4E1B102FCF}"/>
            </a:ext>
          </a:extLst>
        </xdr:cNvPr>
        <xdr:cNvSpPr/>
      </xdr:nvSpPr>
      <xdr:spPr>
        <a:xfrm>
          <a:off x="752475" y="381000"/>
          <a:ext cx="1857375" cy="895350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072B56BE-7585-4D32-A910-64F36284A030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62001" y="381000"/>
          <a:ext cx="1864177" cy="898072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2CBF2ECB-55D7-4CAA-94BE-6A0A9AF07ADF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6CD2AD5B-378E-4D6C-B4C9-CAA86D27F8C5}"/>
            </a:ext>
          </a:extLst>
        </xdr:cNvPr>
        <xdr:cNvSpPr/>
      </xdr:nvSpPr>
      <xdr:spPr>
        <a:xfrm>
          <a:off x="752475" y="381000"/>
          <a:ext cx="1857375" cy="895350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C0AA0872-0654-458C-ACA8-537E2AF9BAAE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756558" y="381000"/>
          <a:ext cx="1864177" cy="898072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D3A4CF3E-B3CF-44E2-B71B-351D99EE15F7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23E68EB3-9299-4730-8401-EFD07225DC96}"/>
            </a:ext>
          </a:extLst>
        </xdr:cNvPr>
        <xdr:cNvSpPr/>
      </xdr:nvSpPr>
      <xdr:spPr>
        <a:xfrm>
          <a:off x="752475" y="381000"/>
          <a:ext cx="1857375" cy="895350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C0AA0872-0654-458C-ACA8-537E2AF9BAAE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  <xdr:twoCellAnchor>
    <xdr:from>
      <xdr:col>2</xdr:col>
      <xdr:colOff>2258787</xdr:colOff>
      <xdr:row>2</xdr:row>
      <xdr:rowOff>163287</xdr:rowOff>
    </xdr:from>
    <xdr:to>
      <xdr:col>6</xdr:col>
      <xdr:colOff>449036</xdr:colOff>
      <xdr:row>6</xdr:row>
      <xdr:rowOff>122465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ED2AE7A-43E4-4E5C-88C2-73AC543054BE}"/>
            </a:ext>
          </a:extLst>
        </xdr:cNvPr>
        <xdr:cNvSpPr txBox="1"/>
      </xdr:nvSpPr>
      <xdr:spPr>
        <a:xfrm>
          <a:off x="3007180" y="544287"/>
          <a:ext cx="5388427" cy="721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PLANILHA CONSOLIDADA DE ESPECIFICAÇÕES E PREÇOS</a:t>
          </a:r>
        </a:p>
        <a:p>
          <a:pPr algn="ctr"/>
          <a:r>
            <a:rPr lang="pt-BR" sz="1600" b="1"/>
            <a:t>OPÇÃO GERE FÁCIL – GROWATT-JINKO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0135F300-B4DA-45DD-8BDD-8232F2DBF2B6}"/>
            </a:ext>
          </a:extLst>
        </xdr:cNvPr>
        <xdr:cNvSpPr/>
      </xdr:nvSpPr>
      <xdr:spPr>
        <a:xfrm>
          <a:off x="790575" y="374650"/>
          <a:ext cx="1857375" cy="895350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C0AA0872-0654-458C-ACA8-537E2AF9BAAE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D8E9843E-A029-4CDF-A3EC-F2064C197531}"/>
            </a:ext>
          </a:extLst>
        </xdr:cNvPr>
        <xdr:cNvSpPr/>
      </xdr:nvSpPr>
      <xdr:spPr>
        <a:xfrm>
          <a:off x="790575" y="374650"/>
          <a:ext cx="1857375" cy="895350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C0AA0872-0654-458C-ACA8-537E2AF9BAAE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4" name="Fluxograma: Processo Alternativ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762001" y="381000"/>
          <a:ext cx="1864177" cy="898072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9758034C-C312-419D-9389-D6A9A4297F4D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62DB750A-62C1-44C5-9C24-1087D97770CB}"/>
            </a:ext>
          </a:extLst>
        </xdr:cNvPr>
        <xdr:cNvSpPr/>
      </xdr:nvSpPr>
      <xdr:spPr>
        <a:xfrm>
          <a:off x="752475" y="381000"/>
          <a:ext cx="1857375" cy="895350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072B56BE-7585-4D32-A910-64F36284A030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  <xdr:twoCellAnchor>
    <xdr:from>
      <xdr:col>2</xdr:col>
      <xdr:colOff>2698751</xdr:colOff>
      <xdr:row>2</xdr:row>
      <xdr:rowOff>163286</xdr:rowOff>
    </xdr:from>
    <xdr:to>
      <xdr:col>7</xdr:col>
      <xdr:colOff>176893</xdr:colOff>
      <xdr:row>6</xdr:row>
      <xdr:rowOff>68036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DD37E84-4C74-420D-BAA7-16F55A9EAC7A}"/>
            </a:ext>
          </a:extLst>
        </xdr:cNvPr>
        <xdr:cNvSpPr txBox="1"/>
      </xdr:nvSpPr>
      <xdr:spPr>
        <a:xfrm>
          <a:off x="3447144" y="544286"/>
          <a:ext cx="5383892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PLANILHA CONSOLIDADA DE ESPECIFICAÇÕES E PREÇOS</a:t>
          </a:r>
        </a:p>
        <a:p>
          <a:pPr algn="ctr"/>
          <a:r>
            <a:rPr lang="pt-BR" sz="1400" b="1"/>
            <a:t>OPÇÃO – SMA-JINKO </a:t>
          </a:r>
          <a:br>
            <a:rPr lang="pt-BR" sz="1400" b="1"/>
          </a:br>
          <a:endParaRPr lang="pt-BR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2</xdr:row>
      <xdr:rowOff>0</xdr:rowOff>
    </xdr:from>
    <xdr:ext cx="1857375" cy="895350"/>
    <xdr:sp macro="" textlink="'Preço SFCR-FRONIUS-BYD'!C48">
      <xdr:nvSpPr>
        <xdr:cNvPr id="2" name="Fluxograma: Processo Alternativo 1">
          <a:extLst>
            <a:ext uri="{FF2B5EF4-FFF2-40B4-BE49-F238E27FC236}">
              <a16:creationId xmlns:a16="http://schemas.microsoft.com/office/drawing/2014/main" id="{4182B061-9D5F-43BC-BA03-6F84992A46A6}"/>
            </a:ext>
          </a:extLst>
        </xdr:cNvPr>
        <xdr:cNvSpPr/>
      </xdr:nvSpPr>
      <xdr:spPr>
        <a:xfrm>
          <a:off x="790575" y="374650"/>
          <a:ext cx="1857375" cy="895350"/>
        </a:xfrm>
        <a:prstGeom prst="flowChartAlternateProcess">
          <a:avLst/>
        </a:prstGeom>
        <a:gradFill>
          <a:gsLst>
            <a:gs pos="0">
              <a:srgbClr val="FFC000"/>
            </a:gs>
            <a:gs pos="41000">
              <a:schemeClr val="accent4">
                <a:lumMod val="40000"/>
                <a:lumOff val="60000"/>
              </a:schemeClr>
            </a:gs>
            <a:gs pos="61000">
              <a:schemeClr val="accent4">
                <a:lumMod val="20000"/>
                <a:lumOff val="80000"/>
              </a:schemeClr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fld id="{072B56BE-7585-4D32-A910-64F36284A030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lvl="0" algn="ctr"/>
            <a:t>#DIV/0!</a:t>
          </a:fld>
          <a:endParaRPr lang="en-US" sz="1400">
            <a:solidFill>
              <a:schemeClr val="tx1"/>
            </a:solidFill>
            <a:latin typeface="+mn-lt"/>
          </a:endParaRPr>
        </a:p>
      </xdr:txBody>
    </xdr:sp>
    <xdr:clientData fLocksWithSheet="0"/>
  </xdr:oneCellAnchor>
  <xdr:twoCellAnchor>
    <xdr:from>
      <xdr:col>3</xdr:col>
      <xdr:colOff>526143</xdr:colOff>
      <xdr:row>2</xdr:row>
      <xdr:rowOff>72572</xdr:rowOff>
    </xdr:from>
    <xdr:to>
      <xdr:col>7</xdr:col>
      <xdr:colOff>1070429</xdr:colOff>
      <xdr:row>6</xdr:row>
      <xdr:rowOff>63501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E4613FD-E964-4AD7-88F3-B77D1B588D49}"/>
            </a:ext>
          </a:extLst>
        </xdr:cNvPr>
        <xdr:cNvSpPr txBox="1"/>
      </xdr:nvSpPr>
      <xdr:spPr>
        <a:xfrm>
          <a:off x="3764643" y="444501"/>
          <a:ext cx="4481286" cy="752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PLANILHA CONSOLIDADA DE ESPECIFICAÇÕES E PREÇOS</a:t>
          </a:r>
        </a:p>
        <a:p>
          <a:pPr algn="ctr"/>
          <a:r>
            <a:rPr lang="pt-BR" sz="1400" b="1"/>
            <a:t>OPÇÃO – ABB-JINKO</a:t>
          </a:r>
        </a:p>
        <a:p>
          <a:pPr algn="ctr"/>
          <a:r>
            <a:rPr lang="pt-BR" sz="1400" b="1">
              <a:solidFill>
                <a:srgbClr val="FF0000"/>
              </a:solidFill>
            </a:rPr>
            <a:t>PROMOÇÃO</a:t>
          </a:r>
          <a:r>
            <a:rPr lang="pt-BR" sz="1400" b="1" baseline="0">
              <a:solidFill>
                <a:srgbClr val="FF0000"/>
              </a:solidFill>
            </a:rPr>
            <a:t> </a:t>
          </a:r>
          <a:r>
            <a:rPr lang="pt-BR" sz="1400" b="1">
              <a:solidFill>
                <a:srgbClr val="FF0000"/>
              </a:solidFill>
            </a:rPr>
            <a:t>GARANTIA EM</a:t>
          </a:r>
          <a:r>
            <a:rPr lang="pt-BR" sz="1400" b="1" baseline="0">
              <a:solidFill>
                <a:srgbClr val="FF0000"/>
              </a:solidFill>
            </a:rPr>
            <a:t> DOBRO ABB (10 anos) </a:t>
          </a:r>
          <a:endParaRPr lang="pt-BR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12"/>
  <sheetViews>
    <sheetView zoomScale="85" zoomScaleNormal="85" workbookViewId="0">
      <selection activeCell="G14" sqref="G14"/>
    </sheetView>
  </sheetViews>
  <sheetFormatPr defaultColWidth="14.42578125" defaultRowHeight="15" customHeight="1" x14ac:dyDescent="0.25"/>
  <cols>
    <col min="1" max="1" width="4" customWidth="1"/>
    <col min="2" max="2" width="12.42578125" customWidth="1"/>
    <col min="3" max="3" width="6.85546875" customWidth="1"/>
    <col min="4" max="4" width="6.85546875" style="197" customWidth="1"/>
    <col min="5" max="5" width="9" customWidth="1"/>
    <col min="6" max="6" width="14.42578125" customWidth="1"/>
    <col min="7" max="7" width="28.28515625" bestFit="1" customWidth="1"/>
    <col min="8" max="8" width="15.140625" customWidth="1"/>
    <col min="9" max="9" width="15.140625" style="141" customWidth="1"/>
    <col min="10" max="10" width="14.5703125" customWidth="1"/>
    <col min="11" max="17" width="15.7109375" customWidth="1"/>
    <col min="18" max="18" width="15" customWidth="1"/>
    <col min="19" max="19" width="1.42578125" customWidth="1"/>
  </cols>
  <sheetData>
    <row r="1" spans="1:19" ht="15.75" thickBot="1" x14ac:dyDescent="0.3">
      <c r="A1" s="1"/>
      <c r="B1" s="1"/>
      <c r="C1" s="1"/>
      <c r="D1" s="199"/>
      <c r="E1" s="1"/>
      <c r="F1" s="1"/>
      <c r="G1" s="1"/>
      <c r="H1" s="1"/>
      <c r="I1" s="142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customHeight="1" x14ac:dyDescent="0.25">
      <c r="A2" s="1"/>
      <c r="B2" s="340" t="s">
        <v>49</v>
      </c>
      <c r="C2" s="341"/>
      <c r="D2" s="342"/>
      <c r="E2" s="328" t="s">
        <v>50</v>
      </c>
      <c r="F2" s="329"/>
      <c r="G2" s="329"/>
      <c r="H2" s="329"/>
      <c r="I2" s="330"/>
      <c r="J2" s="329"/>
      <c r="K2" s="329"/>
      <c r="L2" s="329"/>
      <c r="M2" s="329"/>
      <c r="N2" s="329"/>
      <c r="O2" s="329"/>
      <c r="P2" s="329"/>
      <c r="Q2" s="329"/>
      <c r="R2" s="330"/>
      <c r="S2" s="1"/>
    </row>
    <row r="3" spans="1:19" ht="18.75" customHeight="1" thickBot="1" x14ac:dyDescent="0.3">
      <c r="A3" s="1"/>
      <c r="B3" s="343">
        <v>0.33500000000000002</v>
      </c>
      <c r="C3" s="344"/>
      <c r="D3" s="345"/>
      <c r="E3" s="331" t="s">
        <v>51</v>
      </c>
      <c r="F3" s="332"/>
      <c r="G3" s="332"/>
      <c r="H3" s="332"/>
      <c r="I3" s="333"/>
      <c r="J3" s="332"/>
      <c r="K3" s="332"/>
      <c r="L3" s="332"/>
      <c r="M3" s="332"/>
      <c r="N3" s="332"/>
      <c r="O3" s="332"/>
      <c r="P3" s="332"/>
      <c r="Q3" s="332"/>
      <c r="R3" s="333"/>
      <c r="S3" s="101"/>
    </row>
    <row r="4" spans="1:19" ht="30" customHeight="1" x14ac:dyDescent="0.25">
      <c r="A4" s="1"/>
      <c r="B4" s="339" t="s">
        <v>52</v>
      </c>
      <c r="C4" s="326" t="s">
        <v>53</v>
      </c>
      <c r="D4" s="326" t="s">
        <v>225</v>
      </c>
      <c r="E4" s="326" t="s">
        <v>54</v>
      </c>
      <c r="F4" s="334" t="s">
        <v>55</v>
      </c>
      <c r="G4" s="326" t="s">
        <v>56</v>
      </c>
      <c r="H4" s="326" t="s">
        <v>57</v>
      </c>
      <c r="I4" s="225" t="s">
        <v>233</v>
      </c>
      <c r="J4" s="326" t="s">
        <v>58</v>
      </c>
      <c r="K4" s="326" t="s">
        <v>59</v>
      </c>
      <c r="L4" s="326" t="s">
        <v>60</v>
      </c>
      <c r="M4" s="326" t="s">
        <v>61</v>
      </c>
      <c r="N4" s="326" t="s">
        <v>62</v>
      </c>
      <c r="O4" s="326" t="s">
        <v>63</v>
      </c>
      <c r="P4" s="326" t="s">
        <v>64</v>
      </c>
      <c r="Q4" s="326" t="s">
        <v>65</v>
      </c>
      <c r="R4" s="326" t="s">
        <v>66</v>
      </c>
      <c r="S4" s="102"/>
    </row>
    <row r="5" spans="1:19" x14ac:dyDescent="0.25">
      <c r="A5" s="1"/>
      <c r="B5" s="327"/>
      <c r="C5" s="327"/>
      <c r="D5" s="336"/>
      <c r="E5" s="327"/>
      <c r="F5" s="335"/>
      <c r="G5" s="327"/>
      <c r="H5" s="327"/>
      <c r="I5" s="226">
        <v>1.4999999999999999E-2</v>
      </c>
      <c r="J5" s="327"/>
      <c r="K5" s="327"/>
      <c r="L5" s="335"/>
      <c r="M5" s="335"/>
      <c r="N5" s="335"/>
      <c r="O5" s="335"/>
      <c r="P5" s="327"/>
      <c r="Q5" s="327"/>
      <c r="R5" s="327"/>
      <c r="S5" s="102"/>
    </row>
    <row r="6" spans="1:19" s="174" customFormat="1" x14ac:dyDescent="0.25">
      <c r="A6" s="175"/>
      <c r="B6" s="103" t="s">
        <v>67</v>
      </c>
      <c r="C6" s="104">
        <f t="shared" ref="C6" si="0">+E6*$B$3</f>
        <v>1.0050000000000001</v>
      </c>
      <c r="D6" s="205" t="e">
        <f>ABS('Preço SFCR-FRONIUS-BYD'!$G$43-C6)</f>
        <v>#DIV/0!</v>
      </c>
      <c r="E6" s="181">
        <v>3</v>
      </c>
      <c r="F6" s="106" t="str">
        <f>+IF(K6=0,"",ROUND(M6/(1-'Tabela de BDI'!$C$3),0))</f>
        <v/>
      </c>
      <c r="G6" s="107"/>
      <c r="H6" s="106"/>
      <c r="I6" s="143"/>
      <c r="J6" s="106">
        <f>+I6/(1-$I$5)</f>
        <v>0</v>
      </c>
      <c r="K6" s="106">
        <f>IF(J6="",0,H6+J6)</f>
        <v>0</v>
      </c>
      <c r="L6" s="108">
        <v>2500</v>
      </c>
      <c r="M6" s="106">
        <f t="shared" ref="M6" si="1">+K6+L6</f>
        <v>2500</v>
      </c>
      <c r="N6" s="106" t="str">
        <f>IF(F6="","",F6*'Tabela de BDI'!$C$7)</f>
        <v/>
      </c>
      <c r="O6" s="106" t="str">
        <f>IF(F6="","",F6*'Tabela de BDI'!$C$8)</f>
        <v/>
      </c>
      <c r="P6" s="109" t="str">
        <f t="shared" ref="P6" si="2">IF(F6="","",(F6-K6)/K6)</f>
        <v/>
      </c>
      <c r="Q6" s="110" t="str">
        <f t="shared" ref="Q6" si="3">IF(F6="","",(F6/C6)/1000)</f>
        <v/>
      </c>
      <c r="R6" s="111">
        <f>+'Tabela de BDI'!$F$9*C6</f>
        <v>120.60000000000001</v>
      </c>
      <c r="S6" s="102"/>
    </row>
    <row r="7" spans="1:19" x14ac:dyDescent="0.25">
      <c r="A7" s="1"/>
      <c r="B7" s="103" t="s">
        <v>67</v>
      </c>
      <c r="C7" s="104">
        <f t="shared" ref="C7:C65" si="4">+E7*$B$3</f>
        <v>1.34</v>
      </c>
      <c r="D7" s="205" t="e">
        <f>ABS('Preço SFCR-FRONIUS-BYD'!$G$43-C7)</f>
        <v>#DIV/0!</v>
      </c>
      <c r="E7" s="181">
        <v>4</v>
      </c>
      <c r="F7" s="106" t="str">
        <f>+IF(K7=0,"",ROUND(M7/(1-'Tabela de BDI'!$C$3),0))</f>
        <v/>
      </c>
      <c r="G7" s="107"/>
      <c r="H7" s="106"/>
      <c r="I7" s="143"/>
      <c r="J7" s="106">
        <f t="shared" ref="J7:J10" si="5">+I7/(1-$I$5)</f>
        <v>0</v>
      </c>
      <c r="K7" s="106">
        <f>IF(J7="",0,H7+J7)</f>
        <v>0</v>
      </c>
      <c r="L7" s="106">
        <f>+L6+((E7-E6)*125)</f>
        <v>2625</v>
      </c>
      <c r="M7" s="106">
        <f t="shared" ref="M7:M48" si="6">+K7+L7</f>
        <v>2625</v>
      </c>
      <c r="N7" s="106" t="str">
        <f>IF(F7="","",F7*'Tabela de BDI'!$C$7)</f>
        <v/>
      </c>
      <c r="O7" s="106" t="str">
        <f>IF(F7="","",F7*'Tabela de BDI'!$C$8)</f>
        <v/>
      </c>
      <c r="P7" s="109" t="str">
        <f t="shared" ref="P7:P71" si="7">IF(F7="","",(F7-K7)/K7)</f>
        <v/>
      </c>
      <c r="Q7" s="110" t="str">
        <f t="shared" ref="Q7:Q71" si="8">IF(F7="","",(F7/C7)/1000)</f>
        <v/>
      </c>
      <c r="R7" s="111">
        <f>+'Tabela de BDI'!$F$9*C7</f>
        <v>160.80000000000001</v>
      </c>
      <c r="S7" s="102"/>
    </row>
    <row r="8" spans="1:19" s="174" customFormat="1" x14ac:dyDescent="0.25">
      <c r="A8" s="175"/>
      <c r="B8" s="103" t="s">
        <v>67</v>
      </c>
      <c r="C8" s="104">
        <f t="shared" ref="C8" si="9">+E8*$B$3</f>
        <v>1.675</v>
      </c>
      <c r="D8" s="205" t="e">
        <f>ABS('Preço SFCR-FRONIUS-BYD'!$G$43-C8)</f>
        <v>#DIV/0!</v>
      </c>
      <c r="E8" s="181">
        <v>5</v>
      </c>
      <c r="F8" s="106" t="str">
        <f>+IF(K8=0,"",ROUND(M8/(1-'Tabela de BDI'!$C$3),0))</f>
        <v/>
      </c>
      <c r="G8" s="107"/>
      <c r="H8" s="106"/>
      <c r="I8" s="143"/>
      <c r="J8" s="106">
        <f t="shared" si="5"/>
        <v>0</v>
      </c>
      <c r="K8" s="106">
        <f t="shared" ref="K8" si="10">IF(J8="",0,H8+J8)</f>
        <v>0</v>
      </c>
      <c r="L8" s="106">
        <f t="shared" ref="L8:L15" si="11">+L7+((E8-E7)*125)</f>
        <v>2750</v>
      </c>
      <c r="M8" s="106">
        <f t="shared" ref="M8" si="12">+K8+L8</f>
        <v>2750</v>
      </c>
      <c r="N8" s="106" t="str">
        <f>IF(F8="","",F8*'Tabela de BDI'!$C$7)</f>
        <v/>
      </c>
      <c r="O8" s="106" t="str">
        <f>IF(F8="","",F8*'Tabela de BDI'!$C$8)</f>
        <v/>
      </c>
      <c r="P8" s="109" t="str">
        <f t="shared" ref="P8" si="13">IF(F8="","",(F8-K8)/K8)</f>
        <v/>
      </c>
      <c r="Q8" s="110" t="str">
        <f t="shared" ref="Q8" si="14">IF(F8="","",(F8/C8)/1000)</f>
        <v/>
      </c>
      <c r="R8" s="111">
        <f>+'Tabela de BDI'!$F$9*C8</f>
        <v>201</v>
      </c>
      <c r="S8" s="102"/>
    </row>
    <row r="9" spans="1:19" x14ac:dyDescent="0.25">
      <c r="A9" s="1"/>
      <c r="B9" s="103" t="s">
        <v>67</v>
      </c>
      <c r="C9" s="104">
        <f t="shared" si="4"/>
        <v>2.0100000000000002</v>
      </c>
      <c r="D9" s="205" t="e">
        <f>ABS('Preço SFCR-FRONIUS-BYD'!$G$43-C9)</f>
        <v>#DIV/0!</v>
      </c>
      <c r="E9" s="181">
        <v>6</v>
      </c>
      <c r="F9" s="106" t="str">
        <f>+IF(K9=0,"",ROUND(M9/(1-'Tabela de BDI'!$C$3),0))</f>
        <v/>
      </c>
      <c r="G9" s="107"/>
      <c r="H9" s="106"/>
      <c r="I9" s="143"/>
      <c r="J9" s="106">
        <f t="shared" si="5"/>
        <v>0</v>
      </c>
      <c r="K9" s="106">
        <f>IF(J9="",0,H9+J9)</f>
        <v>0</v>
      </c>
      <c r="L9" s="106">
        <f t="shared" si="11"/>
        <v>2875</v>
      </c>
      <c r="M9" s="106">
        <f t="shared" si="6"/>
        <v>2875</v>
      </c>
      <c r="N9" s="106" t="str">
        <f>IF(F9="","",F9*'Tabela de BDI'!$C$7)</f>
        <v/>
      </c>
      <c r="O9" s="106" t="str">
        <f>IF(F9="","",F9*'Tabela de BDI'!$C$8)</f>
        <v/>
      </c>
      <c r="P9" s="109" t="str">
        <f t="shared" si="7"/>
        <v/>
      </c>
      <c r="Q9" s="110" t="str">
        <f t="shared" si="8"/>
        <v/>
      </c>
      <c r="R9" s="111">
        <f>+'Tabela de BDI'!$F$9*C9</f>
        <v>241.20000000000002</v>
      </c>
      <c r="S9" s="102"/>
    </row>
    <row r="10" spans="1:19" s="174" customFormat="1" x14ac:dyDescent="0.25">
      <c r="A10" s="175"/>
      <c r="B10" s="103" t="s">
        <v>67</v>
      </c>
      <c r="C10" s="104">
        <f t="shared" ref="C10" si="15">+E10*$B$3</f>
        <v>2.3450000000000002</v>
      </c>
      <c r="D10" s="205" t="e">
        <f>ABS('Preço SFCR-FRONIUS-BYD'!$G$43-C10)</f>
        <v>#DIV/0!</v>
      </c>
      <c r="E10" s="181">
        <v>7</v>
      </c>
      <c r="F10" s="106" t="str">
        <f>+IF(K10=0,"",ROUND(M10/(1-'Tabela de BDI'!$C$3),0))</f>
        <v/>
      </c>
      <c r="G10" s="107"/>
      <c r="H10" s="106"/>
      <c r="I10" s="143"/>
      <c r="J10" s="106">
        <f t="shared" si="5"/>
        <v>0</v>
      </c>
      <c r="K10" s="106">
        <f>IF(J10="",0,H10+J10)</f>
        <v>0</v>
      </c>
      <c r="L10" s="106">
        <f t="shared" si="11"/>
        <v>3000</v>
      </c>
      <c r="M10" s="106">
        <f t="shared" ref="M10" si="16">+K10+L10</f>
        <v>3000</v>
      </c>
      <c r="N10" s="106" t="str">
        <f>IF(F10="","",F10*'Tabela de BDI'!$C$7)</f>
        <v/>
      </c>
      <c r="O10" s="106" t="str">
        <f>IF(F10="","",F10*'Tabela de BDI'!$C$8)</f>
        <v/>
      </c>
      <c r="P10" s="109" t="str">
        <f t="shared" ref="P10" si="17">IF(F10="","",(F10-K10)/K10)</f>
        <v/>
      </c>
      <c r="Q10" s="110" t="str">
        <f t="shared" ref="Q10" si="18">IF(F10="","",(F10/C10)/1000)</f>
        <v/>
      </c>
      <c r="R10" s="111">
        <f>+'Tabela de BDI'!$F$9*C10</f>
        <v>281.40000000000003</v>
      </c>
      <c r="S10" s="102"/>
    </row>
    <row r="11" spans="1:19" x14ac:dyDescent="0.25">
      <c r="A11" s="1"/>
      <c r="B11" s="103" t="s">
        <v>67</v>
      </c>
      <c r="C11" s="104">
        <f t="shared" si="4"/>
        <v>2.68</v>
      </c>
      <c r="D11" s="205" t="e">
        <f>ABS('Preço SFCR-FRONIUS-BYD'!$G$43-C11)</f>
        <v>#DIV/0!</v>
      </c>
      <c r="E11" s="181">
        <v>8</v>
      </c>
      <c r="F11" s="112">
        <f>+IF(K11=0,"",ROUND(M11/(1-'Tabela de BDI'!$C$3),0))</f>
        <v>18269</v>
      </c>
      <c r="G11" s="107" t="s">
        <v>68</v>
      </c>
      <c r="H11" s="106"/>
      <c r="I11" s="106">
        <v>12577.47</v>
      </c>
      <c r="J11" s="113">
        <f>+I11/(1-$I$5)</f>
        <v>12769.005076142132</v>
      </c>
      <c r="K11" s="106">
        <f>IF(J11="",0,H11+J11)</f>
        <v>12769.005076142132</v>
      </c>
      <c r="L11" s="106">
        <f t="shared" si="11"/>
        <v>3125</v>
      </c>
      <c r="M11" s="106">
        <f t="shared" si="6"/>
        <v>15894.005076142132</v>
      </c>
      <c r="N11" s="106">
        <f>IF(F11="","",F11*'Tabela de BDI'!$C$7)</f>
        <v>1461.52</v>
      </c>
      <c r="O11" s="106">
        <f>IF(F11="","",F11*'Tabela de BDI'!$C$8)</f>
        <v>913.45</v>
      </c>
      <c r="P11" s="109">
        <f t="shared" si="7"/>
        <v>0.43073010708830956</v>
      </c>
      <c r="Q11" s="110">
        <f t="shared" si="8"/>
        <v>6.8167910447761191</v>
      </c>
      <c r="R11" s="111">
        <f>+'Tabela de BDI'!$F$9*C11</f>
        <v>321.60000000000002</v>
      </c>
      <c r="S11" s="102"/>
    </row>
    <row r="12" spans="1:19" s="174" customFormat="1" x14ac:dyDescent="0.25">
      <c r="A12" s="175"/>
      <c r="B12" s="103" t="s">
        <v>67</v>
      </c>
      <c r="C12" s="104">
        <f t="shared" ref="C12" si="19">+E12*$B$3</f>
        <v>3.0150000000000001</v>
      </c>
      <c r="D12" s="205" t="e">
        <f>ABS('Preço SFCR-FRONIUS-BYD'!$G$43-C12)</f>
        <v>#DIV/0!</v>
      </c>
      <c r="E12" s="181">
        <v>9</v>
      </c>
      <c r="F12" s="112" t="str">
        <f>+IF(K12=0,"",ROUND(M12/(1-'Tabela de BDI'!$C$3),0))</f>
        <v/>
      </c>
      <c r="G12" s="107"/>
      <c r="H12" s="106"/>
      <c r="I12" s="106"/>
      <c r="J12" s="113">
        <f t="shared" ref="J12:J49" si="20">+I12/(1-$I$5)</f>
        <v>0</v>
      </c>
      <c r="K12" s="106">
        <f>IF(J12="",0,H12+J12)</f>
        <v>0</v>
      </c>
      <c r="L12" s="106">
        <f t="shared" si="11"/>
        <v>3250</v>
      </c>
      <c r="M12" s="106">
        <f t="shared" ref="M12" si="21">+K12+L12</f>
        <v>3250</v>
      </c>
      <c r="N12" s="106" t="str">
        <f>IF(F12="","",F12*'Tabela de BDI'!$C$7)</f>
        <v/>
      </c>
      <c r="O12" s="106" t="str">
        <f>IF(F12="","",F12*'Tabela de BDI'!$C$8)</f>
        <v/>
      </c>
      <c r="P12" s="109" t="str">
        <f t="shared" ref="P12" si="22">IF(F12="","",(F12-K12)/K12)</f>
        <v/>
      </c>
      <c r="Q12" s="110" t="str">
        <f t="shared" ref="Q12" si="23">IF(F12="","",(F12/C12)/1000)</f>
        <v/>
      </c>
      <c r="R12" s="111">
        <f>+'Tabela de BDI'!$F$9*C12</f>
        <v>361.8</v>
      </c>
      <c r="S12" s="102"/>
    </row>
    <row r="13" spans="1:19" x14ac:dyDescent="0.25">
      <c r="A13" s="1"/>
      <c r="B13" s="103" t="s">
        <v>67</v>
      </c>
      <c r="C13" s="104">
        <f t="shared" si="4"/>
        <v>3.35</v>
      </c>
      <c r="D13" s="205" t="e">
        <f>ABS('Preço SFCR-FRONIUS-BYD'!$G$43-C13)</f>
        <v>#DIV/0!</v>
      </c>
      <c r="E13" s="181">
        <v>10</v>
      </c>
      <c r="F13" s="112">
        <f>+IF(K13=0,"",ROUND(M13/(1-'Tabela de BDI'!$C$3),0))</f>
        <v>20430</v>
      </c>
      <c r="G13" s="107" t="s">
        <v>68</v>
      </c>
      <c r="H13" s="106"/>
      <c r="I13" s="106">
        <v>14183.02</v>
      </c>
      <c r="J13" s="113">
        <f t="shared" si="20"/>
        <v>14399.005076142133</v>
      </c>
      <c r="K13" s="106">
        <f t="shared" ref="K13:K52" si="24">IF(J13="",0,H13+J13)</f>
        <v>14399.005076142133</v>
      </c>
      <c r="L13" s="106">
        <f t="shared" si="11"/>
        <v>3375</v>
      </c>
      <c r="M13" s="106">
        <f t="shared" si="6"/>
        <v>17774.005076142133</v>
      </c>
      <c r="N13" s="106">
        <f>IF(F13="","",F13*'Tabela de BDI'!$C$7)</f>
        <v>1634.4</v>
      </c>
      <c r="O13" s="106">
        <f>IF(F13="","",F13*'Tabela de BDI'!$C$8)</f>
        <v>1021.5</v>
      </c>
      <c r="P13" s="109">
        <f t="shared" si="7"/>
        <v>0.4188480309553253</v>
      </c>
      <c r="Q13" s="110">
        <f t="shared" si="8"/>
        <v>6.098507462686567</v>
      </c>
      <c r="R13" s="111">
        <f>+'Tabela de BDI'!$F$9*C13</f>
        <v>402</v>
      </c>
      <c r="S13" s="114"/>
    </row>
    <row r="14" spans="1:19" s="139" customFormat="1" x14ac:dyDescent="0.25">
      <c r="A14" s="140"/>
      <c r="B14" s="103" t="s">
        <v>67</v>
      </c>
      <c r="C14" s="104">
        <f t="shared" ref="C14" si="25">+E14*$B$3</f>
        <v>3.6850000000000001</v>
      </c>
      <c r="D14" s="205" t="e">
        <f>ABS('Preço SFCR-FRONIUS-BYD'!$G$43-C14)</f>
        <v>#DIV/0!</v>
      </c>
      <c r="E14" s="181">
        <v>11</v>
      </c>
      <c r="F14" s="112" t="str">
        <f>+IF(K14=0,"",ROUND(M14/(1-'Tabela de BDI'!$C$3),0))</f>
        <v/>
      </c>
      <c r="G14" s="107"/>
      <c r="H14" s="106"/>
      <c r="I14" s="106"/>
      <c r="J14" s="113">
        <f t="shared" si="20"/>
        <v>0</v>
      </c>
      <c r="K14" s="106">
        <f t="shared" ref="K14" si="26">IF(J14="",0,H14+J14)</f>
        <v>0</v>
      </c>
      <c r="L14" s="106">
        <f t="shared" si="11"/>
        <v>3500</v>
      </c>
      <c r="M14" s="106">
        <f t="shared" ref="M14" si="27">+K14+L14</f>
        <v>3500</v>
      </c>
      <c r="N14" s="106" t="str">
        <f>IF(F14="","",F14*'Tabela de BDI'!$C$7)</f>
        <v/>
      </c>
      <c r="O14" s="106" t="str">
        <f>IF(F14="","",F14*'Tabela de BDI'!$C$8)</f>
        <v/>
      </c>
      <c r="P14" s="109" t="str">
        <f t="shared" ref="P14" si="28">IF(F14="","",(F14-K14)/K14)</f>
        <v/>
      </c>
      <c r="Q14" s="110" t="str">
        <f t="shared" ref="Q14" si="29">IF(F14="","",(F14/C14)/1000)</f>
        <v/>
      </c>
      <c r="R14" s="111">
        <f>+'Tabela de BDI'!$F$9*C14</f>
        <v>442.2</v>
      </c>
      <c r="S14" s="114"/>
    </row>
    <row r="15" spans="1:19" x14ac:dyDescent="0.25">
      <c r="A15" s="1"/>
      <c r="B15" s="103" t="s">
        <v>67</v>
      </c>
      <c r="C15" s="104">
        <f t="shared" si="4"/>
        <v>4.0200000000000005</v>
      </c>
      <c r="D15" s="205" t="e">
        <f>ABS('Preço SFCR-FRONIUS-BYD'!$G$43-C15)</f>
        <v>#DIV/0!</v>
      </c>
      <c r="E15" s="182">
        <v>12</v>
      </c>
      <c r="F15" s="112">
        <f>+IF(K15=0,"",ROUND(M15/(1-'Tabela de BDI'!$C$3),0))</f>
        <v>22200</v>
      </c>
      <c r="G15" s="107" t="s">
        <v>68</v>
      </c>
      <c r="H15" s="106"/>
      <c r="I15" s="106">
        <v>15453.67</v>
      </c>
      <c r="J15" s="113">
        <f t="shared" si="20"/>
        <v>15689.005076142132</v>
      </c>
      <c r="K15" s="106">
        <f t="shared" si="24"/>
        <v>15689.005076142132</v>
      </c>
      <c r="L15" s="106">
        <f t="shared" si="11"/>
        <v>3625</v>
      </c>
      <c r="M15" s="106">
        <f t="shared" si="6"/>
        <v>19314.00507614213</v>
      </c>
      <c r="N15" s="106">
        <f>IF(F15="","",F15*'Tabela de BDI'!$C$7)</f>
        <v>1776</v>
      </c>
      <c r="O15" s="106">
        <f>IF(F15="","",F15*'Tabela de BDI'!$C$8)</f>
        <v>1110</v>
      </c>
      <c r="P15" s="109">
        <f t="shared" si="7"/>
        <v>0.41500368520875625</v>
      </c>
      <c r="Q15" s="110">
        <f t="shared" si="8"/>
        <v>5.522388059701492</v>
      </c>
      <c r="R15" s="111">
        <f>+'Tabela de BDI'!$F$9*C15</f>
        <v>482.40000000000003</v>
      </c>
      <c r="S15" s="114"/>
    </row>
    <row r="16" spans="1:19" s="282" customFormat="1" x14ac:dyDescent="0.25">
      <c r="A16" s="285"/>
      <c r="B16" s="103" t="s">
        <v>67</v>
      </c>
      <c r="C16" s="104">
        <f t="shared" ref="C16" si="30">+E16*$B$3</f>
        <v>4.3550000000000004</v>
      </c>
      <c r="D16" s="205" t="e">
        <f>ABS('Preço SFCR-FRONIUS-BYD'!$G$43-C16)</f>
        <v>#DIV/0!</v>
      </c>
      <c r="E16" s="182">
        <v>13</v>
      </c>
      <c r="F16" s="112" t="str">
        <f>+IF(K16=0,"",ROUND(M16/(1-'Tabela de BDI'!$C$3),0))</f>
        <v/>
      </c>
      <c r="G16" s="107"/>
      <c r="H16" s="106"/>
      <c r="I16" s="106"/>
      <c r="J16" s="113">
        <f t="shared" ref="J16" si="31">+I16/(1-$I$5)</f>
        <v>0</v>
      </c>
      <c r="K16" s="106">
        <f t="shared" ref="K16" si="32">IF(J16="",0,H16+J16)</f>
        <v>0</v>
      </c>
      <c r="L16" s="106">
        <f t="shared" ref="L16" si="33">+L15+((E16-E15)*125)</f>
        <v>3750</v>
      </c>
      <c r="M16" s="106">
        <f t="shared" ref="M16" si="34">+K16+L16</f>
        <v>3750</v>
      </c>
      <c r="N16" s="106" t="str">
        <f>IF(F16="","",F16*'Tabela de BDI'!$C$7)</f>
        <v/>
      </c>
      <c r="O16" s="106" t="str">
        <f>IF(F16="","",F16*'Tabela de BDI'!$C$8)</f>
        <v/>
      </c>
      <c r="P16" s="109" t="str">
        <f t="shared" ref="P16" si="35">IF(F16="","",(F16-K16)/K16)</f>
        <v/>
      </c>
      <c r="Q16" s="110" t="str">
        <f t="shared" ref="Q16" si="36">IF(F16="","",(F16/C16)/1000)</f>
        <v/>
      </c>
      <c r="R16" s="111">
        <f>+'Tabela de BDI'!$F$9*C16</f>
        <v>522.6</v>
      </c>
      <c r="S16" s="114"/>
    </row>
    <row r="17" spans="1:19" x14ac:dyDescent="0.25">
      <c r="A17" s="1"/>
      <c r="B17" s="103" t="s">
        <v>67</v>
      </c>
      <c r="C17" s="104">
        <f t="shared" si="4"/>
        <v>4.6900000000000004</v>
      </c>
      <c r="D17" s="205" t="e">
        <f>ABS('Preço SFCR-FRONIUS-BYD'!$G$43-C17)</f>
        <v>#DIV/0!</v>
      </c>
      <c r="E17" s="181">
        <v>14</v>
      </c>
      <c r="F17" s="112">
        <f>+IF(K17=0,"",ROUND(M17/(1-'Tabela de BDI'!$C$3),0))</f>
        <v>25051</v>
      </c>
      <c r="G17" s="107" t="s">
        <v>69</v>
      </c>
      <c r="H17" s="106"/>
      <c r="I17" s="106">
        <v>17650.22</v>
      </c>
      <c r="J17" s="113">
        <f t="shared" si="20"/>
        <v>17919.005076142133</v>
      </c>
      <c r="K17" s="106">
        <f t="shared" si="24"/>
        <v>17919.005076142133</v>
      </c>
      <c r="L17" s="106">
        <f>+L15+((E17-E15)*125)</f>
        <v>3875</v>
      </c>
      <c r="M17" s="106">
        <f t="shared" si="6"/>
        <v>21794.005076142133</v>
      </c>
      <c r="N17" s="106">
        <f>IF(F17="","",F17*'Tabela de BDI'!$C$7)</f>
        <v>2004.0800000000002</v>
      </c>
      <c r="O17" s="106">
        <f>IF(F17="","",F17*'Tabela de BDI'!$C$8)</f>
        <v>1252.5500000000002</v>
      </c>
      <c r="P17" s="109">
        <f t="shared" si="7"/>
        <v>0.39801288595836187</v>
      </c>
      <c r="Q17" s="110">
        <f t="shared" si="8"/>
        <v>5.341364605543709</v>
      </c>
      <c r="R17" s="111">
        <f>+'Tabela de BDI'!$F$9*C17</f>
        <v>562.80000000000007</v>
      </c>
      <c r="S17" s="114"/>
    </row>
    <row r="18" spans="1:19" s="195" customFormat="1" x14ac:dyDescent="0.25">
      <c r="A18" s="196"/>
      <c r="B18" s="103" t="s">
        <v>67</v>
      </c>
      <c r="C18" s="104">
        <f t="shared" ref="C18" si="37">+E18*$B$3</f>
        <v>5.0250000000000004</v>
      </c>
      <c r="D18" s="205" t="e">
        <f>ABS('Preço SFCR-FRONIUS-BYD'!$G$43-C18)</f>
        <v>#DIV/0!</v>
      </c>
      <c r="E18" s="181">
        <v>15</v>
      </c>
      <c r="F18" s="112" t="str">
        <f>+IF(K18=0,"",ROUND(M18/(1-'Tabela de BDI'!$C$3),0))</f>
        <v/>
      </c>
      <c r="G18" s="107"/>
      <c r="H18" s="106"/>
      <c r="I18" s="106"/>
      <c r="J18" s="113">
        <f t="shared" si="20"/>
        <v>0</v>
      </c>
      <c r="K18" s="106">
        <f t="shared" ref="K18" si="38">IF(J18="",0,H18+J18)</f>
        <v>0</v>
      </c>
      <c r="L18" s="106">
        <f t="shared" ref="L18" si="39">+L17+((E18-E17)*125)</f>
        <v>4000</v>
      </c>
      <c r="M18" s="106">
        <f t="shared" ref="M18" si="40">+K18+L18</f>
        <v>4000</v>
      </c>
      <c r="N18" s="106" t="str">
        <f>IF(F18="","",F18*'Tabela de BDI'!$C$7)</f>
        <v/>
      </c>
      <c r="O18" s="106" t="str">
        <f>IF(F18="","",F18*'Tabela de BDI'!$C$8)</f>
        <v/>
      </c>
      <c r="P18" s="109" t="str">
        <f t="shared" ref="P18" si="41">IF(F18="","",(F18-K18)/K18)</f>
        <v/>
      </c>
      <c r="Q18" s="110" t="str">
        <f t="shared" ref="Q18" si="42">IF(F18="","",(F18/C18)/1000)</f>
        <v/>
      </c>
      <c r="R18" s="111">
        <f>+'Tabela de BDI'!$F$9*C18</f>
        <v>603</v>
      </c>
      <c r="S18" s="114"/>
    </row>
    <row r="19" spans="1:19" x14ac:dyDescent="0.25">
      <c r="A19" s="1"/>
      <c r="B19" s="103" t="s">
        <v>67</v>
      </c>
      <c r="C19" s="104">
        <f t="shared" si="4"/>
        <v>5.36</v>
      </c>
      <c r="D19" s="205" t="e">
        <f>ABS('Preço SFCR-FRONIUS-BYD'!$G$43-C19)</f>
        <v>#DIV/0!</v>
      </c>
      <c r="E19" s="181">
        <v>16</v>
      </c>
      <c r="F19" s="112">
        <f>+IF(K19=0,"",ROUND(M19/(1-'Tabela de BDI'!$C$3),0))</f>
        <v>26832</v>
      </c>
      <c r="G19" s="107" t="s">
        <v>69</v>
      </c>
      <c r="H19" s="106"/>
      <c r="I19" s="106">
        <v>18930.72</v>
      </c>
      <c r="J19" s="113">
        <f t="shared" si="20"/>
        <v>19219.005076142133</v>
      </c>
      <c r="K19" s="106">
        <f t="shared" si="24"/>
        <v>19219.005076142133</v>
      </c>
      <c r="L19" s="106">
        <f>+L17+((E19-E17)*125)</f>
        <v>4125</v>
      </c>
      <c r="M19" s="106">
        <f t="shared" si="6"/>
        <v>23344.005076142133</v>
      </c>
      <c r="N19" s="106">
        <f>IF(F19="","",F19*'Tabela de BDI'!$C$7)</f>
        <v>2146.56</v>
      </c>
      <c r="O19" s="106">
        <f>IF(F19="","",F19*'Tabela de BDI'!$C$8)</f>
        <v>1341.6000000000001</v>
      </c>
      <c r="P19" s="109">
        <f t="shared" si="7"/>
        <v>0.39611805573163611</v>
      </c>
      <c r="Q19" s="110">
        <f t="shared" si="8"/>
        <v>5.0059701492537307</v>
      </c>
      <c r="R19" s="111">
        <f>+'Tabela de BDI'!$F$9*C19</f>
        <v>643.20000000000005</v>
      </c>
      <c r="S19" s="114"/>
    </row>
    <row r="20" spans="1:19" s="313" customFormat="1" x14ac:dyDescent="0.25">
      <c r="A20" s="314"/>
      <c r="B20" s="103" t="s">
        <v>67</v>
      </c>
      <c r="C20" s="104">
        <f t="shared" ref="C20" si="43">+E20*$B$3</f>
        <v>5.6950000000000003</v>
      </c>
      <c r="D20" s="205" t="e">
        <f>ABS('Preço SFCR-FRONIUS-BYD'!$G$43-C20)</f>
        <v>#DIV/0!</v>
      </c>
      <c r="E20" s="181">
        <v>17</v>
      </c>
      <c r="F20" s="112"/>
      <c r="G20" s="107"/>
      <c r="H20" s="106"/>
      <c r="I20" s="106"/>
      <c r="J20" s="113">
        <f t="shared" ref="J20" si="44">+I20/(1-$I$5)</f>
        <v>0</v>
      </c>
      <c r="K20" s="106">
        <f t="shared" ref="K20" si="45">IF(J20="",0,H20+J20)</f>
        <v>0</v>
      </c>
      <c r="L20" s="106">
        <f>+L18+((E20-E18)*125)</f>
        <v>4250</v>
      </c>
      <c r="M20" s="106">
        <f t="shared" ref="M20" si="46">+K20+L20</f>
        <v>4250</v>
      </c>
      <c r="N20" s="106" t="str">
        <f>IF(F20="","",F20*'Tabela de BDI'!$C$7)</f>
        <v/>
      </c>
      <c r="O20" s="106" t="str">
        <f>IF(F20="","",F20*'Tabela de BDI'!$C$8)</f>
        <v/>
      </c>
      <c r="P20" s="109" t="str">
        <f t="shared" ref="P20" si="47">IF(F20="","",(F20-K20)/K20)</f>
        <v/>
      </c>
      <c r="Q20" s="110" t="str">
        <f t="shared" ref="Q20" si="48">IF(F20="","",(F20/C20)/1000)</f>
        <v/>
      </c>
      <c r="R20" s="111">
        <f>+'Tabela de BDI'!$F$9*C20</f>
        <v>683.40000000000009</v>
      </c>
      <c r="S20" s="114"/>
    </row>
    <row r="21" spans="1:19" x14ac:dyDescent="0.25">
      <c r="A21" s="1"/>
      <c r="B21" s="103" t="s">
        <v>67</v>
      </c>
      <c r="C21" s="104">
        <f t="shared" si="4"/>
        <v>6.03</v>
      </c>
      <c r="D21" s="205" t="e">
        <f>ABS('Preço SFCR-FRONIUS-BYD'!$G$43-C21)</f>
        <v>#DIV/0!</v>
      </c>
      <c r="E21" s="181">
        <v>18</v>
      </c>
      <c r="F21" s="112">
        <f>+IF(K21=0,"",ROUND(M21/(1-'Tabela de BDI'!$C$3),0))</f>
        <v>29694</v>
      </c>
      <c r="G21" s="107" t="s">
        <v>70</v>
      </c>
      <c r="H21" s="106"/>
      <c r="I21" s="106">
        <v>21137.119999999999</v>
      </c>
      <c r="J21" s="113">
        <f t="shared" si="20"/>
        <v>21459.00507614213</v>
      </c>
      <c r="K21" s="106">
        <f t="shared" si="24"/>
        <v>21459.00507614213</v>
      </c>
      <c r="L21" s="106">
        <f>+L18+((E21-E18)*125)</f>
        <v>4375</v>
      </c>
      <c r="M21" s="106">
        <f t="shared" si="6"/>
        <v>25834.00507614213</v>
      </c>
      <c r="N21" s="106">
        <f>IF(F21="","",F21*'Tabela de BDI'!$C$7)</f>
        <v>2375.52</v>
      </c>
      <c r="O21" s="106">
        <f>IF(F21="","",F21*'Tabela de BDI'!$C$8)</f>
        <v>1484.7</v>
      </c>
      <c r="P21" s="109">
        <f t="shared" si="7"/>
        <v>0.38375474047552377</v>
      </c>
      <c r="Q21" s="110">
        <f t="shared" si="8"/>
        <v>4.9243781094527357</v>
      </c>
      <c r="R21" s="111">
        <f>+'Tabela de BDI'!$F$9*C21</f>
        <v>723.6</v>
      </c>
      <c r="S21" s="114"/>
    </row>
    <row r="22" spans="1:19" s="228" customFormat="1" x14ac:dyDescent="0.25">
      <c r="A22" s="229"/>
      <c r="B22" s="103" t="s">
        <v>67</v>
      </c>
      <c r="C22" s="104">
        <f t="shared" ref="C22" si="49">+E22*$B$3</f>
        <v>6.3650000000000002</v>
      </c>
      <c r="D22" s="205" t="e">
        <f>ABS('Preço SFCR-FRONIUS-BYD'!$G$43-C22)</f>
        <v>#DIV/0!</v>
      </c>
      <c r="E22" s="181">
        <v>19</v>
      </c>
      <c r="F22" s="112" t="str">
        <f>+IF(K22=0,"",ROUND(M22/(1-'Tabela de BDI'!$C$3),0))</f>
        <v/>
      </c>
      <c r="G22" s="107"/>
      <c r="H22" s="106"/>
      <c r="I22" s="106"/>
      <c r="J22" s="113">
        <f t="shared" ref="J22" si="50">+I22/(1-$I$5)</f>
        <v>0</v>
      </c>
      <c r="K22" s="106">
        <f t="shared" ref="K22" si="51">IF(J22="",0,H22+J22)</f>
        <v>0</v>
      </c>
      <c r="L22" s="106">
        <f>+L19+((E22-E19)*125)</f>
        <v>4500</v>
      </c>
      <c r="M22" s="106">
        <f t="shared" ref="M22" si="52">+K22+L22</f>
        <v>4500</v>
      </c>
      <c r="N22" s="106" t="str">
        <f>IF(F22="","",F22*'Tabela de BDI'!$C$7)</f>
        <v/>
      </c>
      <c r="O22" s="106" t="str">
        <f>IF(F22="","",F22*'Tabela de BDI'!$C$8)</f>
        <v/>
      </c>
      <c r="P22" s="109" t="str">
        <f t="shared" ref="P22" si="53">IF(F22="","",(F22-K22)/K22)</f>
        <v/>
      </c>
      <c r="Q22" s="110" t="str">
        <f t="shared" ref="Q22" si="54">IF(F22="","",(F22/C22)/1000)</f>
        <v/>
      </c>
      <c r="R22" s="111">
        <f>+'Tabela de BDI'!$F$9*C22</f>
        <v>763.80000000000007</v>
      </c>
      <c r="S22" s="114"/>
    </row>
    <row r="23" spans="1:19" x14ac:dyDescent="0.25">
      <c r="A23" s="1"/>
      <c r="B23" s="103" t="s">
        <v>67</v>
      </c>
      <c r="C23" s="104">
        <f t="shared" si="4"/>
        <v>6.7</v>
      </c>
      <c r="D23" s="205" t="e">
        <f>ABS('Preço SFCR-FRONIUS-BYD'!$G$43-C23)</f>
        <v>#DIV/0!</v>
      </c>
      <c r="E23" s="181">
        <v>20</v>
      </c>
      <c r="F23" s="112">
        <f>+IF(K23=0,"",ROUND(M23/(1-'Tabela de BDI'!$C$3),0))</f>
        <v>31476</v>
      </c>
      <c r="G23" s="107" t="s">
        <v>70</v>
      </c>
      <c r="H23" s="106"/>
      <c r="I23" s="143">
        <v>22417.62</v>
      </c>
      <c r="J23" s="113">
        <f t="shared" si="20"/>
        <v>22759.00507614213</v>
      </c>
      <c r="K23" s="106">
        <f t="shared" si="24"/>
        <v>22759.00507614213</v>
      </c>
      <c r="L23" s="106">
        <f t="shared" ref="L23:L32" si="55">+L21+((E23-E21)*125)</f>
        <v>4625</v>
      </c>
      <c r="M23" s="106">
        <f t="shared" si="6"/>
        <v>27384.00507614213</v>
      </c>
      <c r="N23" s="106">
        <f>IF(F23="","",F23*'Tabela de BDI'!$C$7)</f>
        <v>2518.08</v>
      </c>
      <c r="O23" s="106">
        <f>IF(F23="","",F23*'Tabela de BDI'!$C$8)</f>
        <v>1573.8000000000002</v>
      </c>
      <c r="P23" s="109">
        <f t="shared" si="7"/>
        <v>0.38301300494878593</v>
      </c>
      <c r="Q23" s="110">
        <f t="shared" si="8"/>
        <v>4.6979104477611937</v>
      </c>
      <c r="R23" s="111">
        <f>+'Tabela de BDI'!$F$9*C23</f>
        <v>804</v>
      </c>
      <c r="S23" s="114"/>
    </row>
    <row r="24" spans="1:19" s="313" customFormat="1" x14ac:dyDescent="0.25">
      <c r="A24" s="314"/>
      <c r="B24" s="103" t="s">
        <v>67</v>
      </c>
      <c r="C24" s="104">
        <f t="shared" ref="C24" si="56">+E24*$B$3</f>
        <v>7.0350000000000001</v>
      </c>
      <c r="D24" s="205" t="e">
        <f>ABS('Preço SFCR-FRONIUS-BYD'!$G$43-C24)</f>
        <v>#DIV/0!</v>
      </c>
      <c r="E24" s="181">
        <v>21</v>
      </c>
      <c r="F24" s="112" t="str">
        <f>+IF(K24=0,"",ROUND(M24/(1-'Tabela de BDI'!$C$3),0))</f>
        <v/>
      </c>
      <c r="G24" s="107"/>
      <c r="H24" s="106"/>
      <c r="I24" s="143"/>
      <c r="J24" s="113">
        <f t="shared" ref="J24" si="57">+I24/(1-$I$5)</f>
        <v>0</v>
      </c>
      <c r="K24" s="106">
        <f t="shared" ref="K24" si="58">IF(J24="",0,H24+J24)</f>
        <v>0</v>
      </c>
      <c r="L24" s="106">
        <f t="shared" ref="L24" si="59">+L22+((E24-E22)*125)</f>
        <v>4750</v>
      </c>
      <c r="M24" s="106">
        <f t="shared" ref="M24" si="60">+K24+L24</f>
        <v>4750</v>
      </c>
      <c r="N24" s="106" t="str">
        <f>IF(F24="","",F24*'Tabela de BDI'!$C$7)</f>
        <v/>
      </c>
      <c r="O24" s="106" t="str">
        <f>IF(F24="","",F24*'Tabela de BDI'!$C$8)</f>
        <v/>
      </c>
      <c r="P24" s="109" t="str">
        <f t="shared" ref="P24" si="61">IF(F24="","",(F24-K24)/K24)</f>
        <v/>
      </c>
      <c r="Q24" s="110" t="str">
        <f t="shared" ref="Q24" si="62">IF(F24="","",(F24/C24)/1000)</f>
        <v/>
      </c>
      <c r="R24" s="111">
        <f>+'Tabela de BDI'!$F$9*C24</f>
        <v>844.2</v>
      </c>
      <c r="S24" s="114"/>
    </row>
    <row r="25" spans="1:19" x14ac:dyDescent="0.25">
      <c r="A25" s="1"/>
      <c r="B25" s="103" t="s">
        <v>67</v>
      </c>
      <c r="C25" s="104">
        <f t="shared" si="4"/>
        <v>7.37</v>
      </c>
      <c r="D25" s="205" t="e">
        <f>ABS('Preço SFCR-FRONIUS-BYD'!$G$43-C25)</f>
        <v>#DIV/0!</v>
      </c>
      <c r="E25" s="181">
        <v>22</v>
      </c>
      <c r="F25" s="112">
        <f>+IF(K25=0,"",ROUND(M25/(1-'Tabela de BDI'!$C$3),0))</f>
        <v>35775</v>
      </c>
      <c r="G25" s="107" t="s">
        <v>71</v>
      </c>
      <c r="H25" s="106"/>
      <c r="I25" s="143">
        <v>25855.27</v>
      </c>
      <c r="J25" s="113">
        <f t="shared" si="20"/>
        <v>26249.005076142133</v>
      </c>
      <c r="K25" s="106">
        <f t="shared" si="24"/>
        <v>26249.005076142133</v>
      </c>
      <c r="L25" s="106">
        <f>+L22+((E25-E22)*125)</f>
        <v>4875</v>
      </c>
      <c r="M25" s="106">
        <f t="shared" si="6"/>
        <v>31124.005076142133</v>
      </c>
      <c r="N25" s="106">
        <f>IF(F25="","",F25*'Tabela de BDI'!$C$7)</f>
        <v>2862</v>
      </c>
      <c r="O25" s="106">
        <f>IF(F25="","",F25*'Tabela de BDI'!$C$8)</f>
        <v>1788.75</v>
      </c>
      <c r="P25" s="109">
        <f t="shared" si="7"/>
        <v>0.36290879963736594</v>
      </c>
      <c r="Q25" s="110">
        <f t="shared" si="8"/>
        <v>4.8541383989145181</v>
      </c>
      <c r="R25" s="111">
        <f>+'Tabela de BDI'!$F$9*C25</f>
        <v>884.4</v>
      </c>
      <c r="S25" s="114"/>
    </row>
    <row r="26" spans="1:19" s="228" customFormat="1" x14ac:dyDescent="0.25">
      <c r="A26" s="229"/>
      <c r="B26" s="103" t="s">
        <v>67</v>
      </c>
      <c r="C26" s="104">
        <f t="shared" ref="C26" si="63">+E26*$B$3</f>
        <v>7.7050000000000001</v>
      </c>
      <c r="D26" s="205" t="e">
        <f>ABS('Preço SFCR-FRONIUS-BYD'!$G$43-C26)</f>
        <v>#DIV/0!</v>
      </c>
      <c r="E26" s="181">
        <v>23</v>
      </c>
      <c r="F26" s="112" t="str">
        <f>+IF(K26=0,"",ROUND(M26/(1-'Tabela de BDI'!$C$3),0))</f>
        <v/>
      </c>
      <c r="G26" s="107"/>
      <c r="H26" s="106"/>
      <c r="I26" s="143"/>
      <c r="J26" s="113">
        <f t="shared" ref="J26" si="64">+I26/(1-$I$5)</f>
        <v>0</v>
      </c>
      <c r="K26" s="106">
        <f t="shared" ref="K26" si="65">IF(J26="",0,H26+J26)</f>
        <v>0</v>
      </c>
      <c r="L26" s="106">
        <f>+L23+((E26-E23)*125)</f>
        <v>5000</v>
      </c>
      <c r="M26" s="106">
        <f t="shared" ref="M26" si="66">+K26+L26</f>
        <v>5000</v>
      </c>
      <c r="N26" s="106" t="str">
        <f>IF(F26="","",F26*'Tabela de BDI'!$C$7)</f>
        <v/>
      </c>
      <c r="O26" s="106" t="str">
        <f>IF(F26="","",F26*'Tabela de BDI'!$C$8)</f>
        <v/>
      </c>
      <c r="P26" s="109" t="str">
        <f t="shared" ref="P26" si="67">IF(F26="","",(F26-K26)/K26)</f>
        <v/>
      </c>
      <c r="Q26" s="110" t="str">
        <f t="shared" ref="Q26" si="68">IF(F26="","",(F26/C26)/1000)</f>
        <v/>
      </c>
      <c r="R26" s="111">
        <f>+'Tabela de BDI'!$F$9*C26</f>
        <v>924.6</v>
      </c>
      <c r="S26" s="114"/>
    </row>
    <row r="27" spans="1:19" x14ac:dyDescent="0.25">
      <c r="A27" s="1"/>
      <c r="B27" s="103" t="s">
        <v>67</v>
      </c>
      <c r="C27" s="104">
        <f t="shared" si="4"/>
        <v>8.0400000000000009</v>
      </c>
      <c r="D27" s="205" t="e">
        <f>ABS('Preço SFCR-FRONIUS-BYD'!$G$43-C27)</f>
        <v>#DIV/0!</v>
      </c>
      <c r="E27" s="181">
        <v>24</v>
      </c>
      <c r="F27" s="112">
        <f>+IF(K27=0,"",ROUND(M27/(1-'Tabela de BDI'!$C$3),0))</f>
        <v>37556</v>
      </c>
      <c r="G27" s="107" t="s">
        <v>71</v>
      </c>
      <c r="H27" s="106"/>
      <c r="I27" s="143">
        <v>27135.77</v>
      </c>
      <c r="J27" s="113">
        <f t="shared" si="20"/>
        <v>27549.005076142133</v>
      </c>
      <c r="K27" s="106">
        <f t="shared" si="24"/>
        <v>27549.005076142133</v>
      </c>
      <c r="L27" s="106">
        <f>+L25+((E27-E25)*125)</f>
        <v>5125</v>
      </c>
      <c r="M27" s="106">
        <f t="shared" si="6"/>
        <v>32674.005076142133</v>
      </c>
      <c r="N27" s="106">
        <f>IF(F27="","",F27*'Tabela de BDI'!$C$7)</f>
        <v>3004.48</v>
      </c>
      <c r="O27" s="106">
        <f>IF(F27="","",F27*'Tabela de BDI'!$C$8)</f>
        <v>1877.8000000000002</v>
      </c>
      <c r="P27" s="109">
        <f t="shared" si="7"/>
        <v>0.36324342371710838</v>
      </c>
      <c r="Q27" s="110">
        <f t="shared" si="8"/>
        <v>4.671144278606965</v>
      </c>
      <c r="R27" s="111">
        <f>+'Tabela de BDI'!$F$9*C27</f>
        <v>964.80000000000007</v>
      </c>
      <c r="S27" s="114"/>
    </row>
    <row r="28" spans="1:19" s="207" customFormat="1" x14ac:dyDescent="0.25">
      <c r="A28" s="208"/>
      <c r="B28" s="103" t="s">
        <v>67</v>
      </c>
      <c r="C28" s="104">
        <f t="shared" ref="C28" si="69">+E28*$B$3</f>
        <v>8.375</v>
      </c>
      <c r="D28" s="205" t="e">
        <f>ABS('Preço SFCR-FRONIUS-BYD'!$G$43-C28)</f>
        <v>#DIV/0!</v>
      </c>
      <c r="E28" s="181">
        <v>25</v>
      </c>
      <c r="F28" s="112" t="str">
        <f>+IF(K28=0,"",ROUND(M28/(1-'Tabela de BDI'!$C$3),0))</f>
        <v/>
      </c>
      <c r="G28" s="107"/>
      <c r="H28" s="106"/>
      <c r="I28" s="143"/>
      <c r="J28" s="113">
        <f t="shared" si="20"/>
        <v>0</v>
      </c>
      <c r="K28" s="106">
        <f t="shared" ref="K28" si="70">IF(J28="",0,H28+J28)</f>
        <v>0</v>
      </c>
      <c r="L28" s="106">
        <f t="shared" si="55"/>
        <v>5250</v>
      </c>
      <c r="M28" s="106">
        <f t="shared" ref="M28" si="71">+K28+L28</f>
        <v>5250</v>
      </c>
      <c r="N28" s="106" t="str">
        <f>IF(F28="","",F28*'Tabela de BDI'!$C$7)</f>
        <v/>
      </c>
      <c r="O28" s="106" t="str">
        <f>IF(F28="","",F28*'Tabela de BDI'!$C$8)</f>
        <v/>
      </c>
      <c r="P28" s="109" t="str">
        <f t="shared" ref="P28" si="72">IF(F28="","",(F28-K28)/K28)</f>
        <v/>
      </c>
      <c r="Q28" s="110" t="str">
        <f t="shared" ref="Q28" si="73">IF(F28="","",(F28/C28)/1000)</f>
        <v/>
      </c>
      <c r="R28" s="111">
        <f>+'Tabela de BDI'!$F$9*C28</f>
        <v>1005</v>
      </c>
      <c r="S28" s="114"/>
    </row>
    <row r="29" spans="1:19" x14ac:dyDescent="0.25">
      <c r="A29" s="1"/>
      <c r="B29" s="103" t="s">
        <v>67</v>
      </c>
      <c r="C29" s="104">
        <f t="shared" si="4"/>
        <v>8.7100000000000009</v>
      </c>
      <c r="D29" s="205" t="e">
        <f>ABS('Preço SFCR-FRONIUS-BYD'!$G$43-C29)</f>
        <v>#DIV/0!</v>
      </c>
      <c r="E29" s="181">
        <v>26</v>
      </c>
      <c r="F29" s="112">
        <f>+IF(K29=0,"",ROUND(M29/(1-'Tabela de BDI'!$C$3),0))</f>
        <v>41223</v>
      </c>
      <c r="G29" s="107" t="s">
        <v>72</v>
      </c>
      <c r="H29" s="106"/>
      <c r="I29" s="143">
        <v>30031.67</v>
      </c>
      <c r="J29" s="113">
        <f t="shared" si="20"/>
        <v>30489.00507614213</v>
      </c>
      <c r="K29" s="106">
        <f t="shared" si="24"/>
        <v>30489.00507614213</v>
      </c>
      <c r="L29" s="106">
        <f t="shared" si="55"/>
        <v>5375</v>
      </c>
      <c r="M29" s="106">
        <f t="shared" si="6"/>
        <v>35864.00507614213</v>
      </c>
      <c r="N29" s="106">
        <f>IF(F29="","",F29*'Tabela de BDI'!$C$7)</f>
        <v>3297.84</v>
      </c>
      <c r="O29" s="106">
        <f>IF(F29="","",F29*'Tabela de BDI'!$C$8)</f>
        <v>2061.15</v>
      </c>
      <c r="P29" s="109">
        <f t="shared" si="7"/>
        <v>0.35206117408722204</v>
      </c>
      <c r="Q29" s="110">
        <f t="shared" si="8"/>
        <v>4.7328358208955228</v>
      </c>
      <c r="R29" s="111">
        <f>+'Tabela de BDI'!$F$9*C29</f>
        <v>1045.2</v>
      </c>
      <c r="S29" s="114"/>
    </row>
    <row r="30" spans="1:19" x14ac:dyDescent="0.25">
      <c r="A30" s="1"/>
      <c r="B30" s="103" t="s">
        <v>67</v>
      </c>
      <c r="C30" s="104">
        <f t="shared" si="4"/>
        <v>9.3800000000000008</v>
      </c>
      <c r="D30" s="205" t="e">
        <f>ABS('Preço SFCR-FRONIUS-BYD'!$G$43-C30)</f>
        <v>#DIV/0!</v>
      </c>
      <c r="E30" s="181">
        <v>28</v>
      </c>
      <c r="F30" s="112">
        <f>+IF(K30=0,"",ROUND(M30/(1-'Tabela de BDI'!$C$3),0))</f>
        <v>43005</v>
      </c>
      <c r="G30" s="107" t="s">
        <v>72</v>
      </c>
      <c r="H30" s="106"/>
      <c r="I30" s="143">
        <v>31312.17</v>
      </c>
      <c r="J30" s="113">
        <f t="shared" si="20"/>
        <v>31789.00507614213</v>
      </c>
      <c r="K30" s="106">
        <f t="shared" si="24"/>
        <v>31789.00507614213</v>
      </c>
      <c r="L30" s="106">
        <f t="shared" si="55"/>
        <v>5625</v>
      </c>
      <c r="M30" s="106">
        <f t="shared" si="6"/>
        <v>37414.00507614213</v>
      </c>
      <c r="N30" s="106">
        <f>IF(F30="","",F30*'Tabela de BDI'!$C$7)</f>
        <v>3440.4</v>
      </c>
      <c r="O30" s="106">
        <f>IF(F30="","",F30*'Tabela de BDI'!$C$8)</f>
        <v>2150.25</v>
      </c>
      <c r="P30" s="109">
        <f t="shared" si="7"/>
        <v>0.35282623337826802</v>
      </c>
      <c r="Q30" s="110">
        <f t="shared" si="8"/>
        <v>4.5847547974413647</v>
      </c>
      <c r="R30" s="111">
        <f>+'Tabela de BDI'!$F$9*C30</f>
        <v>1125.6000000000001</v>
      </c>
      <c r="S30" s="114"/>
    </row>
    <row r="31" spans="1:19" x14ac:dyDescent="0.25">
      <c r="A31" s="1"/>
      <c r="B31" s="103" t="s">
        <v>67</v>
      </c>
      <c r="C31" s="104">
        <f t="shared" si="4"/>
        <v>10.050000000000001</v>
      </c>
      <c r="D31" s="205" t="e">
        <f>ABS('Preço SFCR-FRONIUS-BYD'!$G$43-C31)</f>
        <v>#DIV/0!</v>
      </c>
      <c r="E31" s="181">
        <v>30</v>
      </c>
      <c r="F31" s="112">
        <f>+IF(K31=0,"",ROUND(M31/(1-'Tabela de BDI'!$C$3),0))</f>
        <v>45166</v>
      </c>
      <c r="G31" s="107" t="s">
        <v>72</v>
      </c>
      <c r="H31" s="106"/>
      <c r="I31" s="143">
        <v>32917.72</v>
      </c>
      <c r="J31" s="113">
        <f t="shared" si="20"/>
        <v>33419.005076142137</v>
      </c>
      <c r="K31" s="106">
        <f t="shared" si="24"/>
        <v>33419.005076142137</v>
      </c>
      <c r="L31" s="106">
        <f t="shared" si="55"/>
        <v>5875</v>
      </c>
      <c r="M31" s="106">
        <f t="shared" si="6"/>
        <v>39294.005076142137</v>
      </c>
      <c r="N31" s="106">
        <f>IF(F31="","",F31*'Tabela de BDI'!$C$7)</f>
        <v>3613.28</v>
      </c>
      <c r="O31" s="106">
        <f>IF(F31="","",F31*'Tabela de BDI'!$C$8)</f>
        <v>2258.3000000000002</v>
      </c>
      <c r="P31" s="109">
        <f t="shared" si="7"/>
        <v>0.35150642268054999</v>
      </c>
      <c r="Q31" s="110">
        <f t="shared" si="8"/>
        <v>4.4941293532338307</v>
      </c>
      <c r="R31" s="111">
        <f>+'Tabela de BDI'!$F$9*C31</f>
        <v>1206</v>
      </c>
      <c r="S31" s="114"/>
    </row>
    <row r="32" spans="1:19" x14ac:dyDescent="0.25">
      <c r="A32" s="1"/>
      <c r="B32" s="103" t="s">
        <v>67</v>
      </c>
      <c r="C32" s="104">
        <f t="shared" si="4"/>
        <v>10.72</v>
      </c>
      <c r="D32" s="205" t="e">
        <f>ABS('Preço SFCR-FRONIUS-BYD'!$G$43-C32)</f>
        <v>#DIV/0!</v>
      </c>
      <c r="E32" s="181">
        <v>32</v>
      </c>
      <c r="F32" s="112">
        <f>+IF(K32=0,"",ROUND(M32/(1-'Tabela de BDI'!$C$3),0))</f>
        <v>46936</v>
      </c>
      <c r="G32" s="107" t="s">
        <v>72</v>
      </c>
      <c r="H32" s="106"/>
      <c r="I32" s="143">
        <v>34188.370000000003</v>
      </c>
      <c r="J32" s="113">
        <f t="shared" si="20"/>
        <v>34709.005076142137</v>
      </c>
      <c r="K32" s="106">
        <f t="shared" si="24"/>
        <v>34709.005076142137</v>
      </c>
      <c r="L32" s="106">
        <f t="shared" si="55"/>
        <v>6125</v>
      </c>
      <c r="M32" s="106">
        <f t="shared" si="6"/>
        <v>40834.005076142137</v>
      </c>
      <c r="N32" s="106">
        <f>IF(F32="","",F32*'Tabela de BDI'!$C$7)</f>
        <v>3754.88</v>
      </c>
      <c r="O32" s="106">
        <f>IF(F32="","",F32*'Tabela de BDI'!$C$8)</f>
        <v>2346.8000000000002</v>
      </c>
      <c r="P32" s="109">
        <f t="shared" si="7"/>
        <v>0.35227154731272631</v>
      </c>
      <c r="Q32" s="110">
        <f t="shared" si="8"/>
        <v>4.3783582089552233</v>
      </c>
      <c r="R32" s="111">
        <f>+'Tabela de BDI'!$F$9*C32</f>
        <v>1286.4000000000001</v>
      </c>
      <c r="S32" s="114"/>
    </row>
    <row r="33" spans="1:19" ht="15.75" customHeight="1" x14ac:dyDescent="0.25">
      <c r="A33" s="1"/>
      <c r="B33" s="103" t="s">
        <v>67</v>
      </c>
      <c r="C33" s="104">
        <f t="shared" si="4"/>
        <v>11.39</v>
      </c>
      <c r="D33" s="205" t="e">
        <f>ABS('Preço SFCR-FRONIUS-BYD'!$G$43-C33)</f>
        <v>#DIV/0!</v>
      </c>
      <c r="E33" s="181">
        <v>34</v>
      </c>
      <c r="F33" s="112">
        <f>+IF(K33=0,"",ROUND(M33/(1-'Tabela de BDI'!$C$3),0))</f>
        <v>54802</v>
      </c>
      <c r="G33" s="107" t="s">
        <v>238</v>
      </c>
      <c r="H33" s="115"/>
      <c r="I33" s="152">
        <f>+I17+I23</f>
        <v>40067.839999999997</v>
      </c>
      <c r="J33" s="146">
        <f t="shared" si="20"/>
        <v>40678.01015228426</v>
      </c>
      <c r="K33" s="106">
        <f t="shared" si="24"/>
        <v>40678.01015228426</v>
      </c>
      <c r="L33" s="108">
        <v>7000</v>
      </c>
      <c r="M33" s="106">
        <f t="shared" si="6"/>
        <v>47678.01015228426</v>
      </c>
      <c r="N33" s="106">
        <f>IF(F33="","",F33*'Tabela de BDI'!$C$7)</f>
        <v>4384.16</v>
      </c>
      <c r="O33" s="106">
        <f>IF(F33="","",F33*'Tabela de BDI'!$C$8)</f>
        <v>2740.1000000000004</v>
      </c>
      <c r="P33" s="109">
        <f t="shared" si="7"/>
        <v>0.34721437442098213</v>
      </c>
      <c r="Q33" s="110">
        <f t="shared" si="8"/>
        <v>4.8114135206321338</v>
      </c>
      <c r="R33" s="111">
        <f>+'Tabela de BDI'!$F$9*C33</f>
        <v>1366.8000000000002</v>
      </c>
      <c r="S33" s="114"/>
    </row>
    <row r="34" spans="1:19" ht="15.75" customHeight="1" x14ac:dyDescent="0.25">
      <c r="A34" s="1"/>
      <c r="B34" s="103" t="s">
        <v>67</v>
      </c>
      <c r="C34" s="104">
        <f t="shared" si="4"/>
        <v>12.06</v>
      </c>
      <c r="D34" s="205" t="e">
        <f>ABS('Preço SFCR-FRONIUS-BYD'!$G$43-C34)</f>
        <v>#DIV/0!</v>
      </c>
      <c r="E34" s="181">
        <v>36</v>
      </c>
      <c r="F34" s="112">
        <f>+IF(K34=0,"",ROUND(M34/(1-'Tabela de BDI'!$C$3),0))</f>
        <v>56584</v>
      </c>
      <c r="G34" s="107" t="s">
        <v>238</v>
      </c>
      <c r="H34" s="115"/>
      <c r="I34" s="152">
        <f>+I19+I23</f>
        <v>41348.339999999997</v>
      </c>
      <c r="J34" s="146">
        <f t="shared" si="20"/>
        <v>41978.01015228426</v>
      </c>
      <c r="K34" s="106">
        <f t="shared" si="24"/>
        <v>41978.01015228426</v>
      </c>
      <c r="L34" s="106">
        <f t="shared" ref="L34:L65" si="74">+L33+((E34-E33)*125)</f>
        <v>7250</v>
      </c>
      <c r="M34" s="106">
        <f t="shared" si="6"/>
        <v>49228.01015228426</v>
      </c>
      <c r="N34" s="106">
        <f>IF(F34="","",F34*'Tabela de BDI'!$C$7)</f>
        <v>4526.72</v>
      </c>
      <c r="O34" s="106">
        <f>IF(F34="","",F34*'Tabela de BDI'!$C$8)</f>
        <v>2829.2000000000003</v>
      </c>
      <c r="P34" s="109">
        <f t="shared" si="7"/>
        <v>0.34794383523014483</v>
      </c>
      <c r="Q34" s="110">
        <f t="shared" si="8"/>
        <v>4.6918739635157545</v>
      </c>
      <c r="R34" s="111">
        <f>+'Tabela de BDI'!$F$9*C34</f>
        <v>1447.2</v>
      </c>
      <c r="S34" s="114"/>
    </row>
    <row r="35" spans="1:19" ht="15.75" customHeight="1" x14ac:dyDescent="0.25">
      <c r="A35" s="1"/>
      <c r="B35" s="103" t="s">
        <v>67</v>
      </c>
      <c r="C35" s="104">
        <f t="shared" si="4"/>
        <v>12.73</v>
      </c>
      <c r="D35" s="205" t="e">
        <f>ABS('Preço SFCR-FRONIUS-BYD'!$G$43-C35)</f>
        <v>#DIV/0!</v>
      </c>
      <c r="E35" s="181">
        <v>38</v>
      </c>
      <c r="F35" s="112">
        <f>+IF(K35=0,"",ROUND(M35/(1-'Tabela de BDI'!$C$3),0))</f>
        <v>59446</v>
      </c>
      <c r="G35" s="107" t="s">
        <v>73</v>
      </c>
      <c r="H35" s="115"/>
      <c r="I35" s="152">
        <f>+I21+I23</f>
        <v>43554.74</v>
      </c>
      <c r="J35" s="146">
        <f t="shared" si="20"/>
        <v>44218.01015228426</v>
      </c>
      <c r="K35" s="106">
        <f t="shared" si="24"/>
        <v>44218.01015228426</v>
      </c>
      <c r="L35" s="106">
        <f t="shared" si="74"/>
        <v>7500</v>
      </c>
      <c r="M35" s="106">
        <f t="shared" si="6"/>
        <v>51718.01015228426</v>
      </c>
      <c r="N35" s="106">
        <f>IF(F35="","",F35*'Tabela de BDI'!$C$7)</f>
        <v>4755.68</v>
      </c>
      <c r="O35" s="106">
        <f>IF(F35="","",F35*'Tabela de BDI'!$C$8)</f>
        <v>2972.3</v>
      </c>
      <c r="P35" s="109">
        <f t="shared" si="7"/>
        <v>0.34438433107395444</v>
      </c>
      <c r="Q35" s="110">
        <f t="shared" si="8"/>
        <v>4.6697564807541241</v>
      </c>
      <c r="R35" s="111">
        <f>+'Tabela de BDI'!$F$9*C35</f>
        <v>1527.6000000000001</v>
      </c>
      <c r="S35" s="114"/>
    </row>
    <row r="36" spans="1:19" ht="15.75" customHeight="1" x14ac:dyDescent="0.25">
      <c r="A36" s="1"/>
      <c r="B36" s="103" t="s">
        <v>67</v>
      </c>
      <c r="C36" s="104">
        <f t="shared" si="4"/>
        <v>13.4</v>
      </c>
      <c r="D36" s="205" t="e">
        <f>ABS('Preço SFCR-FRONIUS-BYD'!$G$43-C36)</f>
        <v>#DIV/0!</v>
      </c>
      <c r="E36" s="181">
        <v>40</v>
      </c>
      <c r="F36" s="112">
        <f>+IF(K36=0,"",ROUND(M36/(1-'Tabela de BDI'!$C$3),0))</f>
        <v>61228</v>
      </c>
      <c r="G36" s="107" t="s">
        <v>73</v>
      </c>
      <c r="H36" s="75"/>
      <c r="I36" s="153">
        <f>+I23*2</f>
        <v>44835.24</v>
      </c>
      <c r="J36" s="146">
        <f t="shared" si="20"/>
        <v>45518.01015228426</v>
      </c>
      <c r="K36" s="106">
        <f t="shared" si="24"/>
        <v>45518.01015228426</v>
      </c>
      <c r="L36" s="106">
        <f t="shared" si="74"/>
        <v>7750</v>
      </c>
      <c r="M36" s="106">
        <f t="shared" si="6"/>
        <v>53268.01015228426</v>
      </c>
      <c r="N36" s="106">
        <f>IF(F36="","",F36*'Tabela de BDI'!$C$7)</f>
        <v>4898.24</v>
      </c>
      <c r="O36" s="106">
        <f>IF(F36="","",F36*'Tabela de BDI'!$C$8)</f>
        <v>3061.4</v>
      </c>
      <c r="P36" s="109">
        <f t="shared" si="7"/>
        <v>0.34513788707275805</v>
      </c>
      <c r="Q36" s="110">
        <f t="shared" si="8"/>
        <v>4.5692537313432835</v>
      </c>
      <c r="R36" s="111">
        <f>+'Tabela de BDI'!$F$9*C36</f>
        <v>1608</v>
      </c>
      <c r="S36" s="114"/>
    </row>
    <row r="37" spans="1:19" ht="15.75" customHeight="1" x14ac:dyDescent="0.25">
      <c r="A37" s="1"/>
      <c r="B37" s="103" t="s">
        <v>67</v>
      </c>
      <c r="C37" s="104">
        <f t="shared" si="4"/>
        <v>14.07</v>
      </c>
      <c r="D37" s="205" t="e">
        <f>ABS('Preço SFCR-FRONIUS-BYD'!$G$43-C37)</f>
        <v>#DIV/0!</v>
      </c>
      <c r="E37" s="181">
        <v>42</v>
      </c>
      <c r="F37" s="112">
        <f>+IF(K37=0,"",ROUND(M37/(1-'Tabela de BDI'!$C$3),0))</f>
        <v>65526</v>
      </c>
      <c r="G37" s="107" t="s">
        <v>74</v>
      </c>
      <c r="H37" s="115"/>
      <c r="I37" s="154">
        <f>+I23+I25</f>
        <v>48272.89</v>
      </c>
      <c r="J37" s="146">
        <f t="shared" si="20"/>
        <v>49008.010152284267</v>
      </c>
      <c r="K37" s="106">
        <f t="shared" si="24"/>
        <v>49008.010152284267</v>
      </c>
      <c r="L37" s="106">
        <f t="shared" si="74"/>
        <v>8000</v>
      </c>
      <c r="M37" s="106">
        <f t="shared" si="6"/>
        <v>57008.010152284267</v>
      </c>
      <c r="N37" s="106">
        <f>IF(F37="","",F37*'Tabela de BDI'!$C$7)</f>
        <v>5242.08</v>
      </c>
      <c r="O37" s="106">
        <f>IF(F37="","",F37*'Tabela de BDI'!$C$8)</f>
        <v>3276.3</v>
      </c>
      <c r="P37" s="109">
        <f t="shared" si="7"/>
        <v>0.33704673575582478</v>
      </c>
      <c r="Q37" s="110">
        <f t="shared" si="8"/>
        <v>4.6571428571428566</v>
      </c>
      <c r="R37" s="111">
        <f>+'Tabela de BDI'!$F$9*C37</f>
        <v>1688.4</v>
      </c>
      <c r="S37" s="114"/>
    </row>
    <row r="38" spans="1:19" ht="15.75" customHeight="1" x14ac:dyDescent="0.25">
      <c r="A38" s="1"/>
      <c r="B38" s="103" t="s">
        <v>67</v>
      </c>
      <c r="C38" s="104">
        <f t="shared" si="4"/>
        <v>14.74</v>
      </c>
      <c r="D38" s="205" t="e">
        <f>ABS('Preço SFCR-FRONIUS-BYD'!$G$43-C38)</f>
        <v>#DIV/0!</v>
      </c>
      <c r="E38" s="181">
        <v>44</v>
      </c>
      <c r="F38" s="112">
        <f>+IF(K38=0,"",ROUND(M38/(1-'Tabela de BDI'!$C$3),0))</f>
        <v>68367</v>
      </c>
      <c r="G38" s="107" t="s">
        <v>258</v>
      </c>
      <c r="H38" s="75"/>
      <c r="I38" s="145">
        <v>50460.57</v>
      </c>
      <c r="J38" s="148">
        <f t="shared" si="20"/>
        <v>51229.00507614213</v>
      </c>
      <c r="K38" s="106">
        <f t="shared" si="24"/>
        <v>51229.00507614213</v>
      </c>
      <c r="L38" s="106">
        <f t="shared" si="74"/>
        <v>8250</v>
      </c>
      <c r="M38" s="106">
        <f t="shared" si="6"/>
        <v>59479.00507614213</v>
      </c>
      <c r="N38" s="106">
        <f>IF(F38="","",F38*'Tabela de BDI'!$C$7)</f>
        <v>5469.36</v>
      </c>
      <c r="O38" s="106">
        <f>IF(F38="","",F38*'Tabela de BDI'!$C$8)</f>
        <v>3418.3500000000004</v>
      </c>
      <c r="P38" s="109">
        <f t="shared" si="7"/>
        <v>0.33453694637218728</v>
      </c>
      <c r="Q38" s="110">
        <f t="shared" si="8"/>
        <v>4.6381953867028498</v>
      </c>
      <c r="R38" s="111">
        <f>+'Tabela de BDI'!$F$9*C38</f>
        <v>1768.8</v>
      </c>
      <c r="S38" s="114"/>
    </row>
    <row r="39" spans="1:19" ht="15.75" customHeight="1" x14ac:dyDescent="0.25">
      <c r="A39" s="1"/>
      <c r="B39" s="103" t="s">
        <v>67</v>
      </c>
      <c r="C39" s="104">
        <f t="shared" si="4"/>
        <v>15.41</v>
      </c>
      <c r="D39" s="205" t="e">
        <f>ABS('Preço SFCR-FRONIUS-BYD'!$G$43-C39)</f>
        <v>#DIV/0!</v>
      </c>
      <c r="E39" s="181">
        <v>46</v>
      </c>
      <c r="F39" s="112">
        <f>+IF(K39=0,"",ROUND(M39/(1-'Tabela de BDI'!$C$3),0))</f>
        <v>71607</v>
      </c>
      <c r="G39" s="107" t="s">
        <v>75</v>
      </c>
      <c r="H39" s="115"/>
      <c r="I39" s="154">
        <f>+I25+I27</f>
        <v>52991.040000000001</v>
      </c>
      <c r="J39" s="146">
        <f t="shared" si="20"/>
        <v>53798.010152284267</v>
      </c>
      <c r="K39" s="106">
        <f t="shared" si="24"/>
        <v>53798.010152284267</v>
      </c>
      <c r="L39" s="106">
        <f t="shared" si="74"/>
        <v>8500</v>
      </c>
      <c r="M39" s="106">
        <f t="shared" si="6"/>
        <v>62298.010152284267</v>
      </c>
      <c r="N39" s="106">
        <f>IF(F39="","",F39*'Tabela de BDI'!$C$7)</f>
        <v>5728.56</v>
      </c>
      <c r="O39" s="106">
        <f>IF(F39="","",F39*'Tabela de BDI'!$C$8)</f>
        <v>3580.3500000000004</v>
      </c>
      <c r="P39" s="109">
        <f t="shared" si="7"/>
        <v>0.33103435977101026</v>
      </c>
      <c r="Q39" s="110">
        <f t="shared" si="8"/>
        <v>4.6467878001297862</v>
      </c>
      <c r="R39" s="111">
        <f>+'Tabela de BDI'!$F$9*C39</f>
        <v>1849.2</v>
      </c>
      <c r="S39" s="114"/>
    </row>
    <row r="40" spans="1:19" ht="15.75" customHeight="1" x14ac:dyDescent="0.25">
      <c r="A40" s="1"/>
      <c r="B40" s="103" t="s">
        <v>67</v>
      </c>
      <c r="C40" s="104">
        <f t="shared" si="4"/>
        <v>16.080000000000002</v>
      </c>
      <c r="D40" s="205" t="e">
        <f>ABS('Preço SFCR-FRONIUS-BYD'!$G$43-C40)</f>
        <v>#DIV/0!</v>
      </c>
      <c r="E40" s="181">
        <v>48</v>
      </c>
      <c r="F40" s="112">
        <f>+IF(K40=0,"",ROUND(M40/(1-'Tabela de BDI'!$C$3),0))</f>
        <v>72183</v>
      </c>
      <c r="G40" s="107" t="s">
        <v>258</v>
      </c>
      <c r="H40" s="115"/>
      <c r="I40" s="145">
        <v>53238.27</v>
      </c>
      <c r="J40" s="146">
        <f t="shared" si="20"/>
        <v>54049.00507614213</v>
      </c>
      <c r="K40" s="106">
        <f t="shared" si="24"/>
        <v>54049.00507614213</v>
      </c>
      <c r="L40" s="106">
        <f t="shared" si="74"/>
        <v>8750</v>
      </c>
      <c r="M40" s="106">
        <f t="shared" si="6"/>
        <v>62799.00507614213</v>
      </c>
      <c r="N40" s="106">
        <f>IF(F40="","",F40*'Tabela de BDI'!$C$7)</f>
        <v>5774.64</v>
      </c>
      <c r="O40" s="106">
        <f>IF(F40="","",F40*'Tabela de BDI'!$C$8)</f>
        <v>3609.15</v>
      </c>
      <c r="P40" s="109">
        <f t="shared" si="7"/>
        <v>0.33551024479195141</v>
      </c>
      <c r="Q40" s="110">
        <f t="shared" si="8"/>
        <v>4.4889925373134316</v>
      </c>
      <c r="R40" s="111">
        <f>+'Tabela de BDI'!$F$9*C40</f>
        <v>1929.6000000000001</v>
      </c>
      <c r="S40" s="114"/>
    </row>
    <row r="41" spans="1:19" ht="15.75" customHeight="1" x14ac:dyDescent="0.25">
      <c r="A41" s="1"/>
      <c r="B41" s="103" t="s">
        <v>67</v>
      </c>
      <c r="C41" s="104">
        <f t="shared" si="4"/>
        <v>16.75</v>
      </c>
      <c r="D41" s="205" t="e">
        <f>ABS('Preço SFCR-FRONIUS-BYD'!$G$43-C41)</f>
        <v>#DIV/0!</v>
      </c>
      <c r="E41" s="181">
        <v>50</v>
      </c>
      <c r="F41" s="112">
        <f>+IF(K41=0,"",ROUND(M41/(1-'Tabela de BDI'!$C$3),0))</f>
        <v>77055</v>
      </c>
      <c r="G41" s="107" t="s">
        <v>239</v>
      </c>
      <c r="H41" s="115"/>
      <c r="I41" s="155">
        <f>+I29+I27</f>
        <v>57167.44</v>
      </c>
      <c r="J41" s="146">
        <f t="shared" si="20"/>
        <v>58038.010152284267</v>
      </c>
      <c r="K41" s="106">
        <f t="shared" si="24"/>
        <v>58038.010152284267</v>
      </c>
      <c r="L41" s="106">
        <f t="shared" si="74"/>
        <v>9000</v>
      </c>
      <c r="M41" s="106">
        <f t="shared" si="6"/>
        <v>67038.01015228426</v>
      </c>
      <c r="N41" s="106">
        <f>IF(F41="","",F41*'Tabela de BDI'!$C$7)</f>
        <v>6164.4000000000005</v>
      </c>
      <c r="O41" s="106">
        <f>IF(F41="","",F41*'Tabela de BDI'!$C$8)</f>
        <v>3852.75</v>
      </c>
      <c r="P41" s="109">
        <f t="shared" si="7"/>
        <v>0.32766440127457164</v>
      </c>
      <c r="Q41" s="110">
        <f t="shared" si="8"/>
        <v>4.6002985074626865</v>
      </c>
      <c r="R41" s="111">
        <f>+'Tabela de BDI'!$F$9*C41</f>
        <v>2010</v>
      </c>
      <c r="S41" s="114"/>
    </row>
    <row r="42" spans="1:19" ht="15.75" customHeight="1" x14ac:dyDescent="0.25">
      <c r="A42" s="1"/>
      <c r="B42" s="103" t="s">
        <v>67</v>
      </c>
      <c r="C42" s="104">
        <f t="shared" si="4"/>
        <v>17.420000000000002</v>
      </c>
      <c r="D42" s="205" t="e">
        <f>ABS('Preço SFCR-FRONIUS-BYD'!$G$43-C42)</f>
        <v>#DIV/0!</v>
      </c>
      <c r="E42" s="181">
        <v>52</v>
      </c>
      <c r="F42" s="112">
        <f>+IF(K42=0,"",ROUND(M42/(1-'Tabela de BDI'!$C$3),0))</f>
        <v>73390</v>
      </c>
      <c r="G42" s="107" t="s">
        <v>76</v>
      </c>
      <c r="H42" s="106"/>
      <c r="I42" s="143">
        <v>53780.02</v>
      </c>
      <c r="J42" s="113">
        <f t="shared" si="20"/>
        <v>54599.00507614213</v>
      </c>
      <c r="K42" s="106">
        <f t="shared" si="24"/>
        <v>54599.00507614213</v>
      </c>
      <c r="L42" s="106">
        <f t="shared" si="74"/>
        <v>9250</v>
      </c>
      <c r="M42" s="106">
        <f t="shared" si="6"/>
        <v>63849.00507614213</v>
      </c>
      <c r="N42" s="106">
        <f>IF(F42="","",F42*'Tabela de BDI'!$C$7)</f>
        <v>5871.2</v>
      </c>
      <c r="O42" s="106">
        <f>IF(F42="","",F42*'Tabela de BDI'!$C$8)</f>
        <v>3669.5</v>
      </c>
      <c r="P42" s="109">
        <f t="shared" si="7"/>
        <v>0.34416368755534121</v>
      </c>
      <c r="Q42" s="110">
        <f t="shared" si="8"/>
        <v>4.2129735935706085</v>
      </c>
      <c r="R42" s="111">
        <f>+'Tabela de BDI'!$F$9*C42</f>
        <v>2090.4</v>
      </c>
      <c r="S42" s="114"/>
    </row>
    <row r="43" spans="1:19" ht="15.75" customHeight="1" x14ac:dyDescent="0.25">
      <c r="A43" s="1"/>
      <c r="B43" s="103" t="s">
        <v>67</v>
      </c>
      <c r="C43" s="104">
        <f t="shared" si="4"/>
        <v>18.09</v>
      </c>
      <c r="D43" s="205" t="e">
        <f>ABS('Preço SFCR-FRONIUS-BYD'!$G$43-C43)</f>
        <v>#DIV/0!</v>
      </c>
      <c r="E43" s="181">
        <v>54</v>
      </c>
      <c r="F43" s="112">
        <f>+IF(K43=0,"",ROUND(M43/(1-'Tabela de BDI'!$C$3),0))</f>
        <v>75378</v>
      </c>
      <c r="G43" s="107" t="s">
        <v>76</v>
      </c>
      <c r="H43" s="106"/>
      <c r="I43" s="143">
        <v>55237.82</v>
      </c>
      <c r="J43" s="113">
        <f t="shared" si="20"/>
        <v>56079.00507614213</v>
      </c>
      <c r="K43" s="106">
        <f t="shared" si="24"/>
        <v>56079.00507614213</v>
      </c>
      <c r="L43" s="106">
        <f t="shared" si="74"/>
        <v>9500</v>
      </c>
      <c r="M43" s="106">
        <f t="shared" si="6"/>
        <v>65579.00507614213</v>
      </c>
      <c r="N43" s="106">
        <f>IF(F43="","",F43*'Tabela de BDI'!$C$7)</f>
        <v>6030.24</v>
      </c>
      <c r="O43" s="106">
        <f>IF(F43="","",F43*'Tabela de BDI'!$C$8)</f>
        <v>3768.9</v>
      </c>
      <c r="P43" s="109">
        <f t="shared" si="7"/>
        <v>0.34413939579802394</v>
      </c>
      <c r="Q43" s="110">
        <f t="shared" si="8"/>
        <v>4.1668325041459369</v>
      </c>
      <c r="R43" s="111">
        <f>+'Tabela de BDI'!$F$9*C43</f>
        <v>2170.8000000000002</v>
      </c>
      <c r="S43" s="114"/>
    </row>
    <row r="44" spans="1:19" ht="15.75" customHeight="1" x14ac:dyDescent="0.25">
      <c r="A44" s="1"/>
      <c r="B44" s="103" t="s">
        <v>67</v>
      </c>
      <c r="C44" s="104">
        <f t="shared" si="4"/>
        <v>18.760000000000002</v>
      </c>
      <c r="D44" s="205" t="e">
        <f>ABS('Preço SFCR-FRONIUS-BYD'!$G$43-C44)</f>
        <v>#DIV/0!</v>
      </c>
      <c r="E44" s="181">
        <v>56</v>
      </c>
      <c r="F44" s="112">
        <f>+IF(K44=0,"",ROUND(M44/(1-'Tabela de BDI'!$C$3),0))</f>
        <v>77206</v>
      </c>
      <c r="G44" s="107" t="s">
        <v>76</v>
      </c>
      <c r="H44" s="106"/>
      <c r="I44" s="143">
        <v>56557.72</v>
      </c>
      <c r="J44" s="113">
        <f t="shared" si="20"/>
        <v>57419.005076142137</v>
      </c>
      <c r="K44" s="106">
        <f t="shared" si="24"/>
        <v>57419.005076142137</v>
      </c>
      <c r="L44" s="106">
        <f t="shared" si="74"/>
        <v>9750</v>
      </c>
      <c r="M44" s="106">
        <f t="shared" si="6"/>
        <v>67169.005076142144</v>
      </c>
      <c r="N44" s="106">
        <f>IF(F44="","",F44*'Tabela de BDI'!$C$7)</f>
        <v>6176.4800000000005</v>
      </c>
      <c r="O44" s="106">
        <f>IF(F44="","",F44*'Tabela de BDI'!$C$8)</f>
        <v>3860.3</v>
      </c>
      <c r="P44" s="109">
        <f t="shared" si="7"/>
        <v>0.34460706690439419</v>
      </c>
      <c r="Q44" s="110">
        <f t="shared" si="8"/>
        <v>4.1154584221748403</v>
      </c>
      <c r="R44" s="111">
        <f>+'Tabela de BDI'!$F$9*C44</f>
        <v>2251.2000000000003</v>
      </c>
      <c r="S44" s="114"/>
    </row>
    <row r="45" spans="1:19" ht="15.75" customHeight="1" x14ac:dyDescent="0.25">
      <c r="A45" s="1"/>
      <c r="B45" s="103" t="s">
        <v>67</v>
      </c>
      <c r="C45" s="104">
        <f t="shared" si="4"/>
        <v>19.43</v>
      </c>
      <c r="D45" s="205" t="e">
        <f>ABS('Preço SFCR-FRONIUS-BYD'!$G$43-C45)</f>
        <v>#DIV/0!</v>
      </c>
      <c r="E45" s="181">
        <v>58</v>
      </c>
      <c r="F45" s="112" t="str">
        <f>+IF(K45=0,"",ROUND(M45/(1-'Tabela de BDI'!$C$3),0))</f>
        <v/>
      </c>
      <c r="G45" s="107"/>
      <c r="H45" s="106"/>
      <c r="I45" s="143"/>
      <c r="J45" s="146">
        <f t="shared" si="20"/>
        <v>0</v>
      </c>
      <c r="K45" s="106">
        <f t="shared" si="24"/>
        <v>0</v>
      </c>
      <c r="L45" s="106">
        <f t="shared" si="74"/>
        <v>10000</v>
      </c>
      <c r="M45" s="106">
        <f t="shared" si="6"/>
        <v>10000</v>
      </c>
      <c r="N45" s="106" t="str">
        <f>IF(F45="","",F45*'Tabela de BDI'!$C$7)</f>
        <v/>
      </c>
      <c r="O45" s="106" t="str">
        <f>IF(F45="","",F45*'Tabela de BDI'!$C$8)</f>
        <v/>
      </c>
      <c r="P45" s="109" t="str">
        <f t="shared" si="7"/>
        <v/>
      </c>
      <c r="Q45" s="110" t="str">
        <f t="shared" si="8"/>
        <v/>
      </c>
      <c r="R45" s="111">
        <f>+'Tabela de BDI'!$F$9*C45</f>
        <v>2331.6</v>
      </c>
      <c r="S45" s="114"/>
    </row>
    <row r="46" spans="1:19" ht="15.75" customHeight="1" x14ac:dyDescent="0.25">
      <c r="A46" s="1"/>
      <c r="B46" s="103" t="s">
        <v>67</v>
      </c>
      <c r="C46" s="104">
        <f t="shared" si="4"/>
        <v>20.100000000000001</v>
      </c>
      <c r="D46" s="205" t="e">
        <f>ABS('Preço SFCR-FRONIUS-BYD'!$G$43-C46)</f>
        <v>#DIV/0!</v>
      </c>
      <c r="E46" s="181">
        <v>60</v>
      </c>
      <c r="F46" s="112">
        <f>+IF(K46=0,"",ROUND(M46/(1-'Tabela de BDI'!$C$3),0))</f>
        <v>80918</v>
      </c>
      <c r="G46" s="107" t="s">
        <v>76</v>
      </c>
      <c r="H46" s="106"/>
      <c r="I46" s="143">
        <v>59246.77</v>
      </c>
      <c r="J46" s="113">
        <f t="shared" si="20"/>
        <v>60149.00507614213</v>
      </c>
      <c r="K46" s="106">
        <f t="shared" si="24"/>
        <v>60149.00507614213</v>
      </c>
      <c r="L46" s="106">
        <f t="shared" si="74"/>
        <v>10250</v>
      </c>
      <c r="M46" s="106">
        <f t="shared" si="6"/>
        <v>70399.00507614213</v>
      </c>
      <c r="N46" s="106">
        <f>IF(F46="","",F46*'Tabela de BDI'!$C$7)</f>
        <v>6473.4400000000005</v>
      </c>
      <c r="O46" s="106">
        <f>IF(F46="","",F46*'Tabela de BDI'!$C$8)</f>
        <v>4045.9</v>
      </c>
      <c r="P46" s="109">
        <f t="shared" si="7"/>
        <v>0.34529241003349215</v>
      </c>
      <c r="Q46" s="110">
        <f t="shared" si="8"/>
        <v>4.0257711442786066</v>
      </c>
      <c r="R46" s="111">
        <f>+'Tabela de BDI'!$F$9*C46</f>
        <v>2412</v>
      </c>
      <c r="S46" s="114"/>
    </row>
    <row r="47" spans="1:19" ht="15.75" customHeight="1" x14ac:dyDescent="0.25">
      <c r="A47" s="1"/>
      <c r="B47" s="103" t="s">
        <v>67</v>
      </c>
      <c r="C47" s="104">
        <f t="shared" si="4"/>
        <v>20.77</v>
      </c>
      <c r="D47" s="205" t="e">
        <f>ABS('Preço SFCR-FRONIUS-BYD'!$G$43-C47)</f>
        <v>#DIV/0!</v>
      </c>
      <c r="E47" s="181">
        <v>62</v>
      </c>
      <c r="F47" s="112">
        <f>+IF(K47=0,"",ROUND(M47/(1-'Tabela de BDI'!$C$3),0))</f>
        <v>90377</v>
      </c>
      <c r="G47" s="107" t="s">
        <v>77</v>
      </c>
      <c r="H47" s="106"/>
      <c r="I47" s="155">
        <f>+I31+I32</f>
        <v>67106.09</v>
      </c>
      <c r="J47" s="146">
        <f t="shared" si="20"/>
        <v>68128.01015228426</v>
      </c>
      <c r="K47" s="106">
        <f t="shared" si="24"/>
        <v>68128.01015228426</v>
      </c>
      <c r="L47" s="106">
        <f t="shared" si="74"/>
        <v>10500</v>
      </c>
      <c r="M47" s="106">
        <f t="shared" si="6"/>
        <v>78628.01015228426</v>
      </c>
      <c r="N47" s="106">
        <f>IF(F47="","",F47*'Tabela de BDI'!$C$7)</f>
        <v>7230.16</v>
      </c>
      <c r="O47" s="106">
        <f>IF(F47="","",F47*'Tabela de BDI'!$C$8)</f>
        <v>4518.8500000000004</v>
      </c>
      <c r="P47" s="109">
        <f t="shared" si="7"/>
        <v>0.32657624665660012</v>
      </c>
      <c r="Q47" s="110">
        <f t="shared" si="8"/>
        <v>4.3513240250361092</v>
      </c>
      <c r="R47" s="111">
        <f>+'Tabela de BDI'!$F$9*C47</f>
        <v>2492.4</v>
      </c>
      <c r="S47" s="114"/>
    </row>
    <row r="48" spans="1:19" ht="15.75" customHeight="1" x14ac:dyDescent="0.25">
      <c r="A48" s="1"/>
      <c r="B48" s="103" t="s">
        <v>67</v>
      </c>
      <c r="C48" s="104">
        <f t="shared" si="4"/>
        <v>21.44</v>
      </c>
      <c r="D48" s="205" t="e">
        <f>ABS('Preço SFCR-FRONIUS-BYD'!$G$43-C48)</f>
        <v>#DIV/0!</v>
      </c>
      <c r="E48" s="183">
        <v>64</v>
      </c>
      <c r="F48" s="112">
        <f>+IF(K48=0,"",ROUND(M48/(1-'Tabela de BDI'!$C$3),0))</f>
        <v>92147</v>
      </c>
      <c r="G48" s="107" t="s">
        <v>77</v>
      </c>
      <c r="H48" s="106"/>
      <c r="I48" s="155">
        <f>2*I32</f>
        <v>68376.740000000005</v>
      </c>
      <c r="J48" s="146">
        <f t="shared" si="20"/>
        <v>69418.010152284274</v>
      </c>
      <c r="K48" s="106">
        <f t="shared" si="24"/>
        <v>69418.010152284274</v>
      </c>
      <c r="L48" s="106">
        <f t="shared" si="74"/>
        <v>10750</v>
      </c>
      <c r="M48" s="106">
        <f t="shared" si="6"/>
        <v>80168.010152284274</v>
      </c>
      <c r="N48" s="106">
        <f>IF(F48="","",F48*'Tabela de BDI'!$C$7)</f>
        <v>7371.76</v>
      </c>
      <c r="O48" s="106">
        <f>IF(F48="","",F48*'Tabela de BDI'!$C$8)</f>
        <v>4607.3500000000004</v>
      </c>
      <c r="P48" s="109">
        <f t="shared" si="7"/>
        <v>0.32742208827153774</v>
      </c>
      <c r="Q48" s="110">
        <f t="shared" si="8"/>
        <v>4.2979011194029848</v>
      </c>
      <c r="R48" s="111">
        <f>+'Tabela de BDI'!$F$9*C48</f>
        <v>2572.8000000000002</v>
      </c>
      <c r="S48" s="114"/>
    </row>
    <row r="49" spans="1:19" ht="15.75" customHeight="1" x14ac:dyDescent="0.25">
      <c r="A49" s="1"/>
      <c r="B49" s="116" t="s">
        <v>78</v>
      </c>
      <c r="C49" s="104">
        <f t="shared" si="4"/>
        <v>22.110000000000003</v>
      </c>
      <c r="D49" s="205" t="e">
        <f>ABS('Preço SFCR-FRONIUS-BYD'!$G$43-C49)</f>
        <v>#DIV/0!</v>
      </c>
      <c r="E49" s="181">
        <v>66</v>
      </c>
      <c r="F49" s="112"/>
      <c r="G49" s="107"/>
      <c r="H49" s="106"/>
      <c r="I49" s="143"/>
      <c r="J49" s="146">
        <f t="shared" si="20"/>
        <v>0</v>
      </c>
      <c r="K49" s="106"/>
      <c r="L49" s="168">
        <v>12000</v>
      </c>
      <c r="M49" s="106"/>
      <c r="N49" s="106"/>
      <c r="O49" s="106"/>
      <c r="P49" s="109"/>
      <c r="Q49" s="110"/>
      <c r="R49" s="111">
        <f>+'Tabela de BDI'!$F$9*C49</f>
        <v>2653.2000000000003</v>
      </c>
      <c r="S49" s="114"/>
    </row>
    <row r="50" spans="1:19" ht="15.75" customHeight="1" x14ac:dyDescent="0.25">
      <c r="A50" s="1"/>
      <c r="B50" s="116" t="s">
        <v>78</v>
      </c>
      <c r="C50" s="104">
        <f t="shared" si="4"/>
        <v>22.78</v>
      </c>
      <c r="D50" s="205" t="e">
        <f>ABS('Preço SFCR-FRONIUS-BYD'!$G$43-C50)</f>
        <v>#DIV/0!</v>
      </c>
      <c r="E50" s="181">
        <v>68</v>
      </c>
      <c r="F50" s="112"/>
      <c r="G50" s="107"/>
      <c r="H50" s="106"/>
      <c r="I50" s="143"/>
      <c r="J50" s="146"/>
      <c r="K50" s="106"/>
      <c r="L50" s="106">
        <f t="shared" si="74"/>
        <v>12250</v>
      </c>
      <c r="M50" s="106"/>
      <c r="N50" s="106"/>
      <c r="O50" s="106"/>
      <c r="P50" s="109"/>
      <c r="Q50" s="110"/>
      <c r="R50" s="111">
        <f>+'Tabela de BDI'!$F$9*C50</f>
        <v>2733.6000000000004</v>
      </c>
      <c r="S50" s="114"/>
    </row>
    <row r="51" spans="1:19" ht="15.75" customHeight="1" x14ac:dyDescent="0.25">
      <c r="A51" s="1"/>
      <c r="B51" s="116" t="s">
        <v>78</v>
      </c>
      <c r="C51" s="104">
        <f t="shared" si="4"/>
        <v>24.12</v>
      </c>
      <c r="D51" s="205" t="e">
        <f>ABS('Preço SFCR-FRONIUS-BYD'!$G$43-C51)</f>
        <v>#DIV/0!</v>
      </c>
      <c r="E51" s="181">
        <v>72</v>
      </c>
      <c r="F51" s="112" t="str">
        <f>+IF(K51=0,"",ROUND(M51/(1-'Tabela de BDI'!$C$3),0))</f>
        <v/>
      </c>
      <c r="G51" s="107"/>
      <c r="H51" s="145"/>
      <c r="I51" s="146"/>
      <c r="J51" s="146"/>
      <c r="K51" s="145"/>
      <c r="L51" s="106">
        <f t="shared" si="74"/>
        <v>12750</v>
      </c>
      <c r="M51" s="145"/>
      <c r="N51" s="145"/>
      <c r="O51" s="106" t="str">
        <f>IF(F51="","",F51*'Tabela de BDI'!$C$8)</f>
        <v/>
      </c>
      <c r="P51" s="109" t="str">
        <f t="shared" si="7"/>
        <v/>
      </c>
      <c r="Q51" s="110" t="str">
        <f t="shared" si="8"/>
        <v/>
      </c>
      <c r="R51" s="111">
        <f>+'Tabela de BDI'!$F$9*C51</f>
        <v>2894.4</v>
      </c>
      <c r="S51" s="114"/>
    </row>
    <row r="52" spans="1:19" ht="15.75" customHeight="1" x14ac:dyDescent="0.25">
      <c r="A52" s="1"/>
      <c r="B52" s="116" t="s">
        <v>78</v>
      </c>
      <c r="C52" s="104">
        <f t="shared" si="4"/>
        <v>25.46</v>
      </c>
      <c r="D52" s="205" t="e">
        <f>ABS('Preço SFCR-FRONIUS-BYD'!$G$43-C52)</f>
        <v>#DIV/0!</v>
      </c>
      <c r="E52" s="183">
        <v>76</v>
      </c>
      <c r="F52" s="112" t="str">
        <f>+IF(K52=0,"",ROUND(M52/(1-'Tabela de BDI'!$C$3),0))</f>
        <v/>
      </c>
      <c r="G52" s="107"/>
      <c r="H52" s="145"/>
      <c r="I52" s="146"/>
      <c r="J52" s="146"/>
      <c r="K52" s="106">
        <f t="shared" si="24"/>
        <v>0</v>
      </c>
      <c r="L52" s="106">
        <f>+L51+((E52-E51)*125)</f>
        <v>13250</v>
      </c>
      <c r="M52" s="106">
        <f t="shared" ref="M52" si="75">+K52+L52</f>
        <v>13250</v>
      </c>
      <c r="N52" s="106" t="str">
        <f>IF(F52="","",F52*'Tabela de BDI'!$C$7)</f>
        <v/>
      </c>
      <c r="O52" s="106" t="str">
        <f>IF(F52="","",F52*'Tabela de BDI'!$C$8)</f>
        <v/>
      </c>
      <c r="P52" s="109" t="str">
        <f t="shared" si="7"/>
        <v/>
      </c>
      <c r="Q52" s="110" t="str">
        <f t="shared" si="8"/>
        <v/>
      </c>
      <c r="R52" s="111">
        <f>+'Tabela de BDI'!$F$9*C52</f>
        <v>3055.2000000000003</v>
      </c>
      <c r="S52" s="114"/>
    </row>
    <row r="53" spans="1:19" ht="15.75" customHeight="1" x14ac:dyDescent="0.25">
      <c r="A53" s="1"/>
      <c r="B53" s="116" t="s">
        <v>78</v>
      </c>
      <c r="C53" s="104">
        <f t="shared" si="4"/>
        <v>26.130000000000003</v>
      </c>
      <c r="D53" s="205" t="e">
        <f>ABS('Preço SFCR-FRONIUS-BYD'!$G$43-C53)</f>
        <v>#DIV/0!</v>
      </c>
      <c r="E53" s="181">
        <v>78</v>
      </c>
      <c r="F53" s="112" t="str">
        <f>+IF(K53=0,"",ROUND(M53/(1-'Tabela de BDI'!$C$3),0))</f>
        <v/>
      </c>
      <c r="G53" s="107"/>
      <c r="H53" s="145"/>
      <c r="I53" s="146"/>
      <c r="J53" s="146"/>
      <c r="K53" s="106">
        <f t="shared" ref="K53" si="76">IF(J53="",0,H53+J53)</f>
        <v>0</v>
      </c>
      <c r="L53" s="106">
        <f t="shared" si="74"/>
        <v>13500</v>
      </c>
      <c r="M53" s="106">
        <f t="shared" ref="M53" si="77">+K53+L53</f>
        <v>13500</v>
      </c>
      <c r="N53" s="106" t="str">
        <f>IF(F53="","",F53*'Tabela de BDI'!$C$7)</f>
        <v/>
      </c>
      <c r="O53" s="106" t="str">
        <f>IF(F53="","",F53*'Tabela de BDI'!$C$8)</f>
        <v/>
      </c>
      <c r="P53" s="109" t="str">
        <f t="shared" ref="P53" si="78">IF(F53="","",(F53-K53)/K53)</f>
        <v/>
      </c>
      <c r="Q53" s="110" t="str">
        <f t="shared" si="8"/>
        <v/>
      </c>
      <c r="R53" s="111">
        <f>+'Tabela de BDI'!$F$9*C53</f>
        <v>3135.6000000000004</v>
      </c>
      <c r="S53" s="114"/>
    </row>
    <row r="54" spans="1:19" ht="15.75" customHeight="1" x14ac:dyDescent="0.25">
      <c r="A54" s="1"/>
      <c r="B54" s="116" t="s">
        <v>78</v>
      </c>
      <c r="C54" s="104">
        <f t="shared" si="4"/>
        <v>26.8</v>
      </c>
      <c r="D54" s="205" t="e">
        <f>ABS('Preço SFCR-FRONIUS-BYD'!$G$43-C54)</f>
        <v>#DIV/0!</v>
      </c>
      <c r="E54" s="181">
        <v>80</v>
      </c>
      <c r="F54" s="112" t="str">
        <f>+IF(K54=0,"",ROUND(M54/(1-'Tabela de BDI'!$C$3),0))</f>
        <v/>
      </c>
      <c r="G54" s="107"/>
      <c r="H54" s="145"/>
      <c r="I54" s="146"/>
      <c r="J54" s="146"/>
      <c r="K54" s="106">
        <f t="shared" ref="K54" si="79">IF(J54="",0,H54+J54)</f>
        <v>0</v>
      </c>
      <c r="L54" s="106">
        <f t="shared" si="74"/>
        <v>13750</v>
      </c>
      <c r="M54" s="106">
        <f t="shared" ref="M54" si="80">+K54+L54</f>
        <v>13750</v>
      </c>
      <c r="N54" s="106" t="str">
        <f>IF(F54="","",F54*'Tabela de BDI'!$C$7)</f>
        <v/>
      </c>
      <c r="O54" s="106" t="str">
        <f>IF(F54="","",F54*'Tabela de BDI'!$C$8)</f>
        <v/>
      </c>
      <c r="P54" s="109" t="str">
        <f t="shared" ref="P54" si="81">IF(F54="","",(F54-K54)/K54)</f>
        <v/>
      </c>
      <c r="Q54" s="110" t="str">
        <f t="shared" si="8"/>
        <v/>
      </c>
      <c r="R54" s="111">
        <f>+'Tabela de BDI'!$F$9*C54</f>
        <v>3216</v>
      </c>
      <c r="S54" s="114"/>
    </row>
    <row r="55" spans="1:19" ht="15.75" customHeight="1" x14ac:dyDescent="0.25">
      <c r="A55" s="1"/>
      <c r="B55" s="116" t="s">
        <v>78</v>
      </c>
      <c r="C55" s="104">
        <f t="shared" si="4"/>
        <v>28.14</v>
      </c>
      <c r="D55" s="205" t="e">
        <f>ABS('Preço SFCR-FRONIUS-BYD'!$G$43-C55)</f>
        <v>#DIV/0!</v>
      </c>
      <c r="E55" s="181">
        <v>84</v>
      </c>
      <c r="F55" s="112" t="str">
        <f>+IF(K55=0,"",ROUND(M55/(1-'Tabela de BDI'!$C$3),0))</f>
        <v/>
      </c>
      <c r="G55" s="107"/>
      <c r="H55" s="145"/>
      <c r="I55" s="146"/>
      <c r="J55" s="145"/>
      <c r="K55" s="145"/>
      <c r="L55" s="106">
        <f t="shared" si="74"/>
        <v>14250</v>
      </c>
      <c r="M55" s="145"/>
      <c r="N55" s="145"/>
      <c r="O55" s="106" t="str">
        <f>IF(F55="","",F55*'Tabela de BDI'!$C$8)</f>
        <v/>
      </c>
      <c r="P55" s="109" t="str">
        <f t="shared" si="7"/>
        <v/>
      </c>
      <c r="Q55" s="110" t="str">
        <f t="shared" si="8"/>
        <v/>
      </c>
      <c r="R55" s="111">
        <f>+'Tabela de BDI'!$F$9*C55</f>
        <v>3376.8</v>
      </c>
      <c r="S55" s="114"/>
    </row>
    <row r="56" spans="1:19" ht="15.75" customHeight="1" x14ac:dyDescent="0.25">
      <c r="A56" s="1"/>
      <c r="B56" s="116" t="s">
        <v>78</v>
      </c>
      <c r="C56" s="104">
        <f t="shared" si="4"/>
        <v>29.48</v>
      </c>
      <c r="D56" s="205" t="e">
        <f>ABS('Preço SFCR-FRONIUS-BYD'!$G$43-C56)</f>
        <v>#DIV/0!</v>
      </c>
      <c r="E56" s="183">
        <v>88</v>
      </c>
      <c r="F56" s="112" t="str">
        <f>+IF(K56=0,"",ROUND(M56/(1-'Tabela de BDI'!$C$3),0))</f>
        <v/>
      </c>
      <c r="G56" s="107"/>
      <c r="H56" s="145"/>
      <c r="I56" s="146"/>
      <c r="J56" s="146"/>
      <c r="K56" s="106">
        <f t="shared" ref="K56" si="82">IF(J56="",0,H56+J56)</f>
        <v>0</v>
      </c>
      <c r="L56" s="106">
        <f t="shared" si="74"/>
        <v>14750</v>
      </c>
      <c r="M56" s="106">
        <f t="shared" ref="M56" si="83">+K56+L56</f>
        <v>14750</v>
      </c>
      <c r="N56" s="106" t="str">
        <f>IF(F56="","",F56*'Tabela de BDI'!$C$7)</f>
        <v/>
      </c>
      <c r="O56" s="106" t="str">
        <f>IF(F56="","",F56*'Tabela de BDI'!$C$8)</f>
        <v/>
      </c>
      <c r="P56" s="109" t="str">
        <f t="shared" ref="P56" si="84">IF(F56="","",(F56-K56)/K56)</f>
        <v/>
      </c>
      <c r="Q56" s="110" t="str">
        <f t="shared" si="8"/>
        <v/>
      </c>
      <c r="R56" s="111">
        <f>+'Tabela de BDI'!$F$9*C56</f>
        <v>3537.6</v>
      </c>
      <c r="S56" s="114"/>
    </row>
    <row r="57" spans="1:19" ht="15.75" customHeight="1" x14ac:dyDescent="0.25">
      <c r="A57" s="1"/>
      <c r="B57" s="116" t="s">
        <v>78</v>
      </c>
      <c r="C57" s="104">
        <f t="shared" si="4"/>
        <v>30.150000000000002</v>
      </c>
      <c r="D57" s="205" t="e">
        <f>ABS('Preço SFCR-FRONIUS-BYD'!$G$43-C57)</f>
        <v>#DIV/0!</v>
      </c>
      <c r="E57" s="181">
        <v>90</v>
      </c>
      <c r="F57" s="112" t="str">
        <f>+IF(K57=0,"",ROUND(M57/(1-'Tabela de BDI'!$C$3),0))</f>
        <v/>
      </c>
      <c r="G57" s="107"/>
      <c r="H57" s="145"/>
      <c r="I57" s="146"/>
      <c r="J57" s="146"/>
      <c r="K57" s="106">
        <f t="shared" ref="K57" si="85">IF(J57="",0,H57+J57)</f>
        <v>0</v>
      </c>
      <c r="L57" s="106">
        <f t="shared" si="74"/>
        <v>15000</v>
      </c>
      <c r="M57" s="106">
        <f t="shared" ref="M57" si="86">+K57+L57</f>
        <v>15000</v>
      </c>
      <c r="N57" s="106" t="str">
        <f>IF(F57="","",F57*'Tabela de BDI'!$C$7)</f>
        <v/>
      </c>
      <c r="O57" s="106" t="str">
        <f>IF(F57="","",F57*'Tabela de BDI'!$C$8)</f>
        <v/>
      </c>
      <c r="P57" s="109" t="str">
        <f t="shared" si="7"/>
        <v/>
      </c>
      <c r="Q57" s="110" t="str">
        <f t="shared" ref="Q57" si="87">IF(F57="","",(F57/C57)/1000)</f>
        <v/>
      </c>
      <c r="R57" s="111">
        <f>+'Tabela de BDI'!$F$9*C57</f>
        <v>3618.0000000000005</v>
      </c>
      <c r="S57" s="114"/>
    </row>
    <row r="58" spans="1:19" ht="15.75" customHeight="1" x14ac:dyDescent="0.25">
      <c r="A58" s="1"/>
      <c r="B58" s="116" t="s">
        <v>78</v>
      </c>
      <c r="C58" s="104">
        <f t="shared" si="4"/>
        <v>30.82</v>
      </c>
      <c r="D58" s="205" t="e">
        <f>ABS('Preço SFCR-FRONIUS-BYD'!$G$43-C58)</f>
        <v>#DIV/0!</v>
      </c>
      <c r="E58" s="181">
        <v>92</v>
      </c>
      <c r="F58" s="112" t="str">
        <f>+IF(K58=0,"",ROUND(M58/(1-'Tabela de BDI'!$C$3),0))</f>
        <v/>
      </c>
      <c r="G58" s="107"/>
      <c r="H58" s="145"/>
      <c r="I58" s="146"/>
      <c r="J58" s="145"/>
      <c r="K58" s="145"/>
      <c r="L58" s="106">
        <f t="shared" si="74"/>
        <v>15250</v>
      </c>
      <c r="M58" s="145"/>
      <c r="N58" s="145"/>
      <c r="O58" s="106" t="str">
        <f>IF(F58="","",F58*'Tabela de BDI'!$C$8)</f>
        <v/>
      </c>
      <c r="P58" s="109" t="str">
        <f t="shared" si="7"/>
        <v/>
      </c>
      <c r="Q58" s="110" t="str">
        <f t="shared" si="8"/>
        <v/>
      </c>
      <c r="R58" s="111">
        <f>+'Tabela de BDI'!$F$9*C58</f>
        <v>3698.4</v>
      </c>
      <c r="S58" s="114"/>
    </row>
    <row r="59" spans="1:19" ht="15.75" customHeight="1" x14ac:dyDescent="0.25">
      <c r="A59" s="1"/>
      <c r="B59" s="116" t="s">
        <v>78</v>
      </c>
      <c r="C59" s="104">
        <f t="shared" si="4"/>
        <v>31.825000000000003</v>
      </c>
      <c r="D59" s="205" t="e">
        <f>ABS('Preço SFCR-FRONIUS-BYD'!$G$43-C59)</f>
        <v>#DIV/0!</v>
      </c>
      <c r="E59" s="181">
        <v>95</v>
      </c>
      <c r="F59" s="112" t="str">
        <f>+IF(K59=0,"",ROUND(M59/(1-'Tabela de BDI'!$C$3),0))</f>
        <v/>
      </c>
      <c r="G59" s="107"/>
      <c r="H59" s="145"/>
      <c r="I59" s="146"/>
      <c r="J59" s="145"/>
      <c r="K59" s="145"/>
      <c r="L59" s="106">
        <f t="shared" si="74"/>
        <v>15625</v>
      </c>
      <c r="M59" s="145"/>
      <c r="N59" s="145"/>
      <c r="O59" s="106" t="str">
        <f>IF(F59="","",F59*'Tabela de BDI'!$C$8)</f>
        <v/>
      </c>
      <c r="P59" s="109" t="str">
        <f t="shared" si="7"/>
        <v/>
      </c>
      <c r="Q59" s="110" t="str">
        <f t="shared" si="8"/>
        <v/>
      </c>
      <c r="R59" s="111">
        <f>+'Tabela de BDI'!$F$9*C59</f>
        <v>3819.0000000000005</v>
      </c>
      <c r="S59" s="114"/>
    </row>
    <row r="60" spans="1:19" ht="15.75" customHeight="1" x14ac:dyDescent="0.25">
      <c r="A60" s="1"/>
      <c r="B60" s="116" t="s">
        <v>78</v>
      </c>
      <c r="C60" s="104">
        <f t="shared" si="4"/>
        <v>32.160000000000004</v>
      </c>
      <c r="D60" s="205" t="e">
        <f>ABS('Preço SFCR-FRONIUS-BYD'!$G$43-C60)</f>
        <v>#DIV/0!</v>
      </c>
      <c r="E60" s="181">
        <v>96</v>
      </c>
      <c r="F60" s="112" t="str">
        <f>+IF(K60=0,"",ROUND(M60/(1-'Tabela de BDI'!$C$3),0))</f>
        <v/>
      </c>
      <c r="G60" s="107"/>
      <c r="H60" s="145"/>
      <c r="I60" s="146"/>
      <c r="J60" s="145"/>
      <c r="K60" s="145"/>
      <c r="L60" s="106">
        <f t="shared" si="74"/>
        <v>15750</v>
      </c>
      <c r="M60" s="145"/>
      <c r="N60" s="145"/>
      <c r="O60" s="106" t="str">
        <f>IF(F60="","",F60*'Tabela de BDI'!$C$8)</f>
        <v/>
      </c>
      <c r="P60" s="109" t="str">
        <f t="shared" si="7"/>
        <v/>
      </c>
      <c r="Q60" s="110" t="str">
        <f t="shared" si="8"/>
        <v/>
      </c>
      <c r="R60" s="111">
        <f>+'Tabela de BDI'!$F$9*C60</f>
        <v>3859.2000000000003</v>
      </c>
      <c r="S60" s="114"/>
    </row>
    <row r="61" spans="1:19" ht="15.75" customHeight="1" x14ac:dyDescent="0.25">
      <c r="A61" s="1"/>
      <c r="B61" s="116" t="s">
        <v>78</v>
      </c>
      <c r="C61" s="104">
        <f t="shared" si="4"/>
        <v>32.830000000000005</v>
      </c>
      <c r="D61" s="205" t="e">
        <f>ABS('Preço SFCR-FRONIUS-BYD'!$G$43-C61)</f>
        <v>#DIV/0!</v>
      </c>
      <c r="E61" s="181">
        <v>98</v>
      </c>
      <c r="F61" s="112" t="str">
        <f>+IF(K61=0,"",ROUND(M61/(1-'Tabela de BDI'!$C$3),0))</f>
        <v/>
      </c>
      <c r="G61" s="107"/>
      <c r="H61" s="145"/>
      <c r="I61" s="146"/>
      <c r="J61" s="145"/>
      <c r="K61" s="145"/>
      <c r="L61" s="106">
        <f t="shared" si="74"/>
        <v>16000</v>
      </c>
      <c r="M61" s="145"/>
      <c r="N61" s="145"/>
      <c r="O61" s="106" t="str">
        <f>IF(F61="","",F61*'Tabela de BDI'!$C$8)</f>
        <v/>
      </c>
      <c r="P61" s="109" t="str">
        <f t="shared" si="7"/>
        <v/>
      </c>
      <c r="Q61" s="110" t="str">
        <f t="shared" si="8"/>
        <v/>
      </c>
      <c r="R61" s="111">
        <f>+'Tabela de BDI'!$F$9*C61</f>
        <v>3939.6000000000008</v>
      </c>
      <c r="S61" s="114"/>
    </row>
    <row r="62" spans="1:19" ht="15.75" customHeight="1" x14ac:dyDescent="0.25">
      <c r="A62" s="1"/>
      <c r="B62" s="116" t="s">
        <v>78</v>
      </c>
      <c r="C62" s="104">
        <f t="shared" si="4"/>
        <v>33.5</v>
      </c>
      <c r="D62" s="205" t="e">
        <f>ABS('Preço SFCR-FRONIUS-BYD'!$G$43-C62)</f>
        <v>#DIV/0!</v>
      </c>
      <c r="E62" s="183">
        <v>100</v>
      </c>
      <c r="F62" s="112" t="str">
        <f>+IF(K62=0,"",ROUND(M62/(1-'Tabela de BDI'!$C$3),0))</f>
        <v/>
      </c>
      <c r="G62" s="107"/>
      <c r="H62" s="145"/>
      <c r="I62" s="146"/>
      <c r="J62" s="146"/>
      <c r="K62" s="106">
        <f t="shared" ref="K62" si="88">IF(J62="",0,H62+J62)</f>
        <v>0</v>
      </c>
      <c r="L62" s="106">
        <f t="shared" si="74"/>
        <v>16250</v>
      </c>
      <c r="M62" s="106">
        <f t="shared" ref="M62" si="89">+K62+L62</f>
        <v>16250</v>
      </c>
      <c r="N62" s="106" t="str">
        <f>IF(F62="","",F62*'Tabela de BDI'!$C$7)</f>
        <v/>
      </c>
      <c r="O62" s="106" t="str">
        <f>IF(F62="","",F62*'Tabela de BDI'!$C$8)</f>
        <v/>
      </c>
      <c r="P62" s="109" t="str">
        <f t="shared" ref="P62" si="90">IF(F62="","",(F62-K62)/K62)</f>
        <v/>
      </c>
      <c r="Q62" s="110" t="str">
        <f t="shared" si="8"/>
        <v/>
      </c>
      <c r="R62" s="111">
        <f>+'Tabela de BDI'!$F$9*C62</f>
        <v>4020</v>
      </c>
      <c r="S62" s="114"/>
    </row>
    <row r="63" spans="1:19" ht="15.75" customHeight="1" x14ac:dyDescent="0.25">
      <c r="A63" s="1"/>
      <c r="B63" s="116" t="s">
        <v>78</v>
      </c>
      <c r="C63" s="104">
        <f t="shared" si="4"/>
        <v>34.17</v>
      </c>
      <c r="D63" s="205" t="e">
        <f>ABS('Preço SFCR-FRONIUS-BYD'!$G$43-C63)</f>
        <v>#DIV/0!</v>
      </c>
      <c r="E63" s="181">
        <v>102</v>
      </c>
      <c r="F63" s="112" t="str">
        <f>+IF(K63=0,"",ROUND(M63/(1-'Tabela de BDI'!$C$3),0))</f>
        <v/>
      </c>
      <c r="G63" s="107"/>
      <c r="H63" s="145"/>
      <c r="I63" s="146"/>
      <c r="J63" s="145"/>
      <c r="K63" s="145"/>
      <c r="L63" s="106">
        <f t="shared" si="74"/>
        <v>16500</v>
      </c>
      <c r="M63" s="145"/>
      <c r="N63" s="145"/>
      <c r="O63" s="106" t="str">
        <f>IF(F63="","",F63*'Tabela de BDI'!$C$8)</f>
        <v/>
      </c>
      <c r="P63" s="109" t="str">
        <f t="shared" si="7"/>
        <v/>
      </c>
      <c r="Q63" s="110" t="str">
        <f t="shared" si="8"/>
        <v/>
      </c>
      <c r="R63" s="111">
        <f>+'Tabela de BDI'!$F$9*C63</f>
        <v>4100.4000000000005</v>
      </c>
      <c r="S63" s="114"/>
    </row>
    <row r="64" spans="1:19" ht="15.75" customHeight="1" x14ac:dyDescent="0.25">
      <c r="A64" s="1"/>
      <c r="B64" s="116" t="s">
        <v>78</v>
      </c>
      <c r="C64" s="104">
        <f t="shared" si="4"/>
        <v>34.840000000000003</v>
      </c>
      <c r="D64" s="205" t="e">
        <f>ABS('Preço SFCR-FRONIUS-BYD'!$G$43-C64)</f>
        <v>#DIV/0!</v>
      </c>
      <c r="E64" s="181">
        <v>104</v>
      </c>
      <c r="F64" s="112" t="str">
        <f>+IF(K64=0,"",ROUND(M64/(1-'Tabela de BDI'!$C$3),0))</f>
        <v/>
      </c>
      <c r="G64" s="107"/>
      <c r="H64" s="145"/>
      <c r="I64" s="171"/>
      <c r="J64" s="171"/>
      <c r="K64" s="150"/>
      <c r="L64" s="106">
        <f t="shared" si="74"/>
        <v>16750</v>
      </c>
      <c r="M64" s="150"/>
      <c r="N64" s="150"/>
      <c r="O64" s="150"/>
      <c r="P64" s="172"/>
      <c r="Q64" s="110" t="str">
        <f t="shared" si="8"/>
        <v/>
      </c>
      <c r="R64" s="111">
        <f>+'Tabela de BDI'!$F$9*C64</f>
        <v>4180.8</v>
      </c>
      <c r="S64" s="114"/>
    </row>
    <row r="65" spans="1:19" ht="15.75" customHeight="1" x14ac:dyDescent="0.25">
      <c r="A65" s="1"/>
      <c r="B65" s="116" t="s">
        <v>78</v>
      </c>
      <c r="C65" s="104">
        <f t="shared" si="4"/>
        <v>36.18</v>
      </c>
      <c r="D65" s="205" t="e">
        <f>ABS('Preço SFCR-FRONIUS-BYD'!$G$43-C65)</f>
        <v>#DIV/0!</v>
      </c>
      <c r="E65" s="181">
        <v>108</v>
      </c>
      <c r="F65" s="112" t="str">
        <f>+IF(K65=0,"",ROUND(M65/(1-'Tabela de BDI'!$C$3),0))</f>
        <v/>
      </c>
      <c r="G65" s="107"/>
      <c r="H65" s="145"/>
      <c r="I65" s="171"/>
      <c r="J65" s="146"/>
      <c r="K65" s="106">
        <f t="shared" ref="K65" si="91">IF(J65="",0,H65+J65)</f>
        <v>0</v>
      </c>
      <c r="L65" s="106">
        <f t="shared" si="74"/>
        <v>17250</v>
      </c>
      <c r="M65" s="106">
        <f t="shared" ref="M65" si="92">+K65+L65</f>
        <v>17250</v>
      </c>
      <c r="N65" s="106" t="str">
        <f>IF(F65="","",F65*'Tabela de BDI'!$C$7)</f>
        <v/>
      </c>
      <c r="O65" s="106" t="str">
        <f>IF(F65="","",F65*'Tabela de BDI'!$C$8)</f>
        <v/>
      </c>
      <c r="P65" s="109" t="str">
        <f t="shared" ref="P65" si="93">IF(F65="","",(F65-K65)/K65)</f>
        <v/>
      </c>
      <c r="Q65" s="110" t="str">
        <f t="shared" ref="Q65" si="94">IF(F65="","",(F65/C65)/1000)</f>
        <v/>
      </c>
      <c r="R65" s="111">
        <f>+'Tabela de BDI'!$F$9*C65</f>
        <v>4341.6000000000004</v>
      </c>
      <c r="S65" s="114"/>
    </row>
    <row r="66" spans="1:19" ht="15.75" customHeight="1" x14ac:dyDescent="0.25">
      <c r="A66" s="1"/>
      <c r="B66" s="116" t="s">
        <v>78</v>
      </c>
      <c r="C66" s="104">
        <f t="shared" ref="C66:C67" si="95">+E66*$B$3</f>
        <v>37.520000000000003</v>
      </c>
      <c r="D66" s="205" t="e">
        <f>ABS('Preço SFCR-FRONIUS-BYD'!$G$43-C66)</f>
        <v>#DIV/0!</v>
      </c>
      <c r="E66" s="183">
        <v>112</v>
      </c>
      <c r="F66" s="112" t="str">
        <f>+IF(K66=0,"",ROUND(M66/(1-'Tabela de BDI'!$C$3),0))</f>
        <v/>
      </c>
      <c r="G66" s="107"/>
      <c r="H66" s="145"/>
      <c r="I66" s="171"/>
      <c r="J66" s="171"/>
      <c r="K66" s="150"/>
      <c r="L66" s="150"/>
      <c r="M66" s="150"/>
      <c r="N66" s="150"/>
      <c r="O66" s="150"/>
      <c r="P66" s="172"/>
      <c r="Q66" s="110" t="str">
        <f t="shared" ref="Q66:Q67" si="96">IF(F66="","",(F66/C66)/1000)</f>
        <v/>
      </c>
      <c r="R66" s="111">
        <f>+'Tabela de BDI'!$F$9*C66</f>
        <v>4502.4000000000005</v>
      </c>
      <c r="S66" s="114"/>
    </row>
    <row r="67" spans="1:19" ht="15.75" customHeight="1" x14ac:dyDescent="0.25">
      <c r="A67" s="1"/>
      <c r="B67" s="116" t="s">
        <v>78</v>
      </c>
      <c r="C67" s="104">
        <f t="shared" si="95"/>
        <v>42.21</v>
      </c>
      <c r="D67" s="205" t="e">
        <f>ABS('Preço SFCR-FRONIUS-BYD'!$G$43-C67)</f>
        <v>#DIV/0!</v>
      </c>
      <c r="E67" s="183">
        <v>126</v>
      </c>
      <c r="F67" s="112" t="str">
        <f>+IF(K67=0,"",ROUND(M67/(1-'Tabela de BDI'!$C$3),0))</f>
        <v/>
      </c>
      <c r="G67" s="107"/>
      <c r="H67" s="145"/>
      <c r="I67" s="171"/>
      <c r="J67" s="171"/>
      <c r="K67" s="150"/>
      <c r="L67" s="150"/>
      <c r="M67" s="150"/>
      <c r="N67" s="150"/>
      <c r="O67" s="150"/>
      <c r="P67" s="172"/>
      <c r="Q67" s="110" t="str">
        <f t="shared" si="96"/>
        <v/>
      </c>
      <c r="R67" s="111">
        <f>+'Tabela de BDI'!$F$9*C67</f>
        <v>5065.2</v>
      </c>
      <c r="S67" s="114"/>
    </row>
    <row r="68" spans="1:19" ht="15.75" customHeight="1" x14ac:dyDescent="0.25">
      <c r="A68" s="1"/>
      <c r="B68" s="116" t="s">
        <v>78</v>
      </c>
      <c r="C68" s="104">
        <f t="shared" ref="C68:C69" si="97">+E68*$B$3</f>
        <v>46.230000000000004</v>
      </c>
      <c r="D68" s="205" t="e">
        <f>ABS('Preço SFCR-FRONIUS-BYD'!$G$43-C68)</f>
        <v>#DIV/0!</v>
      </c>
      <c r="E68" s="183">
        <v>138</v>
      </c>
      <c r="F68" s="112" t="str">
        <f>+IF(K68=0,"",ROUND(M68/(1-'Tabela de BDI'!$C$3),0))</f>
        <v/>
      </c>
      <c r="G68" s="107"/>
      <c r="H68" s="145"/>
      <c r="I68" s="171"/>
      <c r="J68" s="171"/>
      <c r="K68" s="150"/>
      <c r="L68" s="150"/>
      <c r="M68" s="150"/>
      <c r="N68" s="150"/>
      <c r="O68" s="150"/>
      <c r="P68" s="172"/>
      <c r="Q68" s="110" t="str">
        <f t="shared" ref="Q68:Q69" si="98">IF(F68="","",(F68/C68)/1000)</f>
        <v/>
      </c>
      <c r="R68" s="111">
        <f>+'Tabela de BDI'!$F$9*C68</f>
        <v>5547.6</v>
      </c>
      <c r="S68" s="114"/>
    </row>
    <row r="69" spans="1:19" ht="15.75" customHeight="1" x14ac:dyDescent="0.25">
      <c r="A69" s="1"/>
      <c r="B69" s="116" t="s">
        <v>78</v>
      </c>
      <c r="C69" s="104">
        <f t="shared" si="97"/>
        <v>50.25</v>
      </c>
      <c r="D69" s="205" t="e">
        <f>ABS('Preço SFCR-FRONIUS-BYD'!$G$43-C69)</f>
        <v>#DIV/0!</v>
      </c>
      <c r="E69" s="183">
        <v>150</v>
      </c>
      <c r="F69" s="112" t="str">
        <f>+IF(K69=0,"",ROUND(M69/(1-'Tabela de BDI'!$C$3),0))</f>
        <v/>
      </c>
      <c r="G69" s="107"/>
      <c r="H69" s="145"/>
      <c r="I69" s="171"/>
      <c r="J69" s="171"/>
      <c r="K69" s="150"/>
      <c r="L69" s="150"/>
      <c r="M69" s="150"/>
      <c r="N69" s="150"/>
      <c r="O69" s="150"/>
      <c r="P69" s="172"/>
      <c r="Q69" s="110" t="str">
        <f t="shared" si="98"/>
        <v/>
      </c>
      <c r="R69" s="111">
        <f>+'Tabela de BDI'!$F$9*C69</f>
        <v>6030</v>
      </c>
      <c r="S69" s="114"/>
    </row>
    <row r="70" spans="1:19" ht="15.75" customHeight="1" x14ac:dyDescent="0.25">
      <c r="A70" s="1"/>
      <c r="B70" s="117"/>
      <c r="C70" s="104"/>
      <c r="D70" s="201"/>
      <c r="E70" s="105"/>
      <c r="F70" s="106"/>
      <c r="G70" s="107"/>
      <c r="H70" s="145"/>
      <c r="I70" s="146"/>
      <c r="J70" s="145"/>
      <c r="K70" s="145"/>
      <c r="L70" s="162"/>
      <c r="M70" s="145"/>
      <c r="N70" s="145"/>
      <c r="O70" s="106" t="str">
        <f>IF(F70="","",F70*'Tabela de BDI'!$C$8)</f>
        <v/>
      </c>
      <c r="P70" s="109" t="str">
        <f t="shared" si="7"/>
        <v/>
      </c>
      <c r="Q70" s="110" t="str">
        <f t="shared" si="8"/>
        <v/>
      </c>
      <c r="R70" s="111"/>
      <c r="S70" s="114"/>
    </row>
    <row r="71" spans="1:19" ht="15.75" customHeight="1" x14ac:dyDescent="0.25">
      <c r="A71" s="1"/>
      <c r="B71" s="117"/>
      <c r="C71" s="104"/>
      <c r="D71" s="201"/>
      <c r="E71" s="105"/>
      <c r="F71" s="106"/>
      <c r="G71" s="107"/>
      <c r="H71" s="145"/>
      <c r="I71" s="146"/>
      <c r="J71" s="145"/>
      <c r="K71" s="145"/>
      <c r="L71" s="162"/>
      <c r="M71" s="145"/>
      <c r="N71" s="145"/>
      <c r="O71" s="106" t="str">
        <f>IF(F71="","",F71*'Tabela de BDI'!$C$8)</f>
        <v/>
      </c>
      <c r="P71" s="109" t="str">
        <f t="shared" si="7"/>
        <v/>
      </c>
      <c r="Q71" s="110" t="str">
        <f t="shared" si="8"/>
        <v/>
      </c>
      <c r="R71" s="111"/>
      <c r="S71" s="114"/>
    </row>
    <row r="72" spans="1:19" ht="15.75" customHeight="1" x14ac:dyDescent="0.25">
      <c r="A72" s="1"/>
      <c r="B72" s="1"/>
      <c r="C72" s="1"/>
      <c r="D72" s="199"/>
      <c r="E72" s="1"/>
      <c r="F72" s="1"/>
      <c r="G72" s="1"/>
      <c r="H72" s="1"/>
      <c r="I72" s="142"/>
      <c r="J72" s="1"/>
      <c r="K72" s="118"/>
      <c r="L72" s="118"/>
      <c r="M72" s="118"/>
      <c r="N72" s="118"/>
      <c r="O72" s="118"/>
      <c r="P72" s="118"/>
      <c r="Q72" s="118"/>
      <c r="R72" s="1"/>
      <c r="S72" s="1"/>
    </row>
    <row r="73" spans="1:19" ht="15.75" customHeight="1" x14ac:dyDescent="0.25">
      <c r="A73" s="1"/>
      <c r="B73" s="337" t="s">
        <v>79</v>
      </c>
      <c r="C73" s="338"/>
      <c r="D73" s="198"/>
      <c r="E73" s="1"/>
      <c r="F73" s="119"/>
      <c r="G73" s="1"/>
      <c r="H73" s="1"/>
      <c r="I73" s="142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19">
        <v>44391</v>
      </c>
      <c r="C74" s="1"/>
      <c r="D74" s="199"/>
      <c r="E74" s="1"/>
      <c r="F74" s="1"/>
      <c r="G74" s="1"/>
      <c r="H74" s="1"/>
      <c r="I74" s="142"/>
      <c r="J74" s="1"/>
      <c r="R74" s="1"/>
      <c r="S74" s="1"/>
    </row>
    <row r="75" spans="1:19" ht="15.75" customHeight="1" x14ac:dyDescent="0.25">
      <c r="A75" s="1"/>
      <c r="B75" s="1"/>
      <c r="C75" s="1"/>
      <c r="D75" s="199"/>
      <c r="E75" s="1"/>
      <c r="F75" s="1"/>
      <c r="G75" s="1"/>
      <c r="H75" s="1"/>
      <c r="I75" s="142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99"/>
      <c r="E76" s="1"/>
      <c r="F76" s="1"/>
      <c r="G76" s="1"/>
      <c r="H76" s="1"/>
      <c r="I76" s="142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99"/>
      <c r="E77" s="1"/>
      <c r="F77" s="1"/>
      <c r="G77" s="1"/>
      <c r="H77" s="1"/>
      <c r="I77" s="142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99"/>
      <c r="E78" s="1"/>
      <c r="F78" s="1"/>
      <c r="G78" s="1"/>
      <c r="H78" s="1"/>
      <c r="I78" s="142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99"/>
      <c r="E79" s="1"/>
      <c r="F79" s="1"/>
      <c r="G79" s="1"/>
      <c r="H79" s="1"/>
      <c r="I79" s="142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99"/>
      <c r="E80" s="1"/>
      <c r="F80" s="1"/>
      <c r="G80" s="1"/>
      <c r="H80" s="1"/>
      <c r="I80" s="142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99"/>
      <c r="E81" s="1"/>
      <c r="F81" s="1"/>
      <c r="G81" s="1"/>
      <c r="H81" s="1"/>
      <c r="I81" s="142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99"/>
      <c r="E82" s="1"/>
      <c r="F82" s="1"/>
      <c r="G82" s="1"/>
      <c r="H82" s="1"/>
      <c r="I82" s="142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99"/>
      <c r="E83" s="1"/>
      <c r="F83" s="1"/>
      <c r="G83" s="1"/>
      <c r="H83" s="1"/>
      <c r="I83" s="142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99"/>
      <c r="E84" s="1"/>
      <c r="F84" s="1"/>
      <c r="G84" s="1"/>
      <c r="H84" s="1"/>
      <c r="I84" s="142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99"/>
      <c r="E85" s="1"/>
      <c r="F85" s="1"/>
      <c r="G85" s="1"/>
      <c r="H85" s="1"/>
      <c r="I85" s="142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99"/>
      <c r="E86" s="1"/>
      <c r="F86" s="1"/>
      <c r="G86" s="1"/>
      <c r="H86" s="1"/>
      <c r="I86" s="142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99"/>
      <c r="E87" s="1"/>
      <c r="F87" s="1"/>
      <c r="G87" s="1"/>
      <c r="H87" s="1"/>
      <c r="I87" s="142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99"/>
      <c r="E88" s="1"/>
      <c r="F88" s="1"/>
      <c r="G88" s="1"/>
      <c r="H88" s="1"/>
      <c r="I88" s="142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99"/>
      <c r="E89" s="1"/>
      <c r="F89" s="1"/>
      <c r="G89" s="1"/>
      <c r="H89" s="1"/>
      <c r="I89" s="142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99"/>
      <c r="E90" s="1"/>
      <c r="F90" s="1"/>
      <c r="G90" s="1"/>
      <c r="H90" s="1"/>
      <c r="I90" s="142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99"/>
      <c r="E91" s="1"/>
      <c r="F91" s="1"/>
      <c r="G91" s="1"/>
      <c r="H91" s="1"/>
      <c r="I91" s="142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99"/>
      <c r="E92" s="1"/>
      <c r="F92" s="1"/>
      <c r="G92" s="1"/>
      <c r="H92" s="1"/>
      <c r="I92" s="142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99"/>
      <c r="E93" s="1"/>
      <c r="F93" s="1"/>
      <c r="G93" s="1"/>
      <c r="H93" s="1"/>
      <c r="I93" s="142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99"/>
      <c r="E94" s="1"/>
      <c r="F94" s="1"/>
      <c r="G94" s="1"/>
      <c r="H94" s="1"/>
      <c r="I94" s="142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99"/>
      <c r="E95" s="1"/>
      <c r="F95" s="1"/>
      <c r="G95" s="1"/>
      <c r="H95" s="1"/>
      <c r="I95" s="142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99"/>
      <c r="E96" s="1"/>
      <c r="F96" s="1"/>
      <c r="G96" s="1"/>
      <c r="H96" s="1"/>
      <c r="I96" s="142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99"/>
      <c r="E97" s="1"/>
      <c r="F97" s="1"/>
      <c r="G97" s="1"/>
      <c r="H97" s="1"/>
      <c r="I97" s="142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99"/>
      <c r="E98" s="1"/>
      <c r="F98" s="1"/>
      <c r="G98" s="1"/>
      <c r="H98" s="1"/>
      <c r="I98" s="142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99"/>
      <c r="E99" s="1"/>
      <c r="F99" s="1"/>
      <c r="G99" s="1"/>
      <c r="H99" s="1"/>
      <c r="I99" s="142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99"/>
      <c r="E100" s="1"/>
      <c r="F100" s="1"/>
      <c r="G100" s="1"/>
      <c r="H100" s="1"/>
      <c r="I100" s="142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99"/>
      <c r="E101" s="1"/>
      <c r="F101" s="1"/>
      <c r="G101" s="1"/>
      <c r="H101" s="1"/>
      <c r="I101" s="142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99"/>
      <c r="E102" s="1"/>
      <c r="F102" s="1"/>
      <c r="G102" s="1"/>
      <c r="H102" s="1"/>
      <c r="I102" s="142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99"/>
      <c r="E103" s="1"/>
      <c r="F103" s="1"/>
      <c r="G103" s="1"/>
      <c r="H103" s="1"/>
      <c r="I103" s="142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99"/>
      <c r="E104" s="1"/>
      <c r="F104" s="1"/>
      <c r="G104" s="1"/>
      <c r="H104" s="1"/>
      <c r="I104" s="142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99"/>
      <c r="E105" s="1"/>
      <c r="F105" s="1"/>
      <c r="G105" s="1"/>
      <c r="H105" s="1"/>
      <c r="I105" s="142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99"/>
      <c r="E106" s="1"/>
      <c r="F106" s="1"/>
      <c r="G106" s="1"/>
      <c r="H106" s="1"/>
      <c r="I106" s="142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99"/>
      <c r="E107" s="1"/>
      <c r="F107" s="1"/>
      <c r="G107" s="1"/>
      <c r="H107" s="1"/>
      <c r="I107" s="142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99"/>
      <c r="E108" s="1"/>
      <c r="F108" s="1"/>
      <c r="G108" s="1"/>
      <c r="H108" s="1"/>
      <c r="I108" s="142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99"/>
      <c r="E109" s="1"/>
      <c r="F109" s="1"/>
      <c r="G109" s="1"/>
      <c r="H109" s="1"/>
      <c r="I109" s="142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99"/>
      <c r="E110" s="1"/>
      <c r="F110" s="1"/>
      <c r="G110" s="1"/>
      <c r="H110" s="1"/>
      <c r="I110" s="142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99"/>
      <c r="E111" s="1"/>
      <c r="F111" s="1"/>
      <c r="G111" s="1"/>
      <c r="H111" s="1"/>
      <c r="I111" s="142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99"/>
      <c r="E112" s="1"/>
      <c r="F112" s="1"/>
      <c r="G112" s="1"/>
      <c r="H112" s="1"/>
      <c r="I112" s="142"/>
      <c r="J112" s="1"/>
      <c r="K112" s="1"/>
      <c r="L112" s="1"/>
      <c r="M112" s="1"/>
      <c r="N112" s="1"/>
      <c r="O112" s="1"/>
      <c r="P112" s="1"/>
      <c r="Q112" s="1"/>
      <c r="R112" s="1"/>
      <c r="S112" s="1"/>
    </row>
  </sheetData>
  <mergeCells count="21">
    <mergeCell ref="D4:D5"/>
    <mergeCell ref="B73:C73"/>
    <mergeCell ref="B4:B5"/>
    <mergeCell ref="C4:C5"/>
    <mergeCell ref="B2:D2"/>
    <mergeCell ref="B3:D3"/>
    <mergeCell ref="R4:R5"/>
    <mergeCell ref="E2:R2"/>
    <mergeCell ref="E3:R3"/>
    <mergeCell ref="E4:E5"/>
    <mergeCell ref="Q4:Q5"/>
    <mergeCell ref="F4:F5"/>
    <mergeCell ref="M4:M5"/>
    <mergeCell ref="L4:L5"/>
    <mergeCell ref="P4:P5"/>
    <mergeCell ref="N4:N5"/>
    <mergeCell ref="O4:O5"/>
    <mergeCell ref="J4:J5"/>
    <mergeCell ref="K4:K5"/>
    <mergeCell ref="H4:H5"/>
    <mergeCell ref="G4:G5"/>
  </mergeCells>
  <phoneticPr fontId="34" type="noConversion"/>
  <pageMargins left="0.51181102362204722" right="0.51181102362204722" top="0.78740157480314965" bottom="0.78740157480314965" header="0" footer="0"/>
  <pageSetup paperSize="9" orientation="portrait" r:id="rId1"/>
  <ignoredErrors>
    <ignoredError sqref="I3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79BA-A83A-41F5-B3BF-B2C144BDEE3B}">
  <sheetPr>
    <pageSetUpPr fitToPage="1"/>
  </sheetPr>
  <dimension ref="A1:O101"/>
  <sheetViews>
    <sheetView showGridLines="0" zoomScale="70" zoomScaleNormal="70" workbookViewId="0">
      <pane ySplit="9" topLeftCell="A10" activePane="bottomLeft" state="frozen"/>
      <selection activeCell="H18" sqref="H18:I18"/>
      <selection pane="bottomLeft" activeCell="F11" sqref="F11:G11"/>
    </sheetView>
  </sheetViews>
  <sheetFormatPr defaultColWidth="14.42578125" defaultRowHeight="15" customHeight="1" x14ac:dyDescent="0.25"/>
  <cols>
    <col min="1" max="1" width="8.7109375" style="243" customWidth="1"/>
    <col min="2" max="2" width="2.42578125" style="243" customWidth="1"/>
    <col min="3" max="3" width="35.140625" style="243" customWidth="1"/>
    <col min="4" max="4" width="25" style="243" customWidth="1"/>
    <col min="5" max="5" width="10" style="243" bestFit="1" customWidth="1"/>
    <col min="6" max="6" width="25.42578125" style="243" bestFit="1" customWidth="1"/>
    <col min="7" max="7" width="9.42578125" style="243" bestFit="1" customWidth="1"/>
    <col min="8" max="8" width="15.85546875" style="243" bestFit="1" customWidth="1"/>
    <col min="9" max="9" width="9.42578125" style="243" bestFit="1" customWidth="1"/>
    <col min="10" max="10" width="18.85546875" style="243" customWidth="1"/>
    <col min="11" max="11" width="10.7109375" style="243" bestFit="1" customWidth="1"/>
    <col min="12" max="12" width="25" style="243" bestFit="1" customWidth="1"/>
    <col min="13" max="13" width="9.42578125" style="243" bestFit="1" customWidth="1"/>
    <col min="14" max="14" width="26" style="243" customWidth="1"/>
    <col min="15" max="15" width="14.42578125" style="243" customWidth="1"/>
    <col min="16" max="16384" width="14.42578125" style="243"/>
  </cols>
  <sheetData>
    <row r="1" spans="1:15" x14ac:dyDescent="0.25">
      <c r="A1" s="246"/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</row>
    <row r="2" spans="1:15" ht="15" customHeight="1" x14ac:dyDescent="0.25">
      <c r="A2" s="246"/>
      <c r="B2" s="246"/>
      <c r="C2" s="10" t="str">
        <f>+'Preço SFCR-FRONIUS-BYD'!C2</f>
        <v>Versão: Maio/2020</v>
      </c>
      <c r="D2" s="7"/>
      <c r="E2" s="7"/>
      <c r="F2" s="246"/>
      <c r="G2" s="246"/>
      <c r="H2" s="246"/>
      <c r="I2" s="246"/>
      <c r="J2" s="246"/>
      <c r="K2" s="246"/>
      <c r="L2" s="246"/>
      <c r="M2" s="246"/>
      <c r="N2" s="246"/>
      <c r="O2" s="246"/>
    </row>
    <row r="3" spans="1:15" ht="15" customHeight="1" x14ac:dyDescent="0.25">
      <c r="A3" s="246"/>
      <c r="B3" s="246"/>
      <c r="C3" s="10"/>
      <c r="D3" s="346" t="s">
        <v>12</v>
      </c>
      <c r="E3" s="347"/>
      <c r="F3" s="347"/>
      <c r="G3" s="347"/>
      <c r="H3" s="347"/>
      <c r="I3" s="347"/>
      <c r="J3" s="246"/>
      <c r="K3" s="246"/>
      <c r="L3" s="246"/>
      <c r="M3" s="246"/>
      <c r="N3" s="246"/>
      <c r="O3" s="246"/>
    </row>
    <row r="4" spans="1:15" ht="15" customHeight="1" x14ac:dyDescent="0.25">
      <c r="A4" s="246"/>
      <c r="B4" s="246"/>
      <c r="C4" s="10"/>
      <c r="D4" s="347"/>
      <c r="E4" s="347"/>
      <c r="F4" s="347"/>
      <c r="G4" s="347"/>
      <c r="H4" s="347"/>
      <c r="I4" s="347"/>
      <c r="J4" s="246"/>
      <c r="K4" s="246"/>
      <c r="L4" s="246"/>
      <c r="M4" s="246"/>
      <c r="N4" s="246"/>
      <c r="O4" s="246"/>
    </row>
    <row r="5" spans="1:15" ht="15" customHeight="1" x14ac:dyDescent="0.25">
      <c r="A5" s="246"/>
      <c r="B5" s="246"/>
      <c r="C5" s="10"/>
      <c r="D5" s="346" t="s">
        <v>269</v>
      </c>
      <c r="E5" s="347"/>
      <c r="F5" s="347"/>
      <c r="G5" s="347"/>
      <c r="H5" s="347"/>
      <c r="I5" s="347"/>
      <c r="J5" s="246"/>
      <c r="K5" s="246"/>
      <c r="L5" s="246"/>
      <c r="M5" s="246"/>
      <c r="N5" s="246"/>
      <c r="O5" s="246"/>
    </row>
    <row r="6" spans="1:15" ht="15" customHeight="1" x14ac:dyDescent="0.25">
      <c r="A6" s="246"/>
      <c r="B6" s="246"/>
      <c r="C6" s="10"/>
      <c r="D6" s="347"/>
      <c r="E6" s="347"/>
      <c r="F6" s="347"/>
      <c r="G6" s="347"/>
      <c r="H6" s="347"/>
      <c r="I6" s="347"/>
      <c r="J6" s="246"/>
      <c r="K6" s="246"/>
      <c r="L6" s="246"/>
      <c r="M6" s="246"/>
      <c r="N6" s="246"/>
      <c r="O6" s="246"/>
    </row>
    <row r="7" spans="1:15" ht="15" customHeight="1" thickBot="1" x14ac:dyDescent="0.3">
      <c r="A7" s="246"/>
      <c r="B7" s="246"/>
      <c r="C7" s="457"/>
      <c r="D7" s="347"/>
      <c r="E7" s="347"/>
      <c r="F7" s="347"/>
      <c r="G7" s="99"/>
      <c r="H7" s="246"/>
      <c r="I7" s="246"/>
      <c r="J7" s="100"/>
      <c r="K7" s="100"/>
      <c r="L7" s="100"/>
      <c r="M7" s="100"/>
      <c r="N7" s="100"/>
      <c r="O7" s="246"/>
    </row>
    <row r="8" spans="1:15" ht="19.5" thickBot="1" x14ac:dyDescent="0.35">
      <c r="A8" s="246"/>
      <c r="B8" s="246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246"/>
      <c r="O8" s="246"/>
    </row>
    <row r="9" spans="1:15" ht="21" customHeight="1" thickBot="1" x14ac:dyDescent="0.35">
      <c r="A9" s="246"/>
      <c r="B9" s="246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0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246"/>
    </row>
    <row r="10" spans="1:15" ht="15.75" customHeight="1" x14ac:dyDescent="0.25">
      <c r="A10" s="246"/>
      <c r="B10" s="246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246"/>
    </row>
    <row r="11" spans="1:15" ht="15.75" customHeight="1" x14ac:dyDescent="0.25">
      <c r="A11" s="246"/>
      <c r="B11" s="246"/>
      <c r="C11" s="24" t="s">
        <v>18</v>
      </c>
      <c r="D11" s="374" t="e">
        <f>+VLOOKUP(MIN('GROWATT-TRINA 375Wp'!D:D),'GROWATT-TRINA 375Wp'!D:E,2,0)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246"/>
    </row>
    <row r="12" spans="1:15" ht="15.75" customHeight="1" x14ac:dyDescent="0.25">
      <c r="A12" s="246"/>
      <c r="B12" s="246"/>
      <c r="C12" s="25" t="s">
        <v>19</v>
      </c>
      <c r="D12" s="367" t="s">
        <v>268</v>
      </c>
      <c r="E12" s="338"/>
      <c r="F12" s="368" t="str">
        <f t="shared" ref="F12:F13" si="0">+D12</f>
        <v>TRINA MONO PERC</v>
      </c>
      <c r="G12" s="338"/>
      <c r="H12" s="369" t="str">
        <f>+F12</f>
        <v>TRINA MONO PERC</v>
      </c>
      <c r="I12" s="338"/>
      <c r="J12" s="370" t="str">
        <f>+H12</f>
        <v>TRINA MONO PERC</v>
      </c>
      <c r="K12" s="338"/>
      <c r="L12" s="363" t="str">
        <f>+J12</f>
        <v>TRINA MONO PERC</v>
      </c>
      <c r="M12" s="354"/>
      <c r="N12" s="2"/>
      <c r="O12" s="246"/>
    </row>
    <row r="13" spans="1:15" ht="15.75" customHeight="1" x14ac:dyDescent="0.25">
      <c r="A13" s="246"/>
      <c r="B13" s="246"/>
      <c r="C13" s="24" t="s">
        <v>21</v>
      </c>
      <c r="D13" s="372">
        <v>375</v>
      </c>
      <c r="E13" s="338"/>
      <c r="F13" s="375">
        <f t="shared" si="0"/>
        <v>375</v>
      </c>
      <c r="G13" s="338"/>
      <c r="H13" s="376">
        <f>+D13</f>
        <v>375</v>
      </c>
      <c r="I13" s="338"/>
      <c r="J13" s="352">
        <f>+D13</f>
        <v>375</v>
      </c>
      <c r="K13" s="338"/>
      <c r="L13" s="364">
        <f>+D13</f>
        <v>375</v>
      </c>
      <c r="M13" s="354"/>
      <c r="N13" s="2"/>
      <c r="O13" s="246"/>
    </row>
    <row r="14" spans="1:15" ht="15.75" customHeight="1" x14ac:dyDescent="0.25">
      <c r="A14" s="246"/>
      <c r="B14" s="246"/>
      <c r="C14" s="25" t="s">
        <v>48</v>
      </c>
      <c r="D14" s="26" t="e">
        <f>+IF(D11="","",VLOOKUP(D11,'GROWATT-TRINA 375Wp'!$E$6:$G$69,3,0))</f>
        <v>#DIV/0!</v>
      </c>
      <c r="E14" s="27">
        <v>1</v>
      </c>
      <c r="F14" s="28" t="str">
        <f>+IF(F11="","",VLOOKUP(F11,'GROWATT-TRINA 375Wp'!$E$6:$G$69,3,0))</f>
        <v/>
      </c>
      <c r="G14" s="29">
        <v>1</v>
      </c>
      <c r="H14" s="30" t="str">
        <f>+IF(H11="","",VLOOKUP(H11,'GROWATT-TRINA 375Wp'!$E$6:$G$69,3,0))</f>
        <v/>
      </c>
      <c r="I14" s="31">
        <v>1</v>
      </c>
      <c r="J14" s="32" t="str">
        <f>+IF(J11="","",VLOOKUP(J11,'GROWATT-TRINA 375Wp'!$E$6:$G$69,3,0))</f>
        <v/>
      </c>
      <c r="K14" s="33">
        <v>1</v>
      </c>
      <c r="L14" s="34" t="str">
        <f>+IF(L11="","",VLOOKUP(L11,'GROWATT-TRINA 375Wp'!$E$6:$G$69,3,0))</f>
        <v/>
      </c>
      <c r="M14" s="35">
        <v>1</v>
      </c>
      <c r="N14" s="2"/>
      <c r="O14" s="246"/>
    </row>
    <row r="15" spans="1:15" ht="15.75" hidden="1" customHeight="1" x14ac:dyDescent="0.25">
      <c r="A15" s="246"/>
      <c r="B15" s="246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246"/>
    </row>
    <row r="16" spans="1:15" ht="15.75" customHeight="1" x14ac:dyDescent="0.25">
      <c r="A16" s="246"/>
      <c r="B16" s="246"/>
      <c r="C16" s="24" t="s">
        <v>25</v>
      </c>
      <c r="D16" s="373" t="e">
        <f>+D11*1.94236</f>
        <v>#DIV/0!</v>
      </c>
      <c r="E16" s="338"/>
      <c r="F16" s="355">
        <f>+F11*1.94236</f>
        <v>0</v>
      </c>
      <c r="G16" s="338"/>
      <c r="H16" s="356">
        <f>+H11*1.94236</f>
        <v>0</v>
      </c>
      <c r="I16" s="338"/>
      <c r="J16" s="365">
        <f>+J11*1.94236</f>
        <v>0</v>
      </c>
      <c r="K16" s="338"/>
      <c r="L16" s="366">
        <f>+L11*1.94236</f>
        <v>0</v>
      </c>
      <c r="M16" s="354"/>
      <c r="N16" s="2"/>
      <c r="O16" s="246"/>
    </row>
    <row r="17" spans="1:15" ht="15.75" customHeight="1" x14ac:dyDescent="0.25">
      <c r="A17" s="246"/>
      <c r="B17" s="246"/>
      <c r="C17" s="48" t="s">
        <v>26</v>
      </c>
      <c r="D17" s="371" t="e">
        <f>IF(E9=4.1,IF(D14="MIC 3.0KW",D11*400*$D$45/1000,D11*D13*$D$45/1000),D11*D13*$D$45/1000)</f>
        <v>#DIV/0!</v>
      </c>
      <c r="E17" s="349"/>
      <c r="F17" s="357">
        <f>IF(G9=4.1,IF(F14="MIC 3.0KW",F11*400*$D$45/1000,F11*F13*$D$45/1000),F11*F13*$D$45/1000)</f>
        <v>0</v>
      </c>
      <c r="G17" s="349"/>
      <c r="H17" s="358">
        <f>IF(I9=4.1,IF(H14="MIC 3.0KW",H11*400*$D$45/1000,H11*H13*$D$45/1000),H11*H13*$D$45/1000)</f>
        <v>0</v>
      </c>
      <c r="I17" s="349"/>
      <c r="J17" s="359">
        <f>IF(K9=4.1,IF(J14="MIC 3.0KW",J11*400*$D$45/1000,J11*J13*$D$45/1000),J11*J13*$D$45/1000)</f>
        <v>0</v>
      </c>
      <c r="K17" s="360"/>
      <c r="L17" s="361">
        <f>IF(M9=4.1,IF(L14="MIC 3.0KW",L11*400*$D$45/1000,L11*L13*$D$45/1000),L11*L13*$D$45/1000)</f>
        <v>0</v>
      </c>
      <c r="M17" s="454"/>
      <c r="N17" s="2"/>
      <c r="O17" s="246"/>
    </row>
    <row r="18" spans="1:15" ht="15.75" customHeight="1" x14ac:dyDescent="0.25">
      <c r="A18" s="246"/>
      <c r="B18" s="246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246"/>
    </row>
    <row r="19" spans="1:15" ht="15.75" customHeight="1" thickBot="1" x14ac:dyDescent="0.3">
      <c r="A19" s="246"/>
      <c r="B19" s="246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246"/>
    </row>
    <row r="20" spans="1:15" ht="18.75" customHeight="1" thickBot="1" x14ac:dyDescent="0.4">
      <c r="A20" s="246"/>
      <c r="B20" s="246"/>
      <c r="C20" s="51"/>
      <c r="D20" s="52"/>
      <c r="E20" s="53"/>
      <c r="F20" s="245"/>
      <c r="G20" s="2"/>
      <c r="H20" s="245"/>
      <c r="I20" s="2"/>
      <c r="J20" s="55"/>
      <c r="K20" s="246"/>
      <c r="L20" s="245"/>
      <c r="M20" s="2"/>
      <c r="N20" s="2"/>
      <c r="O20" s="246"/>
    </row>
    <row r="21" spans="1:15" ht="43.5" hidden="1" customHeight="1" thickBot="1" x14ac:dyDescent="0.3">
      <c r="A21" s="246"/>
      <c r="B21" s="246"/>
      <c r="C21" s="188" t="s">
        <v>220</v>
      </c>
      <c r="D21" s="452" t="e">
        <f>+IF(D11="","",VLOOKUP(D11,'GROWATT-TRINA 375Wp'!$E$6:$F$69,2,0))</f>
        <v>#DIV/0!</v>
      </c>
      <c r="E21" s="398"/>
      <c r="F21" s="397" t="str">
        <f>+IF(F11="","",VLOOKUP(F11,'GROWATT-TRINA 375Wp'!$E$6:$F$69,2,0))</f>
        <v/>
      </c>
      <c r="G21" s="398"/>
      <c r="H21" s="399" t="str">
        <f>+IF(H11="","",VLOOKUP(H11,'GROWATT-TRINA 375Wp'!$E$6:$F$69,2,0))</f>
        <v/>
      </c>
      <c r="I21" s="398"/>
      <c r="J21" s="400" t="str">
        <f>+IF(J11="","",VLOOKUP(J11,'GROWATT-TRINA 375Wp'!$E$6:$F$69,2,0))</f>
        <v/>
      </c>
      <c r="K21" s="398"/>
      <c r="L21" s="401" t="str">
        <f>+IF(L11="","",VLOOKUP(L11,'GROWATT-TRINA 375Wp'!$E$6:$F$69,2,0))</f>
        <v/>
      </c>
      <c r="M21" s="381"/>
      <c r="N21" s="2"/>
      <c r="O21" s="246"/>
    </row>
    <row r="22" spans="1:15" ht="43.5" customHeight="1" thickBot="1" x14ac:dyDescent="0.3">
      <c r="A22" s="246"/>
      <c r="B22" s="246"/>
      <c r="C22" s="189" t="s">
        <v>29</v>
      </c>
      <c r="D22" s="452" t="e">
        <f>+ROUND(D21+(D21*$H$44),0)</f>
        <v>#DIV/0!</v>
      </c>
      <c r="E22" s="398"/>
      <c r="F22" s="397" t="e">
        <f>+ROUND(F21+(F21*$H$44),0)</f>
        <v>#VALUE!</v>
      </c>
      <c r="G22" s="398"/>
      <c r="H22" s="399" t="e">
        <f>+ROUND(H21+(H21*$H$44),0)</f>
        <v>#VALUE!</v>
      </c>
      <c r="I22" s="398"/>
      <c r="J22" s="400" t="e">
        <f>+ROUND(J21+(J21*$H$44),0)</f>
        <v>#VALUE!</v>
      </c>
      <c r="K22" s="398"/>
      <c r="L22" s="401" t="e">
        <f>+ROUND(L21+(L21*$H$44),0)</f>
        <v>#VALUE!</v>
      </c>
      <c r="M22" s="381"/>
      <c r="N22" s="2"/>
      <c r="O22" s="246"/>
    </row>
    <row r="23" spans="1:15" ht="12.75" customHeight="1" x14ac:dyDescent="0.35">
      <c r="A23" s="246"/>
      <c r="B23" s="246"/>
      <c r="C23" s="51"/>
      <c r="D23" s="56"/>
      <c r="E23" s="57"/>
      <c r="F23" s="56"/>
      <c r="G23" s="57"/>
      <c r="H23" s="56"/>
      <c r="I23" s="57"/>
      <c r="J23" s="245"/>
      <c r="K23" s="58"/>
      <c r="L23" s="245"/>
      <c r="M23" s="58"/>
      <c r="N23" s="2"/>
      <c r="O23" s="246"/>
    </row>
    <row r="24" spans="1:15" ht="15.75" customHeight="1" thickBot="1" x14ac:dyDescent="0.4">
      <c r="A24" s="246"/>
      <c r="B24" s="246"/>
      <c r="C24" s="444" t="s">
        <v>30</v>
      </c>
      <c r="D24" s="347"/>
      <c r="E24" s="347"/>
      <c r="F24" s="347"/>
      <c r="G24" s="347"/>
      <c r="H24" s="347"/>
      <c r="I24" s="57"/>
      <c r="J24" s="245"/>
      <c r="K24" s="58"/>
      <c r="L24" s="245"/>
      <c r="M24" s="58"/>
      <c r="N24" s="2"/>
      <c r="O24" s="246"/>
    </row>
    <row r="25" spans="1:15" ht="15" customHeight="1" x14ac:dyDescent="0.25">
      <c r="A25" s="246"/>
      <c r="B25" s="246"/>
      <c r="C25" s="232" t="s">
        <v>31</v>
      </c>
      <c r="D25" s="445" t="e">
        <f>+$D$42*D22</f>
        <v>#DIV/0!</v>
      </c>
      <c r="E25" s="446"/>
      <c r="F25" s="447" t="e">
        <f t="shared" ref="F25" si="1">+$D$42*F22</f>
        <v>#VALUE!</v>
      </c>
      <c r="G25" s="446"/>
      <c r="H25" s="448" t="e">
        <f t="shared" ref="H25" si="2">+$D$42*H22</f>
        <v>#VALUE!</v>
      </c>
      <c r="I25" s="446"/>
      <c r="J25" s="449" t="e">
        <f t="shared" ref="J25" si="3">+$D$42*J22</f>
        <v>#VALUE!</v>
      </c>
      <c r="K25" s="446"/>
      <c r="L25" s="450" t="e">
        <f t="shared" ref="L25" si="4">+$D$42*L22</f>
        <v>#VALUE!</v>
      </c>
      <c r="M25" s="451"/>
      <c r="N25" s="60" t="s">
        <v>32</v>
      </c>
      <c r="O25" s="246"/>
    </row>
    <row r="26" spans="1:15" ht="15" hidden="1" customHeight="1" x14ac:dyDescent="0.25">
      <c r="A26" s="246"/>
      <c r="B26" s="246"/>
      <c r="C26" s="233"/>
      <c r="D26" s="430" t="e">
        <f>+D22-D25</f>
        <v>#DIV/0!</v>
      </c>
      <c r="E26" s="431"/>
      <c r="F26" s="432" t="e">
        <f t="shared" ref="F26" si="5">+F22-F25</f>
        <v>#VALUE!</v>
      </c>
      <c r="G26" s="431"/>
      <c r="H26" s="433" t="e">
        <f t="shared" ref="H26" si="6">+H22-H25</f>
        <v>#VALUE!</v>
      </c>
      <c r="I26" s="431"/>
      <c r="J26" s="434" t="e">
        <f t="shared" ref="J26" si="7">+J22-J25</f>
        <v>#VALUE!</v>
      </c>
      <c r="K26" s="431"/>
      <c r="L26" s="435" t="e">
        <f t="shared" ref="L26" si="8">+L22-L25</f>
        <v>#VALUE!</v>
      </c>
      <c r="M26" s="436"/>
      <c r="N26" s="62"/>
      <c r="O26" s="246"/>
    </row>
    <row r="27" spans="1:15" ht="15" customHeight="1" x14ac:dyDescent="0.25">
      <c r="A27" s="246"/>
      <c r="B27" s="246"/>
      <c r="C27" s="234">
        <f>+'Preço SFCR-FRONIUS-BYD'!C27</f>
        <v>12</v>
      </c>
      <c r="D27" s="430" t="e">
        <f>+PMT(N27,C27,-$D$26)</f>
        <v>#DIV/0!</v>
      </c>
      <c r="E27" s="431"/>
      <c r="F27" s="432" t="e">
        <f>+PMT(N27,C27,-$F$26)</f>
        <v>#VALUE!</v>
      </c>
      <c r="G27" s="431"/>
      <c r="H27" s="433" t="e">
        <f>+PMT(N27,C27,-$H$26)</f>
        <v>#VALUE!</v>
      </c>
      <c r="I27" s="431"/>
      <c r="J27" s="434" t="e">
        <f>+PMT(N27,C27,-$J$26)</f>
        <v>#VALUE!</v>
      </c>
      <c r="K27" s="431"/>
      <c r="L27" s="435" t="e">
        <f>+PMT(N27,C27,-$L$26)</f>
        <v>#VALUE!</v>
      </c>
      <c r="M27" s="436"/>
      <c r="N27" s="90">
        <f>+'Preço SFCR-FRONIUS-BYD'!N27</f>
        <v>1.6799999999999999E-2</v>
      </c>
      <c r="O27" s="246"/>
    </row>
    <row r="28" spans="1:15" ht="15" customHeight="1" x14ac:dyDescent="0.25">
      <c r="A28" s="246"/>
      <c r="B28" s="246"/>
      <c r="C28" s="235">
        <f>+'Preço SFCR-FRONIUS-BYD'!C28</f>
        <v>24</v>
      </c>
      <c r="D28" s="430" t="e">
        <f t="shared" ref="D28:D31" si="9">+PMT(N28,C28,-$D$26)</f>
        <v>#DIV/0!</v>
      </c>
      <c r="E28" s="431"/>
      <c r="F28" s="432" t="e">
        <f t="shared" ref="F28:F31" si="10">+PMT(N28,C28,-$F$26)</f>
        <v>#VALUE!</v>
      </c>
      <c r="G28" s="431"/>
      <c r="H28" s="433" t="e">
        <f t="shared" ref="H28:H31" si="11">+PMT(N28,C28,-$H$26)</f>
        <v>#VALUE!</v>
      </c>
      <c r="I28" s="431"/>
      <c r="J28" s="434" t="e">
        <f t="shared" ref="J28:J31" si="12">+PMT(N28,C28,-$J$26)</f>
        <v>#VALUE!</v>
      </c>
      <c r="K28" s="431"/>
      <c r="L28" s="435" t="e">
        <f t="shared" ref="L28:L31" si="13">+PMT(N28,C28,-$L$26)</f>
        <v>#VALUE!</v>
      </c>
      <c r="M28" s="436"/>
      <c r="N28" s="90">
        <f>+'Preço SFCR-FRONIUS-BYD'!N28</f>
        <v>1.55E-2</v>
      </c>
      <c r="O28" s="246"/>
    </row>
    <row r="29" spans="1:15" ht="15" customHeight="1" x14ac:dyDescent="0.25">
      <c r="A29" s="246"/>
      <c r="B29" s="246"/>
      <c r="C29" s="234">
        <f>+'Preço SFCR-FRONIUS-BYD'!C29</f>
        <v>36</v>
      </c>
      <c r="D29" s="430" t="e">
        <f t="shared" si="9"/>
        <v>#DIV/0!</v>
      </c>
      <c r="E29" s="431"/>
      <c r="F29" s="432" t="e">
        <f t="shared" si="10"/>
        <v>#VALUE!</v>
      </c>
      <c r="G29" s="431"/>
      <c r="H29" s="433" t="e">
        <f t="shared" si="11"/>
        <v>#VALUE!</v>
      </c>
      <c r="I29" s="431"/>
      <c r="J29" s="434" t="e">
        <f t="shared" si="12"/>
        <v>#VALUE!</v>
      </c>
      <c r="K29" s="431"/>
      <c r="L29" s="435" t="e">
        <f t="shared" si="13"/>
        <v>#VALUE!</v>
      </c>
      <c r="M29" s="436"/>
      <c r="N29" s="90">
        <f>+'Preço SFCR-FRONIUS-BYD'!N29</f>
        <v>1.5800000000000002E-2</v>
      </c>
      <c r="O29" s="246"/>
    </row>
    <row r="30" spans="1:15" ht="15" customHeight="1" x14ac:dyDescent="0.25">
      <c r="A30" s="246"/>
      <c r="B30" s="246"/>
      <c r="C30" s="235">
        <f>+'Preço SFCR-FRONIUS-BYD'!C30</f>
        <v>48</v>
      </c>
      <c r="D30" s="430" t="e">
        <f t="shared" si="9"/>
        <v>#DIV/0!</v>
      </c>
      <c r="E30" s="431"/>
      <c r="F30" s="432" t="e">
        <f t="shared" si="10"/>
        <v>#VALUE!</v>
      </c>
      <c r="G30" s="431"/>
      <c r="H30" s="433" t="e">
        <f t="shared" si="11"/>
        <v>#VALUE!</v>
      </c>
      <c r="I30" s="431"/>
      <c r="J30" s="434" t="e">
        <f t="shared" si="12"/>
        <v>#VALUE!</v>
      </c>
      <c r="K30" s="431"/>
      <c r="L30" s="435" t="e">
        <f t="shared" si="13"/>
        <v>#VALUE!</v>
      </c>
      <c r="M30" s="436"/>
      <c r="N30" s="90">
        <f>+'Preço SFCR-FRONIUS-BYD'!N30</f>
        <v>1.61E-2</v>
      </c>
      <c r="O30" s="246"/>
    </row>
    <row r="31" spans="1:15" ht="15" customHeight="1" thickBot="1" x14ac:dyDescent="0.3">
      <c r="A31" s="246"/>
      <c r="B31" s="246"/>
      <c r="C31" s="236">
        <f>+'Preço SFCR-FRONIUS-BYD'!C31</f>
        <v>60</v>
      </c>
      <c r="D31" s="437" t="e">
        <f t="shared" si="9"/>
        <v>#DIV/0!</v>
      </c>
      <c r="E31" s="438"/>
      <c r="F31" s="439" t="e">
        <f t="shared" si="10"/>
        <v>#VALUE!</v>
      </c>
      <c r="G31" s="438"/>
      <c r="H31" s="440" t="e">
        <f t="shared" si="11"/>
        <v>#VALUE!</v>
      </c>
      <c r="I31" s="438"/>
      <c r="J31" s="441" t="e">
        <f t="shared" si="12"/>
        <v>#VALUE!</v>
      </c>
      <c r="K31" s="438"/>
      <c r="L31" s="442" t="e">
        <f t="shared" si="13"/>
        <v>#VALUE!</v>
      </c>
      <c r="M31" s="443"/>
      <c r="N31" s="90">
        <f>+'Preço SFCR-FRONIUS-BYD'!N31</f>
        <v>1.6400000000000001E-2</v>
      </c>
      <c r="O31" s="246"/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246"/>
    </row>
    <row r="33" spans="1:15" ht="14.25" customHeight="1" x14ac:dyDescent="0.25">
      <c r="A33" s="65"/>
      <c r="B33" s="65"/>
      <c r="C33" s="65" t="str">
        <f>+'Preço SFCR-FRONIUS-BYD'!$C$33</f>
        <v>Observação: Proposta apenas orientativa, caso tenha interesse formalizamos uma proposta.</v>
      </c>
      <c r="D33" s="65"/>
      <c r="E33" s="65"/>
      <c r="F33" s="65"/>
      <c r="G33" s="65"/>
      <c r="H33" s="245"/>
      <c r="I33" s="245"/>
      <c r="J33" s="65"/>
      <c r="K33" s="65"/>
      <c r="L33" s="65"/>
      <c r="M33" s="65"/>
      <c r="N33" s="65"/>
      <c r="O33" s="246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245"/>
      <c r="I34" s="245"/>
      <c r="J34" s="65"/>
      <c r="K34" s="65"/>
      <c r="L34" s="65"/>
      <c r="M34" s="65"/>
      <c r="N34" s="65"/>
      <c r="O34" s="246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246"/>
    </row>
    <row r="36" spans="1:15" ht="14.25" customHeight="1" x14ac:dyDescent="0.25">
      <c r="A36" s="246"/>
      <c r="B36" s="246"/>
      <c r="C36" s="73" t="s">
        <v>34</v>
      </c>
      <c r="D36" s="416" t="e">
        <f>+D22/(D10*1000)</f>
        <v>#DIV/0!</v>
      </c>
      <c r="E36" s="417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246"/>
    </row>
    <row r="37" spans="1:15" ht="14.25" customHeight="1" x14ac:dyDescent="0.25">
      <c r="A37" s="246"/>
      <c r="B37" s="246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246"/>
    </row>
    <row r="38" spans="1:15" ht="14.25" customHeight="1" x14ac:dyDescent="0.25">
      <c r="A38" s="246"/>
      <c r="B38" s="246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246"/>
    </row>
    <row r="39" spans="1:15" ht="14.25" customHeight="1" x14ac:dyDescent="0.25">
      <c r="A39" s="246"/>
      <c r="B39" s="246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246"/>
      <c r="O39" s="246"/>
    </row>
    <row r="40" spans="1:15" ht="14.25" customHeight="1" x14ac:dyDescent="0.25">
      <c r="A40" s="246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</row>
    <row r="41" spans="1:15" ht="14.25" customHeight="1" x14ac:dyDescent="0.25">
      <c r="A41" s="246"/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</row>
    <row r="42" spans="1:15" ht="14.25" customHeight="1" x14ac:dyDescent="0.25">
      <c r="A42" s="246"/>
      <c r="B42" s="246"/>
      <c r="C42" s="77" t="s">
        <v>38</v>
      </c>
      <c r="D42" s="91">
        <f>+'Preço SFCR-FRONIUS-BYD'!D42</f>
        <v>0</v>
      </c>
      <c r="E42" s="65"/>
      <c r="F42" s="79"/>
      <c r="G42" s="79"/>
      <c r="H42" s="246"/>
      <c r="I42" s="246"/>
      <c r="J42" s="246"/>
      <c r="K42" s="246"/>
      <c r="L42" s="246"/>
      <c r="M42" s="246"/>
      <c r="N42" s="246"/>
      <c r="O42" s="246"/>
    </row>
    <row r="43" spans="1:15" ht="14.25" customHeight="1" x14ac:dyDescent="0.25">
      <c r="A43" s="246"/>
      <c r="B43" s="246"/>
      <c r="C43" s="80" t="s">
        <v>39</v>
      </c>
      <c r="D43" s="81" t="e">
        <f>+'Preço SFCR-FRONIUS-BYD'!D43</f>
        <v>#DIV/0!</v>
      </c>
      <c r="E43" s="82"/>
      <c r="F43" s="83" t="s">
        <v>40</v>
      </c>
      <c r="G43" s="71" t="e">
        <f>+D43/D45</f>
        <v>#DIV/0!</v>
      </c>
      <c r="H43" s="246"/>
      <c r="I43" s="246"/>
      <c r="J43" s="246"/>
      <c r="K43" s="246"/>
      <c r="L43" s="246"/>
      <c r="M43" s="246"/>
      <c r="N43" s="246"/>
      <c r="O43" s="246"/>
    </row>
    <row r="44" spans="1:15" ht="14.25" customHeight="1" x14ac:dyDescent="0.25">
      <c r="A44" s="246"/>
      <c r="B44" s="246"/>
      <c r="C44" s="84" t="s">
        <v>41</v>
      </c>
      <c r="D44" s="97">
        <f>+'Preço SFCR-FRONIUS-BYD'!D44</f>
        <v>0.85</v>
      </c>
      <c r="E44" s="70"/>
      <c r="F44" s="429" t="s">
        <v>42</v>
      </c>
      <c r="G44" s="412"/>
      <c r="H44" s="98">
        <v>0.05</v>
      </c>
      <c r="I44" s="246"/>
      <c r="J44" s="246"/>
      <c r="K44" s="246"/>
      <c r="L44" s="246"/>
      <c r="M44" s="246"/>
      <c r="N44" s="246"/>
      <c r="O44" s="246"/>
    </row>
    <row r="45" spans="1:15" ht="14.25" customHeight="1" x14ac:dyDescent="0.25">
      <c r="A45" s="246"/>
      <c r="B45" s="246"/>
      <c r="C45" s="87" t="s">
        <v>43</v>
      </c>
      <c r="D45" s="97">
        <f>+'Preço SFCR-FRONIUS-BYD'!D45</f>
        <v>120</v>
      </c>
      <c r="E45" s="70"/>
      <c r="F45" s="246"/>
      <c r="G45" s="246"/>
      <c r="H45" s="246"/>
      <c r="I45" s="246"/>
      <c r="J45" s="246"/>
      <c r="K45" s="246"/>
      <c r="L45" s="246"/>
      <c r="M45" s="246"/>
      <c r="N45" s="246"/>
      <c r="O45" s="246"/>
    </row>
    <row r="46" spans="1:15" ht="14.25" customHeight="1" x14ac:dyDescent="0.25">
      <c r="A46" s="246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</row>
    <row r="47" spans="1:15" ht="14.25" customHeight="1" x14ac:dyDescent="0.25">
      <c r="A47" s="246"/>
      <c r="B47" s="246"/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</row>
    <row r="48" spans="1:15" ht="14.25" customHeight="1" x14ac:dyDescent="0.25">
      <c r="A48" s="246"/>
      <c r="B48" s="246"/>
      <c r="C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</row>
    <row r="49" spans="1:15" ht="14.25" customHeight="1" x14ac:dyDescent="0.25">
      <c r="A49" s="246"/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</row>
    <row r="50" spans="1:15" ht="14.25" customHeight="1" x14ac:dyDescent="0.25">
      <c r="A50" s="246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</row>
    <row r="51" spans="1:15" ht="14.25" customHeight="1" x14ac:dyDescent="0.25">
      <c r="A51" s="246"/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</row>
    <row r="52" spans="1:15" ht="14.25" customHeight="1" x14ac:dyDescent="0.25">
      <c r="A52" s="246"/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</row>
    <row r="53" spans="1:15" ht="14.25" customHeight="1" x14ac:dyDescent="0.25">
      <c r="A53" s="246"/>
      <c r="B53" s="246"/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</row>
    <row r="54" spans="1:15" ht="14.25" customHeight="1" x14ac:dyDescent="0.25">
      <c r="A54" s="246"/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</row>
    <row r="55" spans="1:15" ht="14.25" customHeight="1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</row>
    <row r="56" spans="1:15" ht="14.25" customHeight="1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</row>
    <row r="57" spans="1:15" ht="14.25" customHeight="1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</row>
    <row r="58" spans="1:15" ht="14.25" customHeight="1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</row>
    <row r="59" spans="1:15" ht="14.25" customHeight="1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</row>
    <row r="60" spans="1:15" ht="14.25" customHeight="1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</row>
    <row r="61" spans="1:15" ht="14.25" customHeight="1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</row>
    <row r="62" spans="1:15" ht="14.2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</row>
    <row r="63" spans="1:15" ht="14.25" customHeight="1" x14ac:dyDescent="0.25">
      <c r="A63" s="246"/>
      <c r="B63" s="246"/>
      <c r="C63" s="246"/>
      <c r="D63" s="246"/>
      <c r="E63" s="246"/>
      <c r="F63" s="246"/>
      <c r="G63" s="246"/>
      <c r="H63" s="246"/>
      <c r="I63" s="246"/>
      <c r="J63" s="246"/>
      <c r="K63" s="246"/>
      <c r="L63" s="246"/>
      <c r="M63" s="246"/>
      <c r="N63" s="246"/>
      <c r="O63" s="246"/>
    </row>
    <row r="64" spans="1:15" ht="14.25" customHeight="1" x14ac:dyDescent="0.25">
      <c r="A64" s="246"/>
      <c r="B64" s="246"/>
      <c r="C64" s="246"/>
      <c r="D64" s="246"/>
      <c r="E64" s="246"/>
      <c r="F64" s="246"/>
      <c r="G64" s="246"/>
      <c r="H64" s="246"/>
      <c r="I64" s="246"/>
      <c r="J64" s="246"/>
      <c r="K64" s="246"/>
      <c r="L64" s="246"/>
      <c r="M64" s="246"/>
      <c r="N64" s="246"/>
      <c r="O64" s="246"/>
    </row>
    <row r="65" spans="1:15" ht="14.25" customHeight="1" x14ac:dyDescent="0.25">
      <c r="A65" s="246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246"/>
    </row>
    <row r="66" spans="1:15" ht="14.25" customHeight="1" x14ac:dyDescent="0.25">
      <c r="A66" s="246"/>
      <c r="B66" s="246"/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6"/>
    </row>
    <row r="67" spans="1:15" ht="14.25" customHeight="1" x14ac:dyDescent="0.25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</row>
    <row r="68" spans="1:15" ht="14.25" customHeight="1" x14ac:dyDescent="0.25">
      <c r="A68" s="246"/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</row>
    <row r="69" spans="1:15" ht="14.25" customHeight="1" x14ac:dyDescent="0.25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</row>
    <row r="70" spans="1:15" ht="14.25" customHeight="1" x14ac:dyDescent="0.25">
      <c r="A70" s="246"/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6"/>
      <c r="M70" s="246"/>
      <c r="N70" s="246"/>
      <c r="O70" s="246"/>
    </row>
    <row r="71" spans="1:15" ht="14.25" customHeight="1" x14ac:dyDescent="0.25">
      <c r="A71" s="246"/>
      <c r="B71" s="246"/>
      <c r="C71" s="246"/>
      <c r="D71" s="246"/>
      <c r="E71" s="246"/>
      <c r="F71" s="246"/>
      <c r="G71" s="246"/>
      <c r="H71" s="246"/>
      <c r="I71" s="246"/>
      <c r="J71" s="246"/>
      <c r="K71" s="246"/>
      <c r="L71" s="246"/>
      <c r="M71" s="246"/>
      <c r="N71" s="246"/>
      <c r="O71" s="246"/>
    </row>
    <row r="72" spans="1:15" ht="14.25" customHeight="1" x14ac:dyDescent="0.25">
      <c r="A72" s="246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246"/>
      <c r="O72" s="246"/>
    </row>
    <row r="73" spans="1:15" ht="14.25" customHeight="1" x14ac:dyDescent="0.25">
      <c r="A73" s="246"/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</row>
    <row r="74" spans="1:15" ht="14.25" customHeight="1" x14ac:dyDescent="0.25">
      <c r="A74" s="246"/>
      <c r="B74" s="246"/>
      <c r="C74" s="246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</row>
    <row r="75" spans="1:15" ht="14.25" customHeight="1" x14ac:dyDescent="0.25">
      <c r="A75" s="246"/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</row>
    <row r="76" spans="1:15" ht="14.25" customHeight="1" x14ac:dyDescent="0.25">
      <c r="A76" s="246"/>
      <c r="B76" s="246"/>
      <c r="C76" s="246"/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</row>
    <row r="77" spans="1:15" ht="14.25" customHeight="1" x14ac:dyDescent="0.25">
      <c r="A77" s="246"/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</row>
    <row r="78" spans="1:15" ht="14.25" customHeight="1" x14ac:dyDescent="0.25">
      <c r="A78" s="246"/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</row>
    <row r="79" spans="1:15" ht="14.25" customHeight="1" x14ac:dyDescent="0.25">
      <c r="A79" s="246"/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</row>
    <row r="80" spans="1:15" ht="14.25" customHeight="1" x14ac:dyDescent="0.25">
      <c r="A80" s="246"/>
      <c r="B80" s="246"/>
      <c r="C80" s="246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</row>
    <row r="81" spans="1:15" ht="14.25" customHeight="1" x14ac:dyDescent="0.25">
      <c r="A81" s="246"/>
      <c r="B81" s="246"/>
      <c r="C81" s="246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</row>
    <row r="82" spans="1:15" ht="14.25" customHeight="1" x14ac:dyDescent="0.25">
      <c r="A82" s="246"/>
      <c r="B82" s="246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</row>
    <row r="83" spans="1:15" ht="14.25" customHeight="1" x14ac:dyDescent="0.25">
      <c r="A83" s="246"/>
      <c r="B83" s="246"/>
      <c r="C83" s="246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</row>
    <row r="84" spans="1:15" ht="14.25" customHeight="1" x14ac:dyDescent="0.25">
      <c r="A84" s="246"/>
      <c r="B84" s="246"/>
      <c r="C84" s="246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</row>
    <row r="85" spans="1:15" ht="14.25" customHeight="1" x14ac:dyDescent="0.25">
      <c r="A85" s="246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</row>
    <row r="86" spans="1:15" ht="14.25" customHeight="1" x14ac:dyDescent="0.25">
      <c r="A86" s="246"/>
      <c r="B86" s="246"/>
      <c r="C86" s="246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</row>
    <row r="87" spans="1:15" ht="14.25" customHeight="1" x14ac:dyDescent="0.25">
      <c r="A87" s="246"/>
      <c r="B87" s="246"/>
      <c r="C87" s="246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</row>
    <row r="88" spans="1:15" ht="14.25" customHeight="1" x14ac:dyDescent="0.25">
      <c r="A88" s="246"/>
      <c r="B88" s="246"/>
      <c r="C88" s="246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</row>
    <row r="89" spans="1:15" ht="14.25" customHeight="1" x14ac:dyDescent="0.25">
      <c r="A89" s="246"/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</row>
    <row r="90" spans="1:15" ht="14.25" customHeight="1" x14ac:dyDescent="0.25">
      <c r="A90" s="246"/>
      <c r="B90" s="246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</row>
    <row r="91" spans="1:15" ht="14.25" customHeight="1" x14ac:dyDescent="0.25">
      <c r="A91" s="246"/>
      <c r="B91" s="246"/>
      <c r="C91" s="246"/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</row>
    <row r="92" spans="1:15" ht="14.25" customHeight="1" x14ac:dyDescent="0.25">
      <c r="A92" s="246"/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</row>
    <row r="93" spans="1:15" ht="14.25" customHeight="1" x14ac:dyDescent="0.25">
      <c r="A93" s="246"/>
      <c r="B93" s="246"/>
      <c r="C93" s="246"/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</row>
    <row r="94" spans="1:15" ht="14.25" customHeight="1" x14ac:dyDescent="0.25">
      <c r="A94" s="246"/>
      <c r="B94" s="246"/>
      <c r="C94" s="246"/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</row>
    <row r="95" spans="1:15" ht="15.75" customHeight="1" x14ac:dyDescent="0.25">
      <c r="A95" s="246"/>
      <c r="B95" s="246"/>
      <c r="C95" s="246"/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</row>
    <row r="96" spans="1:15" ht="15.75" customHeight="1" x14ac:dyDescent="0.25">
      <c r="A96" s="246"/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</row>
    <row r="97" spans="1:15" ht="15.75" customHeight="1" x14ac:dyDescent="0.25">
      <c r="A97" s="246"/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</row>
    <row r="98" spans="1:15" ht="15.75" customHeight="1" x14ac:dyDescent="0.25">
      <c r="A98" s="246"/>
      <c r="B98" s="246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</row>
    <row r="99" spans="1:15" ht="15.75" customHeight="1" x14ac:dyDescent="0.25">
      <c r="A99" s="246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</row>
    <row r="100" spans="1:15" ht="15.75" customHeight="1" x14ac:dyDescent="0.25">
      <c r="A100" s="246"/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</row>
    <row r="101" spans="1:15" ht="15.75" customHeight="1" x14ac:dyDescent="0.25">
      <c r="A101" s="246"/>
      <c r="B101" s="246"/>
      <c r="C101" s="246"/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</row>
  </sheetData>
  <mergeCells count="113">
    <mergeCell ref="J10:K10"/>
    <mergeCell ref="L10:M10"/>
    <mergeCell ref="D11:E11"/>
    <mergeCell ref="F11:G11"/>
    <mergeCell ref="H11:I11"/>
    <mergeCell ref="J11:K11"/>
    <mergeCell ref="L11:M11"/>
    <mergeCell ref="D3:I4"/>
    <mergeCell ref="D5:I6"/>
    <mergeCell ref="C7:F7"/>
    <mergeCell ref="C8:C9"/>
    <mergeCell ref="D8:I8"/>
    <mergeCell ref="D10:E10"/>
    <mergeCell ref="F10:G10"/>
    <mergeCell ref="H10:I10"/>
    <mergeCell ref="D12:E12"/>
    <mergeCell ref="F12:G12"/>
    <mergeCell ref="H12:I12"/>
    <mergeCell ref="J12:K12"/>
    <mergeCell ref="L12:M12"/>
    <mergeCell ref="D13:E13"/>
    <mergeCell ref="F13:G13"/>
    <mergeCell ref="H13:I13"/>
    <mergeCell ref="J13:K13"/>
    <mergeCell ref="L13:M13"/>
    <mergeCell ref="D16:E16"/>
    <mergeCell ref="F16:G16"/>
    <mergeCell ref="H16:I16"/>
    <mergeCell ref="J16:K16"/>
    <mergeCell ref="L16:M16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9:E19"/>
    <mergeCell ref="F19:G19"/>
    <mergeCell ref="H19:I19"/>
    <mergeCell ref="J19:K19"/>
    <mergeCell ref="L19:M19"/>
    <mergeCell ref="C24:H24"/>
    <mergeCell ref="D25:E25"/>
    <mergeCell ref="F25:G25"/>
    <mergeCell ref="H25:I25"/>
    <mergeCell ref="J25:K25"/>
    <mergeCell ref="L25:M25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26:E26"/>
    <mergeCell ref="F26:G26"/>
    <mergeCell ref="H26:I26"/>
    <mergeCell ref="J26:K26"/>
    <mergeCell ref="L26:M26"/>
    <mergeCell ref="D27:E27"/>
    <mergeCell ref="F27:G27"/>
    <mergeCell ref="H27:I27"/>
    <mergeCell ref="J27:K27"/>
    <mergeCell ref="L27:M27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H32:I32"/>
    <mergeCell ref="D36:E36"/>
    <mergeCell ref="F36:G36"/>
    <mergeCell ref="H36:I36"/>
    <mergeCell ref="J36:K36"/>
    <mergeCell ref="L36:M36"/>
    <mergeCell ref="D30:E30"/>
    <mergeCell ref="F30:G30"/>
    <mergeCell ref="H30:I30"/>
    <mergeCell ref="J30:K30"/>
    <mergeCell ref="L30:M30"/>
    <mergeCell ref="D31:E31"/>
    <mergeCell ref="F31:G31"/>
    <mergeCell ref="H31:I31"/>
    <mergeCell ref="J31:K31"/>
    <mergeCell ref="L31:M31"/>
    <mergeCell ref="D39:E39"/>
    <mergeCell ref="F39:G39"/>
    <mergeCell ref="H39:I39"/>
    <mergeCell ref="J39:K39"/>
    <mergeCell ref="L39:M39"/>
    <mergeCell ref="F44:G44"/>
    <mergeCell ref="D37:E37"/>
    <mergeCell ref="F37:G37"/>
    <mergeCell ref="H37:I37"/>
    <mergeCell ref="J37:K37"/>
    <mergeCell ref="L37:M37"/>
    <mergeCell ref="D38:E38"/>
    <mergeCell ref="F38:G38"/>
    <mergeCell ref="H38:I38"/>
    <mergeCell ref="J38:K38"/>
    <mergeCell ref="L38:M38"/>
  </mergeCells>
  <dataValidations disablePrompts="1" count="2">
    <dataValidation type="list" allowBlank="1" showErrorMessage="1" sqref="D15" xr:uid="{113294C7-5FBA-47AB-8120-9F0C4784F243}">
      <formula1>#REF!</formula1>
    </dataValidation>
    <dataValidation type="list" allowBlank="1" showErrorMessage="1" sqref="F15 L15 J15 H15" xr:uid="{3262DE75-E8D2-44EF-A7FA-F962EDCFB866}">
      <formula1>$C$8:$C$26</formula1>
    </dataValidation>
  </dataValidations>
  <pageMargins left="0.511811024" right="0.511811024" top="0.78740157499999996" bottom="0.78740157499999996" header="0" footer="0"/>
  <pageSetup paperSize="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D1D4-408A-47FA-AC5B-5CD965037664}">
  <sheetPr>
    <pageSetUpPr fitToPage="1"/>
  </sheetPr>
  <dimension ref="A1:U110"/>
  <sheetViews>
    <sheetView zoomScale="85" zoomScaleNormal="85" workbookViewId="0">
      <selection activeCell="B69" sqref="B69"/>
    </sheetView>
  </sheetViews>
  <sheetFormatPr defaultColWidth="14.42578125" defaultRowHeight="15" customHeight="1" x14ac:dyDescent="0.25"/>
  <cols>
    <col min="1" max="1" width="4" style="243" customWidth="1"/>
    <col min="2" max="2" width="12.85546875" style="243" customWidth="1"/>
    <col min="3" max="4" width="6.85546875" style="243" customWidth="1"/>
    <col min="5" max="5" width="9" style="243" customWidth="1"/>
    <col min="6" max="6" width="14.42578125" style="243" customWidth="1"/>
    <col min="7" max="7" width="24" style="243" bestFit="1" customWidth="1"/>
    <col min="8" max="9" width="15.140625" style="243" customWidth="1"/>
    <col min="10" max="10" width="15" style="243" bestFit="1" customWidth="1"/>
    <col min="11" max="17" width="15.7109375" style="243" customWidth="1"/>
    <col min="18" max="18" width="15" style="243" customWidth="1"/>
    <col min="19" max="19" width="1.42578125" style="243" customWidth="1"/>
    <col min="20" max="16384" width="14.42578125" style="243"/>
  </cols>
  <sheetData>
    <row r="1" spans="1:21" ht="15.75" thickBot="1" x14ac:dyDescent="0.3">
      <c r="A1" s="246"/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1" ht="18.75" customHeight="1" x14ac:dyDescent="0.25">
      <c r="A2" s="246"/>
      <c r="B2" s="340" t="s">
        <v>49</v>
      </c>
      <c r="C2" s="341"/>
      <c r="D2" s="342"/>
      <c r="E2" s="328" t="s">
        <v>50</v>
      </c>
      <c r="F2" s="329"/>
      <c r="G2" s="329"/>
      <c r="H2" s="329"/>
      <c r="I2" s="330"/>
      <c r="J2" s="329"/>
      <c r="K2" s="329"/>
      <c r="L2" s="329"/>
      <c r="M2" s="329"/>
      <c r="N2" s="329"/>
      <c r="O2" s="329"/>
      <c r="P2" s="329"/>
      <c r="Q2" s="329"/>
      <c r="R2" s="330"/>
      <c r="S2" s="246"/>
    </row>
    <row r="3" spans="1:21" ht="18.75" customHeight="1" thickBot="1" x14ac:dyDescent="0.3">
      <c r="A3" s="246"/>
      <c r="B3" s="343">
        <v>0.375</v>
      </c>
      <c r="C3" s="344"/>
      <c r="D3" s="345"/>
      <c r="E3" s="331" t="s">
        <v>51</v>
      </c>
      <c r="F3" s="332"/>
      <c r="G3" s="332"/>
      <c r="H3" s="332"/>
      <c r="I3" s="333"/>
      <c r="J3" s="332"/>
      <c r="K3" s="332"/>
      <c r="L3" s="332"/>
      <c r="M3" s="332"/>
      <c r="N3" s="332"/>
      <c r="O3" s="332"/>
      <c r="P3" s="332"/>
      <c r="Q3" s="332"/>
      <c r="R3" s="333"/>
      <c r="S3" s="101"/>
    </row>
    <row r="4" spans="1:21" ht="30" customHeight="1" x14ac:dyDescent="0.25">
      <c r="A4" s="246"/>
      <c r="B4" s="339" t="s">
        <v>52</v>
      </c>
      <c r="C4" s="326" t="s">
        <v>53</v>
      </c>
      <c r="D4" s="326" t="s">
        <v>225</v>
      </c>
      <c r="E4" s="326" t="s">
        <v>54</v>
      </c>
      <c r="F4" s="334" t="s">
        <v>55</v>
      </c>
      <c r="G4" s="326" t="s">
        <v>56</v>
      </c>
      <c r="H4" s="326" t="s">
        <v>57</v>
      </c>
      <c r="I4" s="247" t="s">
        <v>233</v>
      </c>
      <c r="J4" s="326" t="s">
        <v>58</v>
      </c>
      <c r="K4" s="326" t="s">
        <v>59</v>
      </c>
      <c r="L4" s="326" t="s">
        <v>60</v>
      </c>
      <c r="M4" s="326" t="s">
        <v>61</v>
      </c>
      <c r="N4" s="326" t="s">
        <v>62</v>
      </c>
      <c r="O4" s="326" t="s">
        <v>63</v>
      </c>
      <c r="P4" s="326" t="s">
        <v>64</v>
      </c>
      <c r="Q4" s="326" t="s">
        <v>65</v>
      </c>
      <c r="R4" s="326" t="s">
        <v>66</v>
      </c>
      <c r="S4" s="102"/>
      <c r="U4" s="243" t="s">
        <v>224</v>
      </c>
    </row>
    <row r="5" spans="1:21" x14ac:dyDescent="0.25">
      <c r="A5" s="246"/>
      <c r="B5" s="327"/>
      <c r="C5" s="327"/>
      <c r="D5" s="336"/>
      <c r="E5" s="327"/>
      <c r="F5" s="335"/>
      <c r="G5" s="327"/>
      <c r="H5" s="327"/>
      <c r="I5" s="226">
        <v>1.4999999999999999E-2</v>
      </c>
      <c r="J5" s="327"/>
      <c r="K5" s="327"/>
      <c r="L5" s="335"/>
      <c r="M5" s="335"/>
      <c r="N5" s="335"/>
      <c r="O5" s="335"/>
      <c r="P5" s="327"/>
      <c r="Q5" s="327"/>
      <c r="R5" s="327"/>
      <c r="S5" s="102"/>
    </row>
    <row r="6" spans="1:21" x14ac:dyDescent="0.25">
      <c r="A6" s="246"/>
      <c r="B6" s="103" t="s">
        <v>85</v>
      </c>
      <c r="C6" s="202">
        <f t="shared" ref="C6:C63" si="0">+E6*$B$3</f>
        <v>1.125</v>
      </c>
      <c r="D6" s="204" t="e">
        <f>ABS('Preço SFCR-GROWATT TRINA 375Wp'!$G$43-C6)</f>
        <v>#DIV/0!</v>
      </c>
      <c r="E6" s="105">
        <f>+'FRONIUS-BYD 335Wp'!E6</f>
        <v>3</v>
      </c>
      <c r="F6" s="112">
        <f>+IF(K6=0,"",ROUND(M6/(1-'Tabela de BDI'!$C$3),0))</f>
        <v>8194</v>
      </c>
      <c r="G6" s="230" t="s">
        <v>196</v>
      </c>
      <c r="H6" s="106"/>
      <c r="I6" s="146">
        <v>4559.57</v>
      </c>
      <c r="J6" s="149">
        <f>+I6/(1-$I$5)</f>
        <v>4629.0050761421317</v>
      </c>
      <c r="K6" s="106">
        <f t="shared" ref="K6:K63" si="1">+H6+J6</f>
        <v>4629.0050761421317</v>
      </c>
      <c r="L6" s="106">
        <f>+'FRONIUS-BYD 335Wp'!L6</f>
        <v>2500</v>
      </c>
      <c r="M6" s="106">
        <f t="shared" ref="M6:M63" si="2">+K6+L6</f>
        <v>7129.0050761421317</v>
      </c>
      <c r="N6" s="106">
        <f>+IF(F6="","",F6*'Tabela de BDI'!$C$7)</f>
        <v>655.52</v>
      </c>
      <c r="O6" s="106">
        <f>IF(F6="","",F6*'Tabela de BDI'!$C$8)</f>
        <v>409.70000000000005</v>
      </c>
      <c r="P6" s="109">
        <f t="shared" ref="P6:P63" si="3">IF(F6="","",(F6-K6)/K6)</f>
        <v>0.77014279855337253</v>
      </c>
      <c r="Q6" s="110">
        <f t="shared" ref="Q6:Q65" si="4">IF(F6="","",(F6/C6)/1000)</f>
        <v>7.283555555555556</v>
      </c>
      <c r="R6" s="111">
        <f>+'Tabela de BDI'!$F$9*C6</f>
        <v>135</v>
      </c>
      <c r="S6" s="102"/>
    </row>
    <row r="7" spans="1:21" x14ac:dyDescent="0.25">
      <c r="A7" s="246"/>
      <c r="B7" s="103" t="s">
        <v>85</v>
      </c>
      <c r="C7" s="202">
        <f t="shared" si="0"/>
        <v>1.5</v>
      </c>
      <c r="D7" s="204" t="e">
        <f>ABS('Preço SFCR-GROWATT TRINA 375Wp'!$G$43-C7)</f>
        <v>#DIV/0!</v>
      </c>
      <c r="E7" s="105">
        <f>+'FRONIUS-BYD 335Wp'!E7</f>
        <v>4</v>
      </c>
      <c r="F7" s="112">
        <f>+IF(K7=0,"",ROUND(M7/(1-'Tabela de BDI'!$C$3),0))</f>
        <v>9223</v>
      </c>
      <c r="G7" s="147" t="s">
        <v>196</v>
      </c>
      <c r="H7" s="106"/>
      <c r="I7" s="146">
        <v>5318.02</v>
      </c>
      <c r="J7" s="149">
        <f t="shared" ref="J7:J51" si="5">+I7/(1-$I$5)</f>
        <v>5399.0050761421326</v>
      </c>
      <c r="K7" s="106">
        <f t="shared" si="1"/>
        <v>5399.0050761421326</v>
      </c>
      <c r="L7" s="106">
        <f>+'FRONIUS-BYD 335Wp'!L7</f>
        <v>2625</v>
      </c>
      <c r="M7" s="106">
        <f t="shared" si="2"/>
        <v>8024.0050761421326</v>
      </c>
      <c r="N7" s="106">
        <f>+IF(F7="","",F7*'Tabela de BDI'!$C$7)</f>
        <v>737.84</v>
      </c>
      <c r="O7" s="106">
        <f>IF(F7="","",F7*'Tabela de BDI'!$C$8)</f>
        <v>461.15000000000003</v>
      </c>
      <c r="P7" s="109">
        <f t="shared" si="3"/>
        <v>0.70827770486007935</v>
      </c>
      <c r="Q7" s="110">
        <f t="shared" si="4"/>
        <v>6.1486666666666672</v>
      </c>
      <c r="R7" s="111">
        <f>+'Tabela de BDI'!$F$9*C7</f>
        <v>180</v>
      </c>
      <c r="S7" s="102"/>
    </row>
    <row r="8" spans="1:21" x14ac:dyDescent="0.25">
      <c r="A8" s="246"/>
      <c r="B8" s="103" t="s">
        <v>85</v>
      </c>
      <c r="C8" s="202">
        <f t="shared" si="0"/>
        <v>1.875</v>
      </c>
      <c r="D8" s="204" t="e">
        <f>ABS('Preço SFCR-GROWATT TRINA 375Wp'!$G$43-C8)</f>
        <v>#DIV/0!</v>
      </c>
      <c r="E8" s="105">
        <f>+'FRONIUS-BYD 335Wp'!E8</f>
        <v>5</v>
      </c>
      <c r="F8" s="112">
        <f>+IF(K8=0,"",ROUND(M8/(1-'Tabela de BDI'!$C$3),0))</f>
        <v>10631</v>
      </c>
      <c r="G8" s="230" t="s">
        <v>267</v>
      </c>
      <c r="H8" s="106"/>
      <c r="I8" s="146">
        <v>6401.52</v>
      </c>
      <c r="J8" s="149">
        <f t="shared" si="5"/>
        <v>6499.0050761421326</v>
      </c>
      <c r="K8" s="106">
        <f t="shared" si="1"/>
        <v>6499.0050761421326</v>
      </c>
      <c r="L8" s="106">
        <f>+'FRONIUS-BYD 335Wp'!L8</f>
        <v>2750</v>
      </c>
      <c r="M8" s="106">
        <f t="shared" si="2"/>
        <v>9249.0050761421335</v>
      </c>
      <c r="N8" s="106">
        <f>+IF(F8="","",F8*'Tabela de BDI'!$C$7)</f>
        <v>850.48</v>
      </c>
      <c r="O8" s="106">
        <f>IF(F8="","",F8*'Tabela de BDI'!$C$8)</f>
        <v>531.55000000000007</v>
      </c>
      <c r="P8" s="109">
        <f t="shared" si="3"/>
        <v>0.63578884389957369</v>
      </c>
      <c r="Q8" s="110">
        <f t="shared" si="4"/>
        <v>5.6698666666666666</v>
      </c>
      <c r="R8" s="111">
        <f>+'Tabela de BDI'!$F$9*C8</f>
        <v>225</v>
      </c>
      <c r="S8" s="102"/>
    </row>
    <row r="9" spans="1:21" x14ac:dyDescent="0.25">
      <c r="A9" s="246"/>
      <c r="B9" s="103" t="s">
        <v>85</v>
      </c>
      <c r="C9" s="202">
        <f t="shared" si="0"/>
        <v>2.25</v>
      </c>
      <c r="D9" s="204" t="e">
        <f>ABS('Preço SFCR-GROWATT TRINA 375Wp'!$G$43-C9)</f>
        <v>#DIV/0!</v>
      </c>
      <c r="E9" s="105">
        <f>+'FRONIUS-BYD 335Wp'!E9</f>
        <v>6</v>
      </c>
      <c r="F9" s="112">
        <f>+IF(K9=0,"",ROUND(M9/(1-'Tabela de BDI'!$C$3),0))</f>
        <v>11786</v>
      </c>
      <c r="G9" s="107" t="s">
        <v>197</v>
      </c>
      <c r="H9" s="106"/>
      <c r="I9" s="146">
        <v>7268.32</v>
      </c>
      <c r="J9" s="149">
        <f t="shared" si="5"/>
        <v>7379.0050761421317</v>
      </c>
      <c r="K9" s="106">
        <f t="shared" si="1"/>
        <v>7379.0050761421317</v>
      </c>
      <c r="L9" s="106">
        <f>+'FRONIUS-BYD 335Wp'!L9</f>
        <v>2875</v>
      </c>
      <c r="M9" s="106">
        <f t="shared" si="2"/>
        <v>10254.005076142132</v>
      </c>
      <c r="N9" s="106">
        <f>+IF(F9="","",F9*'Tabela de BDI'!$C$7)</f>
        <v>942.88</v>
      </c>
      <c r="O9" s="106">
        <f>IF(F9="","",F9*'Tabela de BDI'!$C$8)</f>
        <v>589.30000000000007</v>
      </c>
      <c r="P9" s="109">
        <f t="shared" si="3"/>
        <v>0.5972342989851851</v>
      </c>
      <c r="Q9" s="110">
        <f t="shared" si="4"/>
        <v>5.2382222222222223</v>
      </c>
      <c r="R9" s="111">
        <f>+'Tabela de BDI'!$F$9*C9</f>
        <v>270</v>
      </c>
      <c r="S9" s="102"/>
    </row>
    <row r="10" spans="1:21" x14ac:dyDescent="0.25">
      <c r="A10" s="246"/>
      <c r="B10" s="103" t="s">
        <v>85</v>
      </c>
      <c r="C10" s="202">
        <f t="shared" si="0"/>
        <v>2.625</v>
      </c>
      <c r="D10" s="204" t="e">
        <f>ABS('Preço SFCR-GROWATT TRINA 375Wp'!$G$43-C10)</f>
        <v>#DIV/0!</v>
      </c>
      <c r="E10" s="105">
        <f>+'FRONIUS-BYD 335Wp'!E10</f>
        <v>7</v>
      </c>
      <c r="F10" s="112">
        <f>+IF(K10=0,"",ROUND(M10/(1-'Tabela de BDI'!$C$3),0))</f>
        <v>12895</v>
      </c>
      <c r="G10" s="156" t="s">
        <v>216</v>
      </c>
      <c r="H10" s="106"/>
      <c r="I10" s="146">
        <v>8095.72</v>
      </c>
      <c r="J10" s="149">
        <f t="shared" si="5"/>
        <v>8219.0050761421317</v>
      </c>
      <c r="K10" s="106">
        <f t="shared" si="1"/>
        <v>8219.0050761421317</v>
      </c>
      <c r="L10" s="106">
        <f>+'FRONIUS-BYD 335Wp'!L10</f>
        <v>3000</v>
      </c>
      <c r="M10" s="106">
        <f t="shared" si="2"/>
        <v>11219.005076142132</v>
      </c>
      <c r="N10" s="106">
        <f>+IF(F10="","",F10*'Tabela de BDI'!$C$7)</f>
        <v>1031.5999999999999</v>
      </c>
      <c r="O10" s="106">
        <f>IF(F10="","",F10*'Tabela de BDI'!$C$8)</f>
        <v>644.75</v>
      </c>
      <c r="P10" s="109">
        <f t="shared" si="3"/>
        <v>0.56892469107133159</v>
      </c>
      <c r="Q10" s="110">
        <f t="shared" si="4"/>
        <v>4.9123809523809525</v>
      </c>
      <c r="R10" s="111">
        <f>+'Tabela de BDI'!$F$9*C10</f>
        <v>315</v>
      </c>
      <c r="S10" s="102"/>
    </row>
    <row r="11" spans="1:21" x14ac:dyDescent="0.25">
      <c r="A11" s="246"/>
      <c r="B11" s="103" t="s">
        <v>85</v>
      </c>
      <c r="C11" s="202">
        <f t="shared" si="0"/>
        <v>3</v>
      </c>
      <c r="D11" s="204" t="e">
        <f>ABS('Preço SFCR-GROWATT TRINA 375Wp'!$G$43-C11)</f>
        <v>#DIV/0!</v>
      </c>
      <c r="E11" s="105">
        <f>+'FRONIUS-BYD 335Wp'!E11</f>
        <v>8</v>
      </c>
      <c r="F11" s="112">
        <f>+IF(K11=0,"",ROUND(M11/(1-'Tabela de BDI'!$C$3),0))</f>
        <v>13913</v>
      </c>
      <c r="G11" s="156" t="s">
        <v>216</v>
      </c>
      <c r="H11" s="106"/>
      <c r="I11" s="169">
        <v>8844.32</v>
      </c>
      <c r="J11" s="149">
        <f t="shared" si="5"/>
        <v>8979.0050761421317</v>
      </c>
      <c r="K11" s="106">
        <f t="shared" si="1"/>
        <v>8979.0050761421317</v>
      </c>
      <c r="L11" s="106">
        <f>+'FRONIUS-BYD 335Wp'!L11</f>
        <v>3125</v>
      </c>
      <c r="M11" s="106">
        <f t="shared" si="2"/>
        <v>12104.005076142132</v>
      </c>
      <c r="N11" s="106">
        <f>+IF(F11="","",F11*'Tabela de BDI'!$C$7)</f>
        <v>1113.04</v>
      </c>
      <c r="O11" s="106">
        <f>IF(F11="","",F11*'Tabela de BDI'!$C$8)</f>
        <v>695.65000000000009</v>
      </c>
      <c r="P11" s="109">
        <f t="shared" si="3"/>
        <v>0.54950352316515017</v>
      </c>
      <c r="Q11" s="110">
        <f t="shared" si="4"/>
        <v>4.637666666666667</v>
      </c>
      <c r="R11" s="111">
        <f>+'Tabela de BDI'!$F$9*C11</f>
        <v>360</v>
      </c>
      <c r="S11" s="102"/>
    </row>
    <row r="12" spans="1:21" x14ac:dyDescent="0.25">
      <c r="A12" s="246"/>
      <c r="B12" s="103" t="s">
        <v>85</v>
      </c>
      <c r="C12" s="202">
        <f t="shared" si="0"/>
        <v>3.375</v>
      </c>
      <c r="D12" s="204" t="e">
        <f>ABS('Preço SFCR-GROWATT TRINA 375Wp'!$G$43-C12)</f>
        <v>#DIV/0!</v>
      </c>
      <c r="E12" s="105">
        <f>+'FRONIUS-BYD 335Wp'!E12</f>
        <v>9</v>
      </c>
      <c r="F12" s="112">
        <f>+IF(K12=0,"",ROUND(M12/(1-'Tabela de BDI'!$C$3),0))</f>
        <v>15505</v>
      </c>
      <c r="G12" s="156" t="s">
        <v>217</v>
      </c>
      <c r="H12" s="106"/>
      <c r="I12" s="146">
        <v>10085.42</v>
      </c>
      <c r="J12" s="149">
        <f t="shared" si="5"/>
        <v>10239.005076142132</v>
      </c>
      <c r="K12" s="106">
        <f t="shared" si="1"/>
        <v>10239.005076142132</v>
      </c>
      <c r="L12" s="106">
        <f>+'FRONIUS-BYD 335Wp'!L12</f>
        <v>3250</v>
      </c>
      <c r="M12" s="106">
        <f t="shared" si="2"/>
        <v>13489.005076142132</v>
      </c>
      <c r="N12" s="106">
        <f>+IF(F12="","",F12*'Tabela de BDI'!$C$7)</f>
        <v>1240.4000000000001</v>
      </c>
      <c r="O12" s="106">
        <f>IF(F12="","",F12*'Tabela de BDI'!$C$8)</f>
        <v>775.25</v>
      </c>
      <c r="P12" s="109">
        <f t="shared" si="3"/>
        <v>0.51430728715313789</v>
      </c>
      <c r="Q12" s="110">
        <f t="shared" si="4"/>
        <v>4.594074074074074</v>
      </c>
      <c r="R12" s="111">
        <f>+'Tabela de BDI'!$F$9*C12</f>
        <v>405</v>
      </c>
      <c r="S12" s="102"/>
    </row>
    <row r="13" spans="1:21" x14ac:dyDescent="0.25">
      <c r="A13" s="246"/>
      <c r="B13" s="103" t="s">
        <v>85</v>
      </c>
      <c r="C13" s="202">
        <f t="shared" si="0"/>
        <v>3.75</v>
      </c>
      <c r="D13" s="204" t="e">
        <f>ABS('Preço SFCR-GROWATT TRINA 375Wp'!$G$43-C13)</f>
        <v>#DIV/0!</v>
      </c>
      <c r="E13" s="105">
        <f>+'FRONIUS-BYD 335Wp'!E13</f>
        <v>10</v>
      </c>
      <c r="F13" s="112">
        <f>+IF(K13=0,"",ROUND(M13/(1-'Tabela de BDI'!$C$3),0))</f>
        <v>16522</v>
      </c>
      <c r="G13" s="156" t="s">
        <v>217</v>
      </c>
      <c r="H13" s="157"/>
      <c r="I13" s="170">
        <v>10834.02</v>
      </c>
      <c r="J13" s="149">
        <f t="shared" si="5"/>
        <v>10999.005076142133</v>
      </c>
      <c r="K13" s="106">
        <f t="shared" si="1"/>
        <v>10999.005076142133</v>
      </c>
      <c r="L13" s="106">
        <f>+'FRONIUS-BYD 335Wp'!L13</f>
        <v>3375</v>
      </c>
      <c r="M13" s="106">
        <f t="shared" si="2"/>
        <v>14374.005076142133</v>
      </c>
      <c r="N13" s="106">
        <f>+IF(F13="","",F13*'Tabela de BDI'!$C$7)</f>
        <v>1321.76</v>
      </c>
      <c r="O13" s="106">
        <f>IF(F13="","",F13*'Tabela de BDI'!$C$8)</f>
        <v>826.1</v>
      </c>
      <c r="P13" s="109">
        <f t="shared" si="3"/>
        <v>0.50213586461904236</v>
      </c>
      <c r="Q13" s="110">
        <f t="shared" si="4"/>
        <v>4.4058666666666664</v>
      </c>
      <c r="R13" s="111">
        <f>+'Tabela de BDI'!$F$9*C13</f>
        <v>450</v>
      </c>
      <c r="S13" s="114"/>
    </row>
    <row r="14" spans="1:21" x14ac:dyDescent="0.25">
      <c r="A14" s="246"/>
      <c r="B14" s="103" t="s">
        <v>85</v>
      </c>
      <c r="C14" s="202">
        <f t="shared" si="0"/>
        <v>4.125</v>
      </c>
      <c r="D14" s="204" t="e">
        <f>ABS('Preço SFCR-GROWATT TRINA 375Wp'!$G$43-C14)</f>
        <v>#DIV/0!</v>
      </c>
      <c r="E14" s="105">
        <f>+'FRONIUS-BYD 335Wp'!E14</f>
        <v>11</v>
      </c>
      <c r="F14" s="112">
        <f>+IF(K14=0,"",ROUND(M14/(1-'Tabela de BDI'!$C$3),0))</f>
        <v>17551</v>
      </c>
      <c r="G14" s="156" t="s">
        <v>217</v>
      </c>
      <c r="H14" s="106"/>
      <c r="I14" s="227">
        <v>11592.47</v>
      </c>
      <c r="J14" s="149">
        <f t="shared" si="5"/>
        <v>11769.005076142132</v>
      </c>
      <c r="K14" s="106">
        <f t="shared" si="1"/>
        <v>11769.005076142132</v>
      </c>
      <c r="L14" s="106">
        <f>+'FRONIUS-BYD 335Wp'!L14</f>
        <v>3500</v>
      </c>
      <c r="M14" s="106">
        <f t="shared" si="2"/>
        <v>15269.005076142132</v>
      </c>
      <c r="N14" s="106">
        <f>+IF(F14="","",F14*'Tabela de BDI'!$C$7)</f>
        <v>1404.08</v>
      </c>
      <c r="O14" s="106">
        <f>IF(F14="","",F14*'Tabela de BDI'!$C$8)</f>
        <v>877.55000000000007</v>
      </c>
      <c r="P14" s="109">
        <f t="shared" si="3"/>
        <v>0.49129003568695889</v>
      </c>
      <c r="Q14" s="110">
        <f t="shared" si="4"/>
        <v>4.2547878787878792</v>
      </c>
      <c r="R14" s="111">
        <f>+'Tabela de BDI'!$F$9*C14</f>
        <v>495</v>
      </c>
      <c r="S14" s="114"/>
    </row>
    <row r="15" spans="1:21" x14ac:dyDescent="0.25">
      <c r="A15" s="246"/>
      <c r="B15" s="103" t="s">
        <v>85</v>
      </c>
      <c r="C15" s="202">
        <f t="shared" si="0"/>
        <v>4.5</v>
      </c>
      <c r="D15" s="204" t="e">
        <f>ABS('Preço SFCR-GROWATT TRINA 375Wp'!$G$43-C15)</f>
        <v>#DIV/0!</v>
      </c>
      <c r="E15" s="105">
        <f>+'FRONIUS-BYD 335Wp'!E15</f>
        <v>12</v>
      </c>
      <c r="F15" s="112">
        <f>+IF(K15=0,"",ROUND(M15/(1-'Tabela de BDI'!$C$3),0))</f>
        <v>20694</v>
      </c>
      <c r="G15" s="107" t="s">
        <v>80</v>
      </c>
      <c r="H15" s="106"/>
      <c r="I15" s="146">
        <v>14163.32</v>
      </c>
      <c r="J15" s="149">
        <f t="shared" si="5"/>
        <v>14379.005076142132</v>
      </c>
      <c r="K15" s="106">
        <f t="shared" si="1"/>
        <v>14379.005076142132</v>
      </c>
      <c r="L15" s="106">
        <f>+'FRONIUS-BYD 335Wp'!L15</f>
        <v>3625</v>
      </c>
      <c r="M15" s="106">
        <f t="shared" si="2"/>
        <v>18004.00507614213</v>
      </c>
      <c r="N15" s="106">
        <f>+IF(F15="","",F15*'Tabela de BDI'!$C$7)</f>
        <v>1655.52</v>
      </c>
      <c r="O15" s="106">
        <f>IF(F15="","",F15*'Tabela de BDI'!$C$8)</f>
        <v>1034.7</v>
      </c>
      <c r="P15" s="109">
        <f t="shared" si="3"/>
        <v>0.43918163255507892</v>
      </c>
      <c r="Q15" s="110">
        <f t="shared" si="4"/>
        <v>4.5986666666666673</v>
      </c>
      <c r="R15" s="111">
        <f>+'Tabela de BDI'!$F$9*C15</f>
        <v>540</v>
      </c>
      <c r="S15" s="114"/>
    </row>
    <row r="16" spans="1:21" s="282" customFormat="1" x14ac:dyDescent="0.25">
      <c r="A16" s="285"/>
      <c r="B16" s="103" t="s">
        <v>85</v>
      </c>
      <c r="C16" s="202">
        <f t="shared" ref="C16" si="6">+E16*$B$3</f>
        <v>4.875</v>
      </c>
      <c r="D16" s="204" t="e">
        <f>ABS('Preço SFCR-GROWATT TRINA 375Wp'!$G$43-C16)</f>
        <v>#DIV/0!</v>
      </c>
      <c r="E16" s="105">
        <f>+'FRONIUS-BYD 335Wp'!E16</f>
        <v>13</v>
      </c>
      <c r="F16" s="112" t="str">
        <f>+IF(K16=0,"",ROUND(M16/(1-'Tabela de BDI'!$C$3),0))</f>
        <v/>
      </c>
      <c r="G16" s="107"/>
      <c r="H16" s="106"/>
      <c r="I16" s="146"/>
      <c r="J16" s="149">
        <f t="shared" ref="J16" si="7">+I16/(1-$I$5)</f>
        <v>0</v>
      </c>
      <c r="K16" s="106">
        <f t="shared" ref="K16" si="8">+H16+J16</f>
        <v>0</v>
      </c>
      <c r="L16" s="106">
        <f>+'FRONIUS-BYD 335Wp'!L16</f>
        <v>3750</v>
      </c>
      <c r="M16" s="106">
        <f t="shared" ref="M16" si="9">+K16+L16</f>
        <v>3750</v>
      </c>
      <c r="N16" s="106" t="str">
        <f>+IF(F16="","",F16*'Tabela de BDI'!$C$7)</f>
        <v/>
      </c>
      <c r="O16" s="106" t="str">
        <f>IF(F16="","",F16*'Tabela de BDI'!$C$8)</f>
        <v/>
      </c>
      <c r="P16" s="109" t="str">
        <f t="shared" ref="P16" si="10">IF(F16="","",(F16-K16)/K16)</f>
        <v/>
      </c>
      <c r="Q16" s="110" t="str">
        <f t="shared" ref="Q16" si="11">IF(F16="","",(F16/C16)/1000)</f>
        <v/>
      </c>
      <c r="R16" s="111">
        <f>+'Tabela de BDI'!$F$9*C16</f>
        <v>585</v>
      </c>
      <c r="S16" s="114"/>
    </row>
    <row r="17" spans="1:19" x14ac:dyDescent="0.25">
      <c r="A17" s="246"/>
      <c r="B17" s="103" t="s">
        <v>85</v>
      </c>
      <c r="C17" s="202">
        <f t="shared" si="0"/>
        <v>5.25</v>
      </c>
      <c r="D17" s="204" t="e">
        <f>ABS('Preço SFCR-GROWATT TRINA 375Wp'!$G$43-C17)</f>
        <v>#DIV/0!</v>
      </c>
      <c r="E17" s="105">
        <f>+'FRONIUS-BYD 335Wp'!E17</f>
        <v>14</v>
      </c>
      <c r="F17" s="112">
        <f>+IF(K17=0,"",ROUND(M17/(1-'Tabela de BDI'!$C$3),0))</f>
        <v>23131</v>
      </c>
      <c r="G17" s="107" t="s">
        <v>80</v>
      </c>
      <c r="H17" s="106"/>
      <c r="I17" s="146">
        <v>16005.27</v>
      </c>
      <c r="J17" s="149">
        <f t="shared" si="5"/>
        <v>16249.005076142133</v>
      </c>
      <c r="K17" s="106">
        <f t="shared" si="1"/>
        <v>16249.005076142133</v>
      </c>
      <c r="L17" s="106">
        <f>+'FRONIUS-BYD 335Wp'!L17</f>
        <v>3875</v>
      </c>
      <c r="M17" s="106">
        <f t="shared" si="2"/>
        <v>20124.005076142133</v>
      </c>
      <c r="N17" s="106">
        <f>+IF(F17="","",F17*'Tabela de BDI'!$C$7)</f>
        <v>1850.48</v>
      </c>
      <c r="O17" s="106">
        <f>IF(F17="","",F17*'Tabela de BDI'!$C$8)</f>
        <v>1156.55</v>
      </c>
      <c r="P17" s="109">
        <f t="shared" si="3"/>
        <v>0.42353331121561821</v>
      </c>
      <c r="Q17" s="110">
        <f t="shared" si="4"/>
        <v>4.4059047619047611</v>
      </c>
      <c r="R17" s="111">
        <f>+'Tabela de BDI'!$F$9*C17</f>
        <v>630</v>
      </c>
      <c r="S17" s="114"/>
    </row>
    <row r="18" spans="1:19" x14ac:dyDescent="0.25">
      <c r="A18" s="246"/>
      <c r="B18" s="103" t="s">
        <v>85</v>
      </c>
      <c r="C18" s="202">
        <f t="shared" si="0"/>
        <v>5.625</v>
      </c>
      <c r="D18" s="204" t="e">
        <f>ABS('Preço SFCR-GROWATT TRINA 375Wp'!$G$43-C18)</f>
        <v>#DIV/0!</v>
      </c>
      <c r="E18" s="105">
        <f>+'FRONIUS-BYD 335Wp'!E18</f>
        <v>15</v>
      </c>
      <c r="F18" s="112">
        <f>+IF(K18=0,"",ROUND(M18/(1-'Tabela de BDI'!$C$3),0))</f>
        <v>24160</v>
      </c>
      <c r="G18" s="107" t="s">
        <v>80</v>
      </c>
      <c r="H18" s="106"/>
      <c r="I18" s="146">
        <v>16763.72</v>
      </c>
      <c r="J18" s="149">
        <f t="shared" si="5"/>
        <v>17019.005076142133</v>
      </c>
      <c r="K18" s="106">
        <f t="shared" si="1"/>
        <v>17019.005076142133</v>
      </c>
      <c r="L18" s="106">
        <f>+'FRONIUS-BYD 335Wp'!L18</f>
        <v>4000</v>
      </c>
      <c r="M18" s="106">
        <f t="shared" si="2"/>
        <v>21019.005076142133</v>
      </c>
      <c r="N18" s="106">
        <f>+IF(F18="","",F18*'Tabela de BDI'!$C$7)</f>
        <v>1932.8</v>
      </c>
      <c r="O18" s="106">
        <f>IF(F18="","",F18*'Tabela de BDI'!$C$8)</f>
        <v>1208</v>
      </c>
      <c r="P18" s="109">
        <f t="shared" si="3"/>
        <v>0.41958944673377974</v>
      </c>
      <c r="Q18" s="110">
        <f t="shared" si="4"/>
        <v>4.2951111111111109</v>
      </c>
      <c r="R18" s="111">
        <f>+'Tabela de BDI'!$F$9*C18</f>
        <v>675</v>
      </c>
      <c r="S18" s="114"/>
    </row>
    <row r="19" spans="1:19" x14ac:dyDescent="0.25">
      <c r="A19" s="246"/>
      <c r="B19" s="103" t="s">
        <v>85</v>
      </c>
      <c r="C19" s="202">
        <f t="shared" si="0"/>
        <v>6</v>
      </c>
      <c r="D19" s="204" t="e">
        <f>ABS('Preço SFCR-GROWATT TRINA 375Wp'!$G$43-C19)</f>
        <v>#DIV/0!</v>
      </c>
      <c r="E19" s="105">
        <f>+'FRONIUS-BYD 335Wp'!E19</f>
        <v>16</v>
      </c>
      <c r="F19" s="112">
        <f>+IF(K19=0,"",ROUND(M19/(1-'Tabela de BDI'!$C$3),0))</f>
        <v>25177</v>
      </c>
      <c r="G19" s="107" t="s">
        <v>80</v>
      </c>
      <c r="H19" s="106"/>
      <c r="I19" s="146">
        <v>17512.32</v>
      </c>
      <c r="J19" s="149">
        <f t="shared" si="5"/>
        <v>17779.005076142133</v>
      </c>
      <c r="K19" s="106">
        <f t="shared" si="1"/>
        <v>17779.005076142133</v>
      </c>
      <c r="L19" s="106">
        <f>+'FRONIUS-BYD 335Wp'!L19</f>
        <v>4125</v>
      </c>
      <c r="M19" s="106">
        <f t="shared" si="2"/>
        <v>21904.005076142133</v>
      </c>
      <c r="N19" s="106">
        <f>+IF(F19="","",F19*'Tabela de BDI'!$C$7)</f>
        <v>2014.16</v>
      </c>
      <c r="O19" s="106">
        <f>IF(F19="","",F19*'Tabela de BDI'!$C$8)</f>
        <v>1258.8500000000001</v>
      </c>
      <c r="P19" s="109">
        <f t="shared" si="3"/>
        <v>0.41610848819573865</v>
      </c>
      <c r="Q19" s="110">
        <f t="shared" si="4"/>
        <v>4.1961666666666666</v>
      </c>
      <c r="R19" s="111">
        <f>+'Tabela de BDI'!$F$9*C19</f>
        <v>720</v>
      </c>
      <c r="S19" s="114"/>
    </row>
    <row r="20" spans="1:19" x14ac:dyDescent="0.25">
      <c r="A20" s="246"/>
      <c r="B20" s="103" t="s">
        <v>85</v>
      </c>
      <c r="C20" s="202">
        <f t="shared" si="0"/>
        <v>6.75</v>
      </c>
      <c r="D20" s="204" t="e">
        <f>ABS('Preço SFCR-GROWATT TRINA 375Wp'!$G$43-C20)</f>
        <v>#DIV/0!</v>
      </c>
      <c r="E20" s="105">
        <f>+'FRONIUS-BYD 335Wp'!E21</f>
        <v>18</v>
      </c>
      <c r="F20" s="112">
        <f>+IF(K20=0,"",ROUND(M20/(1-'Tabela de BDI'!$C$3),0))</f>
        <v>27993</v>
      </c>
      <c r="G20" s="230" t="s">
        <v>81</v>
      </c>
      <c r="H20" s="106"/>
      <c r="I20" s="146">
        <v>19679.32</v>
      </c>
      <c r="J20" s="149">
        <f t="shared" si="5"/>
        <v>19979.005076142133</v>
      </c>
      <c r="K20" s="106">
        <f t="shared" si="1"/>
        <v>19979.005076142133</v>
      </c>
      <c r="L20" s="106">
        <f>+'FRONIUS-BYD 335Wp'!L21</f>
        <v>4375</v>
      </c>
      <c r="M20" s="106">
        <f t="shared" si="2"/>
        <v>24354.005076142133</v>
      </c>
      <c r="N20" s="106">
        <f>+IF(F20="","",F20*'Tabela de BDI'!$C$7)</f>
        <v>2239.44</v>
      </c>
      <c r="O20" s="106">
        <f>IF(F20="","",F20*'Tabela de BDI'!$C$8)</f>
        <v>1399.65</v>
      </c>
      <c r="P20" s="109">
        <f t="shared" si="3"/>
        <v>0.40112082124788856</v>
      </c>
      <c r="Q20" s="110">
        <f t="shared" si="4"/>
        <v>4.1471111111111112</v>
      </c>
      <c r="R20" s="111">
        <f>+'Tabela de BDI'!$F$9*C20</f>
        <v>810</v>
      </c>
      <c r="S20" s="114"/>
    </row>
    <row r="21" spans="1:19" x14ac:dyDescent="0.25">
      <c r="A21" s="246"/>
      <c r="B21" s="103" t="s">
        <v>85</v>
      </c>
      <c r="C21" s="202">
        <f t="shared" si="0"/>
        <v>7.125</v>
      </c>
      <c r="D21" s="204" t="e">
        <f>ABS('Preço SFCR-GROWATT TRINA 375Wp'!$G$43-C21)</f>
        <v>#DIV/0!</v>
      </c>
      <c r="E21" s="105">
        <f>+'FRONIUS-BYD 335Wp'!E22</f>
        <v>19</v>
      </c>
      <c r="F21" s="112" t="str">
        <f>+IF(K21=0,"",ROUND(M21/(1-'Tabela de BDI'!$C$3),0))</f>
        <v/>
      </c>
      <c r="G21" s="107"/>
      <c r="H21" s="106"/>
      <c r="I21" s="146"/>
      <c r="J21" s="149">
        <f t="shared" si="5"/>
        <v>0</v>
      </c>
      <c r="K21" s="106">
        <f t="shared" si="1"/>
        <v>0</v>
      </c>
      <c r="L21" s="106">
        <f>+'FRONIUS-BYD 335Wp'!L22</f>
        <v>4500</v>
      </c>
      <c r="M21" s="106">
        <f t="shared" si="2"/>
        <v>4500</v>
      </c>
      <c r="N21" s="106" t="str">
        <f>+IF(F21="","",F21*'Tabela de BDI'!$C$7)</f>
        <v/>
      </c>
      <c r="O21" s="106" t="str">
        <f>IF(F21="","",F21*'Tabela de BDI'!$C$8)</f>
        <v/>
      </c>
      <c r="P21" s="109" t="str">
        <f t="shared" si="3"/>
        <v/>
      </c>
      <c r="Q21" s="110" t="str">
        <f t="shared" si="4"/>
        <v/>
      </c>
      <c r="R21" s="111">
        <f>+'Tabela de BDI'!$F$9*C21</f>
        <v>855</v>
      </c>
      <c r="S21" s="114"/>
    </row>
    <row r="22" spans="1:19" x14ac:dyDescent="0.25">
      <c r="A22" s="246"/>
      <c r="B22" s="103" t="s">
        <v>85</v>
      </c>
      <c r="C22" s="202">
        <f t="shared" si="0"/>
        <v>7.5</v>
      </c>
      <c r="D22" s="204" t="e">
        <f>ABS('Preço SFCR-GROWATT TRINA 375Wp'!$G$43-C22)</f>
        <v>#DIV/0!</v>
      </c>
      <c r="E22" s="105">
        <f>+'FRONIUS-BYD 335Wp'!E23</f>
        <v>20</v>
      </c>
      <c r="F22" s="112">
        <f>+IF(K22=0,"",ROUND(M22/(1-'Tabela de BDI'!$C$3),0))</f>
        <v>30039</v>
      </c>
      <c r="G22" s="230" t="s">
        <v>81</v>
      </c>
      <c r="H22" s="106"/>
      <c r="I22" s="146">
        <v>21186.37</v>
      </c>
      <c r="J22" s="149">
        <f t="shared" si="5"/>
        <v>21509.00507614213</v>
      </c>
      <c r="K22" s="106">
        <f t="shared" si="1"/>
        <v>21509.00507614213</v>
      </c>
      <c r="L22" s="106">
        <f>+'FRONIUS-BYD 335Wp'!L23</f>
        <v>4625</v>
      </c>
      <c r="M22" s="106">
        <f t="shared" si="2"/>
        <v>26134.00507614213</v>
      </c>
      <c r="N22" s="106">
        <f>+IF(F22="","",F22*'Tabela de BDI'!$C$7)</f>
        <v>2403.12</v>
      </c>
      <c r="O22" s="106">
        <f>IF(F22="","",F22*'Tabela de BDI'!$C$8)</f>
        <v>1501.95</v>
      </c>
      <c r="P22" s="109">
        <f t="shared" si="3"/>
        <v>0.39657784698369769</v>
      </c>
      <c r="Q22" s="110">
        <f t="shared" si="4"/>
        <v>4.0051999999999994</v>
      </c>
      <c r="R22" s="111">
        <f>+'Tabela de BDI'!$F$9*C22</f>
        <v>900</v>
      </c>
      <c r="S22" s="114"/>
    </row>
    <row r="23" spans="1:19" x14ac:dyDescent="0.25">
      <c r="A23" s="246"/>
      <c r="B23" s="103" t="s">
        <v>85</v>
      </c>
      <c r="C23" s="202">
        <f t="shared" si="0"/>
        <v>8.25</v>
      </c>
      <c r="D23" s="204" t="e">
        <f>ABS('Preço SFCR-GROWATT TRINA 375Wp'!$G$43-C23)</f>
        <v>#DIV/0!</v>
      </c>
      <c r="E23" s="105">
        <f>+'FRONIUS-BYD 335Wp'!E25</f>
        <v>22</v>
      </c>
      <c r="F23" s="112">
        <f>+IF(K23=0,"",ROUND(M23/(1-'Tabela de BDI'!$C$3),0))</f>
        <v>33292</v>
      </c>
      <c r="G23" s="230" t="s">
        <v>304</v>
      </c>
      <c r="H23" s="106"/>
      <c r="I23" s="146">
        <v>23727.67</v>
      </c>
      <c r="J23" s="149">
        <f t="shared" si="5"/>
        <v>24089.00507614213</v>
      </c>
      <c r="K23" s="106">
        <f t="shared" si="1"/>
        <v>24089.00507614213</v>
      </c>
      <c r="L23" s="106">
        <f>+'FRONIUS-BYD 335Wp'!L25</f>
        <v>4875</v>
      </c>
      <c r="M23" s="106">
        <f t="shared" si="2"/>
        <v>28964.00507614213</v>
      </c>
      <c r="N23" s="106">
        <f>+IF(F23="","",F23*'Tabela de BDI'!$C$7)</f>
        <v>2663.36</v>
      </c>
      <c r="O23" s="106">
        <f>IF(F23="","",F23*'Tabela de BDI'!$C$8)</f>
        <v>1664.6000000000001</v>
      </c>
      <c r="P23" s="109">
        <f t="shared" si="3"/>
        <v>0.38204130451915436</v>
      </c>
      <c r="Q23" s="110">
        <f t="shared" si="4"/>
        <v>4.0353939393939395</v>
      </c>
      <c r="R23" s="111">
        <f>+'Tabela de BDI'!$F$9*C23</f>
        <v>990</v>
      </c>
      <c r="S23" s="114"/>
    </row>
    <row r="24" spans="1:19" x14ac:dyDescent="0.25">
      <c r="A24" s="246"/>
      <c r="B24" s="103" t="s">
        <v>85</v>
      </c>
      <c r="C24" s="202">
        <f t="shared" si="0"/>
        <v>8.625</v>
      </c>
      <c r="D24" s="204" t="e">
        <f>ABS('Preço SFCR-GROWATT TRINA 375Wp'!$G$43-C24)</f>
        <v>#DIV/0!</v>
      </c>
      <c r="E24" s="105">
        <f>+'FRONIUS-BYD 335Wp'!E26</f>
        <v>23</v>
      </c>
      <c r="F24" s="112">
        <f>+IF(K24=0,"",ROUND(M24/(1-'Tabela de BDI'!$C$3),0))</f>
        <v>34321</v>
      </c>
      <c r="G24" s="230" t="s">
        <v>304</v>
      </c>
      <c r="H24" s="106"/>
      <c r="I24" s="146">
        <v>24486.12</v>
      </c>
      <c r="J24" s="149">
        <f t="shared" si="5"/>
        <v>24859.00507614213</v>
      </c>
      <c r="K24" s="106">
        <f t="shared" si="1"/>
        <v>24859.00507614213</v>
      </c>
      <c r="L24" s="106">
        <f>+'FRONIUS-BYD 335Wp'!L26</f>
        <v>5000</v>
      </c>
      <c r="M24" s="106">
        <f t="shared" si="2"/>
        <v>29859.00507614213</v>
      </c>
      <c r="N24" s="106">
        <f>+IF(F24="","",F24*'Tabela de BDI'!$C$7)</f>
        <v>2745.68</v>
      </c>
      <c r="O24" s="106">
        <f>IF(F24="","",F24*'Tabela de BDI'!$C$8)</f>
        <v>1716.0500000000002</v>
      </c>
      <c r="P24" s="109">
        <f t="shared" si="3"/>
        <v>0.38062645286390834</v>
      </c>
      <c r="Q24" s="110">
        <f t="shared" si="4"/>
        <v>3.9792463768115942</v>
      </c>
      <c r="R24" s="111">
        <f>+'Tabela de BDI'!$F$9*C24</f>
        <v>1035</v>
      </c>
      <c r="S24" s="114"/>
    </row>
    <row r="25" spans="1:19" x14ac:dyDescent="0.25">
      <c r="A25" s="246"/>
      <c r="B25" s="103" t="s">
        <v>85</v>
      </c>
      <c r="C25" s="202">
        <f t="shared" si="0"/>
        <v>9</v>
      </c>
      <c r="D25" s="204" t="e">
        <f>ABS('Preço SFCR-GROWATT TRINA 375Wp'!$G$43-C25)</f>
        <v>#DIV/0!</v>
      </c>
      <c r="E25" s="105">
        <f>+'FRONIUS-BYD 335Wp'!E27</f>
        <v>24</v>
      </c>
      <c r="F25" s="112">
        <f>+IF(K25=0,"",ROUND(M25/(1-'Tabela de BDI'!$C$3),0))</f>
        <v>35338</v>
      </c>
      <c r="G25" s="230" t="s">
        <v>304</v>
      </c>
      <c r="H25" s="106"/>
      <c r="I25" s="146">
        <v>25234.720000000001</v>
      </c>
      <c r="J25" s="149">
        <f t="shared" si="5"/>
        <v>25619.005076142133</v>
      </c>
      <c r="K25" s="106">
        <f t="shared" si="1"/>
        <v>25619.005076142133</v>
      </c>
      <c r="L25" s="106">
        <f>+'FRONIUS-BYD 335Wp'!L27</f>
        <v>5125</v>
      </c>
      <c r="M25" s="106">
        <f t="shared" si="2"/>
        <v>30744.005076142133</v>
      </c>
      <c r="N25" s="106">
        <f>+IF(F25="","",F25*'Tabela de BDI'!$C$7)</f>
        <v>2827.04</v>
      </c>
      <c r="O25" s="106">
        <f>IF(F25="","",F25*'Tabela de BDI'!$C$8)</f>
        <v>1766.9</v>
      </c>
      <c r="P25" s="109">
        <f t="shared" si="3"/>
        <v>0.37936660283926266</v>
      </c>
      <c r="Q25" s="110">
        <f t="shared" si="4"/>
        <v>3.9264444444444444</v>
      </c>
      <c r="R25" s="111">
        <f>+'Tabela de BDI'!$F$9*C25</f>
        <v>1080</v>
      </c>
      <c r="S25" s="114"/>
    </row>
    <row r="26" spans="1:19" x14ac:dyDescent="0.25">
      <c r="A26" s="246"/>
      <c r="B26" s="103" t="s">
        <v>85</v>
      </c>
      <c r="C26" s="202">
        <f t="shared" si="0"/>
        <v>9.375</v>
      </c>
      <c r="D26" s="204" t="e">
        <f>ABS('Preço SFCR-GROWATT TRINA 375Wp'!$G$43-C26)</f>
        <v>#DIV/0!</v>
      </c>
      <c r="E26" s="105">
        <f>+'FRONIUS-BYD 335Wp'!E28</f>
        <v>25</v>
      </c>
      <c r="F26" s="112">
        <f>+IF(K26=0,"",ROUND(M26/(1-'Tabela de BDI'!$C$3),0))</f>
        <v>36746</v>
      </c>
      <c r="G26" s="230" t="s">
        <v>304</v>
      </c>
      <c r="H26" s="106"/>
      <c r="I26" s="146">
        <v>26318.22</v>
      </c>
      <c r="J26" s="149">
        <f t="shared" si="5"/>
        <v>26719.005076142133</v>
      </c>
      <c r="K26" s="106">
        <f t="shared" si="1"/>
        <v>26719.005076142133</v>
      </c>
      <c r="L26" s="106">
        <f>+'FRONIUS-BYD 335Wp'!L28</f>
        <v>5250</v>
      </c>
      <c r="M26" s="106">
        <f t="shared" si="2"/>
        <v>31969.005076142133</v>
      </c>
      <c r="N26" s="106">
        <f>+IF(F26="","",F26*'Tabela de BDI'!$C$7)</f>
        <v>2939.68</v>
      </c>
      <c r="O26" s="106">
        <f>IF(F26="","",F26*'Tabela de BDI'!$C$8)</f>
        <v>1837.3000000000002</v>
      </c>
      <c r="P26" s="109">
        <f t="shared" si="3"/>
        <v>0.37527575953084963</v>
      </c>
      <c r="Q26" s="110">
        <f t="shared" si="4"/>
        <v>3.9195733333333331</v>
      </c>
      <c r="R26" s="111">
        <f>+'Tabela de BDI'!$F$9*C26</f>
        <v>1125</v>
      </c>
      <c r="S26" s="114"/>
    </row>
    <row r="27" spans="1:19" x14ac:dyDescent="0.25">
      <c r="A27" s="246"/>
      <c r="B27" s="103" t="s">
        <v>85</v>
      </c>
      <c r="C27" s="202">
        <f t="shared" si="0"/>
        <v>9.75</v>
      </c>
      <c r="D27" s="204" t="e">
        <f>ABS('Preço SFCR-GROWATT TRINA 375Wp'!$G$43-C27)</f>
        <v>#DIV/0!</v>
      </c>
      <c r="E27" s="105">
        <f>+'FRONIUS-BYD 335Wp'!E29</f>
        <v>26</v>
      </c>
      <c r="F27" s="112">
        <f>+IF(K27=0,"",ROUND(M27/(1-'Tabela de BDI'!$C$3),0))</f>
        <v>37775</v>
      </c>
      <c r="G27" s="230" t="s">
        <v>304</v>
      </c>
      <c r="H27" s="106"/>
      <c r="I27" s="227">
        <v>27076.67</v>
      </c>
      <c r="J27" s="149">
        <f t="shared" si="5"/>
        <v>27489.00507614213</v>
      </c>
      <c r="K27" s="106">
        <f t="shared" si="1"/>
        <v>27489.00507614213</v>
      </c>
      <c r="L27" s="106">
        <f>+'FRONIUS-BYD 335Wp'!L29</f>
        <v>5375</v>
      </c>
      <c r="M27" s="106">
        <f t="shared" si="2"/>
        <v>32864.00507614213</v>
      </c>
      <c r="N27" s="106">
        <f>+IF(F27="","",F27*'Tabela de BDI'!$C$7)</f>
        <v>3022</v>
      </c>
      <c r="O27" s="106">
        <f>IF(F27="","",F27*'Tabela de BDI'!$C$8)</f>
        <v>1888.75</v>
      </c>
      <c r="P27" s="109">
        <f t="shared" si="3"/>
        <v>0.3741857842932681</v>
      </c>
      <c r="Q27" s="110">
        <f t="shared" si="4"/>
        <v>3.8743589743589739</v>
      </c>
      <c r="R27" s="111">
        <f>+'Tabela de BDI'!$F$9*C27</f>
        <v>1170</v>
      </c>
      <c r="S27" s="114"/>
    </row>
    <row r="28" spans="1:19" x14ac:dyDescent="0.25">
      <c r="A28" s="246"/>
      <c r="B28" s="103" t="s">
        <v>85</v>
      </c>
      <c r="C28" s="202">
        <f t="shared" si="0"/>
        <v>10.5</v>
      </c>
      <c r="D28" s="204" t="e">
        <f>ABS('Preço SFCR-GROWATT TRINA 375Wp'!$G$43-C28)</f>
        <v>#DIV/0!</v>
      </c>
      <c r="E28" s="105">
        <f>+'FRONIUS-BYD 335Wp'!E30</f>
        <v>28</v>
      </c>
      <c r="F28" s="112">
        <f>+IF(K28=0,"",ROUND(M28/(1-'Tabela de BDI'!$C$3),0))</f>
        <v>39821</v>
      </c>
      <c r="G28" s="230" t="s">
        <v>304</v>
      </c>
      <c r="H28" s="106"/>
      <c r="I28" s="157">
        <v>28583.72</v>
      </c>
      <c r="J28" s="149">
        <f t="shared" si="5"/>
        <v>29019.005076142133</v>
      </c>
      <c r="K28" s="106">
        <f t="shared" si="1"/>
        <v>29019.005076142133</v>
      </c>
      <c r="L28" s="106">
        <f>+'FRONIUS-BYD 335Wp'!L30</f>
        <v>5625</v>
      </c>
      <c r="M28" s="106">
        <f t="shared" si="2"/>
        <v>34644.00507614213</v>
      </c>
      <c r="N28" s="106">
        <f>+IF(F28="","",F28*'Tabela de BDI'!$C$7)</f>
        <v>3185.6800000000003</v>
      </c>
      <c r="O28" s="106">
        <f>IF(F28="","",F28*'Tabela de BDI'!$C$8)</f>
        <v>1991.0500000000002</v>
      </c>
      <c r="P28" s="109">
        <f t="shared" si="3"/>
        <v>0.37223863793795903</v>
      </c>
      <c r="Q28" s="110">
        <f t="shared" si="4"/>
        <v>3.7924761904761906</v>
      </c>
      <c r="R28" s="111">
        <f>+'Tabela de BDI'!$F$9*C28</f>
        <v>1260</v>
      </c>
      <c r="S28" s="114"/>
    </row>
    <row r="29" spans="1:19" x14ac:dyDescent="0.25">
      <c r="A29" s="246"/>
      <c r="B29" s="103" t="s">
        <v>85</v>
      </c>
      <c r="C29" s="202">
        <f t="shared" si="0"/>
        <v>11.25</v>
      </c>
      <c r="D29" s="204" t="e">
        <f>ABS('Preço SFCR-GROWATT TRINA 375Wp'!$G$43-C29)</f>
        <v>#DIV/0!</v>
      </c>
      <c r="E29" s="105">
        <f>+'FRONIUS-BYD 335Wp'!E31</f>
        <v>30</v>
      </c>
      <c r="F29" s="112">
        <f>+IF(K29=0,"",ROUND(M29/(1-'Tabela de BDI'!$C$3),0))</f>
        <v>9916</v>
      </c>
      <c r="G29" s="230" t="s">
        <v>255</v>
      </c>
      <c r="H29" s="106"/>
      <c r="I29" s="157">
        <v>2710.87</v>
      </c>
      <c r="J29" s="149">
        <f t="shared" si="5"/>
        <v>2752.1522842639592</v>
      </c>
      <c r="K29" s="106">
        <f t="shared" si="1"/>
        <v>2752.1522842639592</v>
      </c>
      <c r="L29" s="106">
        <f>+'FRONIUS-BYD 335Wp'!L31</f>
        <v>5875</v>
      </c>
      <c r="M29" s="106">
        <f t="shared" si="2"/>
        <v>8627.1522842639588</v>
      </c>
      <c r="N29" s="106">
        <f>+IF(F29="","",F29*'Tabela de BDI'!$C$7)</f>
        <v>793.28</v>
      </c>
      <c r="O29" s="106">
        <f>IF(F29="","",F29*'Tabela de BDI'!$C$8)</f>
        <v>495.8</v>
      </c>
      <c r="P29" s="109">
        <f t="shared" si="3"/>
        <v>2.602998299438926</v>
      </c>
      <c r="Q29" s="110">
        <f t="shared" si="4"/>
        <v>0.88142222222222222</v>
      </c>
      <c r="R29" s="111">
        <f>+'Tabela de BDI'!$F$9*C29</f>
        <v>1350</v>
      </c>
      <c r="S29" s="114"/>
    </row>
    <row r="30" spans="1:19" x14ac:dyDescent="0.25">
      <c r="A30" s="246"/>
      <c r="B30" s="103" t="s">
        <v>85</v>
      </c>
      <c r="C30" s="202">
        <f t="shared" si="0"/>
        <v>12</v>
      </c>
      <c r="D30" s="204" t="e">
        <f>ABS('Preço SFCR-GROWATT TRINA 375Wp'!$G$43-C30)</f>
        <v>#DIV/0!</v>
      </c>
      <c r="E30" s="105">
        <f>+'FRONIUS-BYD 335Wp'!E32</f>
        <v>32</v>
      </c>
      <c r="F30" s="112">
        <f>+IF(K30=0,"",ROUND(M30/(1-'Tabela de BDI'!$C$3),0))</f>
        <v>46982</v>
      </c>
      <c r="G30" s="230" t="s">
        <v>255</v>
      </c>
      <c r="H30" s="106"/>
      <c r="I30" s="157">
        <v>34227.769999999997</v>
      </c>
      <c r="J30" s="149">
        <f t="shared" si="5"/>
        <v>34749.00507614213</v>
      </c>
      <c r="K30" s="106">
        <f t="shared" si="1"/>
        <v>34749.00507614213</v>
      </c>
      <c r="L30" s="106">
        <f>+'FRONIUS-BYD 335Wp'!L32</f>
        <v>6125</v>
      </c>
      <c r="M30" s="106">
        <f t="shared" si="2"/>
        <v>40874.00507614213</v>
      </c>
      <c r="N30" s="106">
        <f>+IF(F30="","",F30*'Tabela de BDI'!$C$7)</f>
        <v>3758.56</v>
      </c>
      <c r="O30" s="106">
        <f>IF(F30="","",F30*'Tabela de BDI'!$C$8)</f>
        <v>2349.1</v>
      </c>
      <c r="P30" s="109">
        <f t="shared" si="3"/>
        <v>0.35203871008832893</v>
      </c>
      <c r="Q30" s="110">
        <f t="shared" si="4"/>
        <v>3.9151666666666665</v>
      </c>
      <c r="R30" s="111">
        <f>+'Tabela de BDI'!$F$9*C30</f>
        <v>1440</v>
      </c>
      <c r="S30" s="114"/>
    </row>
    <row r="31" spans="1:19" ht="15.75" customHeight="1" x14ac:dyDescent="0.25">
      <c r="A31" s="246"/>
      <c r="B31" s="103" t="s">
        <v>85</v>
      </c>
      <c r="C31" s="202">
        <f t="shared" si="0"/>
        <v>12.75</v>
      </c>
      <c r="D31" s="204" t="e">
        <f>ABS('Preço SFCR-GROWATT TRINA 375Wp'!$G$43-C31)</f>
        <v>#DIV/0!</v>
      </c>
      <c r="E31" s="105">
        <f>+'FRONIUS-BYD 335Wp'!E33</f>
        <v>34</v>
      </c>
      <c r="F31" s="112">
        <f>+IF(K31=0,"",ROUND(M31/(1-'Tabela de BDI'!$C$3),0))</f>
        <v>48643</v>
      </c>
      <c r="G31" s="230" t="s">
        <v>255</v>
      </c>
      <c r="H31" s="106"/>
      <c r="I31" s="157">
        <v>34789.22</v>
      </c>
      <c r="J31" s="149">
        <f t="shared" si="5"/>
        <v>35319.005076142137</v>
      </c>
      <c r="K31" s="106">
        <f t="shared" si="1"/>
        <v>35319.005076142137</v>
      </c>
      <c r="L31" s="106">
        <f>+'FRONIUS-BYD 335Wp'!L33</f>
        <v>7000</v>
      </c>
      <c r="M31" s="106">
        <f t="shared" si="2"/>
        <v>42319.005076142137</v>
      </c>
      <c r="N31" s="106">
        <f>+IF(F31="","",F31*'Tabela de BDI'!$C$7)</f>
        <v>3891.44</v>
      </c>
      <c r="O31" s="106">
        <f>IF(F31="","",F31*'Tabela de BDI'!$C$8)</f>
        <v>2432.15</v>
      </c>
      <c r="P31" s="109">
        <f t="shared" si="3"/>
        <v>0.37724717599302293</v>
      </c>
      <c r="Q31" s="110">
        <f t="shared" si="4"/>
        <v>3.8151372549019609</v>
      </c>
      <c r="R31" s="111">
        <f>+'Tabela de BDI'!$F$9*C31</f>
        <v>1530</v>
      </c>
      <c r="S31" s="114"/>
    </row>
    <row r="32" spans="1:19" ht="15.75" customHeight="1" x14ac:dyDescent="0.25">
      <c r="A32" s="246"/>
      <c r="B32" s="103" t="s">
        <v>85</v>
      </c>
      <c r="C32" s="202">
        <f t="shared" si="0"/>
        <v>13.5</v>
      </c>
      <c r="D32" s="204" t="e">
        <f>ABS('Preço SFCR-GROWATT TRINA 375Wp'!$G$43-C32)</f>
        <v>#DIV/0!</v>
      </c>
      <c r="E32" s="105">
        <f>+'FRONIUS-BYD 335Wp'!E34</f>
        <v>36</v>
      </c>
      <c r="F32" s="112">
        <f>+IF(K32=0,"",ROUND(M32/(1-'Tabela de BDI'!$C$3),0))</f>
        <v>50631</v>
      </c>
      <c r="G32" s="230" t="s">
        <v>255</v>
      </c>
      <c r="H32" s="106"/>
      <c r="I32" s="157">
        <v>36247.019999999997</v>
      </c>
      <c r="J32" s="149">
        <f t="shared" si="5"/>
        <v>36799.00507614213</v>
      </c>
      <c r="K32" s="106">
        <f t="shared" si="1"/>
        <v>36799.00507614213</v>
      </c>
      <c r="L32" s="106">
        <f>+'FRONIUS-BYD 335Wp'!L34</f>
        <v>7250</v>
      </c>
      <c r="M32" s="106">
        <f t="shared" si="2"/>
        <v>44049.00507614213</v>
      </c>
      <c r="N32" s="106">
        <f>+IF(F32="","",F32*'Tabela de BDI'!$C$7)</f>
        <v>4050.48</v>
      </c>
      <c r="O32" s="106">
        <f>IF(F32="","",F32*'Tabela de BDI'!$C$8)</f>
        <v>2531.5500000000002</v>
      </c>
      <c r="P32" s="109">
        <f t="shared" si="3"/>
        <v>0.37587958954970652</v>
      </c>
      <c r="Q32" s="110">
        <f t="shared" si="4"/>
        <v>3.7504444444444442</v>
      </c>
      <c r="R32" s="111">
        <f>+'Tabela de BDI'!$F$9*C32</f>
        <v>1620</v>
      </c>
      <c r="S32" s="114"/>
    </row>
    <row r="33" spans="1:19" ht="15.75" customHeight="1" x14ac:dyDescent="0.25">
      <c r="A33" s="246"/>
      <c r="B33" s="103" t="s">
        <v>85</v>
      </c>
      <c r="C33" s="202">
        <f t="shared" si="0"/>
        <v>14.25</v>
      </c>
      <c r="D33" s="204" t="e">
        <f>ABS('Preço SFCR-GROWATT TRINA 375Wp'!$G$43-C33)</f>
        <v>#DIV/0!</v>
      </c>
      <c r="E33" s="105">
        <f>+'FRONIUS-BYD 335Wp'!E35</f>
        <v>38</v>
      </c>
      <c r="F33" s="112" t="str">
        <f>+IF(K33=0,"",ROUND(M33/(1-'Tabela de BDI'!$C$3),0))</f>
        <v/>
      </c>
      <c r="G33" s="230"/>
      <c r="H33" s="106"/>
      <c r="I33" s="157"/>
      <c r="J33" s="150">
        <f t="shared" si="5"/>
        <v>0</v>
      </c>
      <c r="K33" s="106">
        <f t="shared" si="1"/>
        <v>0</v>
      </c>
      <c r="L33" s="106">
        <f>+'FRONIUS-BYD 335Wp'!L35</f>
        <v>7500</v>
      </c>
      <c r="M33" s="106">
        <f t="shared" si="2"/>
        <v>7500</v>
      </c>
      <c r="N33" s="106" t="str">
        <f>+IF(F33="","",F33*'Tabela de BDI'!$C$7)</f>
        <v/>
      </c>
      <c r="O33" s="106" t="str">
        <f>IF(F33="","",F33*'Tabela de BDI'!$C$8)</f>
        <v/>
      </c>
      <c r="P33" s="109" t="str">
        <f t="shared" si="3"/>
        <v/>
      </c>
      <c r="Q33" s="110" t="str">
        <f t="shared" si="4"/>
        <v/>
      </c>
      <c r="R33" s="111">
        <f>+'Tabela de BDI'!$F$9*C33</f>
        <v>1710</v>
      </c>
      <c r="S33" s="114"/>
    </row>
    <row r="34" spans="1:19" ht="15.75" customHeight="1" x14ac:dyDescent="0.25">
      <c r="A34" s="246"/>
      <c r="B34" s="103" t="s">
        <v>85</v>
      </c>
      <c r="C34" s="202">
        <f t="shared" si="0"/>
        <v>15</v>
      </c>
      <c r="D34" s="204" t="e">
        <f>ABS('Preço SFCR-GROWATT TRINA 375Wp'!$G$43-C34)</f>
        <v>#DIV/0!</v>
      </c>
      <c r="E34" s="105">
        <f>+'FRONIUS-BYD 335Wp'!E36</f>
        <v>40</v>
      </c>
      <c r="F34" s="112" t="str">
        <f>+IF(K34=0,"",ROUND(M34/(1-'Tabela de BDI'!$C$3),0))</f>
        <v/>
      </c>
      <c r="G34" s="230"/>
      <c r="H34" s="106"/>
      <c r="I34" s="157"/>
      <c r="J34" s="150">
        <f t="shared" si="5"/>
        <v>0</v>
      </c>
      <c r="K34" s="106">
        <f t="shared" si="1"/>
        <v>0</v>
      </c>
      <c r="L34" s="106">
        <f>+'FRONIUS-BYD 335Wp'!L36</f>
        <v>7750</v>
      </c>
      <c r="M34" s="106">
        <f t="shared" si="2"/>
        <v>7750</v>
      </c>
      <c r="N34" s="106" t="str">
        <f>+IF(F34="","",F34*'Tabela de BDI'!$C$7)</f>
        <v/>
      </c>
      <c r="O34" s="106" t="str">
        <f>IF(F34="","",F34*'Tabela de BDI'!$C$8)</f>
        <v/>
      </c>
      <c r="P34" s="109" t="str">
        <f t="shared" si="3"/>
        <v/>
      </c>
      <c r="Q34" s="110" t="str">
        <f t="shared" si="4"/>
        <v/>
      </c>
      <c r="R34" s="111">
        <f>+'Tabela de BDI'!$F$9*C34</f>
        <v>1800</v>
      </c>
      <c r="S34" s="114"/>
    </row>
    <row r="35" spans="1:19" ht="15.75" customHeight="1" x14ac:dyDescent="0.25">
      <c r="A35" s="246"/>
      <c r="B35" s="103" t="s">
        <v>85</v>
      </c>
      <c r="C35" s="202">
        <f t="shared" si="0"/>
        <v>15.75</v>
      </c>
      <c r="D35" s="204" t="e">
        <f>ABS('Preço SFCR-GROWATT TRINA 375Wp'!$G$43-C35)</f>
        <v>#DIV/0!</v>
      </c>
      <c r="E35" s="105">
        <f>+'FRONIUS-BYD 335Wp'!E37</f>
        <v>42</v>
      </c>
      <c r="F35" s="112" t="str">
        <f>+IF(K35=0,"",ROUND(M35/(1-'Tabela de BDI'!$C$3),0))</f>
        <v/>
      </c>
      <c r="G35" s="230"/>
      <c r="H35" s="106"/>
      <c r="I35" s="157"/>
      <c r="J35" s="150">
        <f t="shared" si="5"/>
        <v>0</v>
      </c>
      <c r="K35" s="106">
        <f t="shared" si="1"/>
        <v>0</v>
      </c>
      <c r="L35" s="106">
        <f>+'FRONIUS-BYD 335Wp'!L37</f>
        <v>8000</v>
      </c>
      <c r="M35" s="106">
        <f t="shared" si="2"/>
        <v>8000</v>
      </c>
      <c r="N35" s="106" t="str">
        <f>+IF(F35="","",F35*'Tabela de BDI'!$C$7)</f>
        <v/>
      </c>
      <c r="O35" s="106" t="str">
        <f>IF(F35="","",F35*'Tabela de BDI'!$C$8)</f>
        <v/>
      </c>
      <c r="P35" s="109" t="str">
        <f t="shared" si="3"/>
        <v/>
      </c>
      <c r="Q35" s="110" t="str">
        <f t="shared" si="4"/>
        <v/>
      </c>
      <c r="R35" s="111">
        <f>+'Tabela de BDI'!$F$9*C35</f>
        <v>1890</v>
      </c>
      <c r="S35" s="114"/>
    </row>
    <row r="36" spans="1:19" ht="15.75" customHeight="1" x14ac:dyDescent="0.25">
      <c r="A36" s="246"/>
      <c r="B36" s="103" t="s">
        <v>85</v>
      </c>
      <c r="C36" s="202">
        <f t="shared" si="0"/>
        <v>16.5</v>
      </c>
      <c r="D36" s="204" t="e">
        <f>ABS('Preço SFCR-GROWATT TRINA 375Wp'!$G$43-C36)</f>
        <v>#DIV/0!</v>
      </c>
      <c r="E36" s="105">
        <f>+'FRONIUS-BYD 335Wp'!E38</f>
        <v>44</v>
      </c>
      <c r="F36" s="112" t="str">
        <f>+IF(K36=0,"",ROUND(M36/(1-'Tabela de BDI'!$C$3),0))</f>
        <v/>
      </c>
      <c r="G36" s="230"/>
      <c r="H36" s="106"/>
      <c r="I36" s="157"/>
      <c r="J36" s="150">
        <f t="shared" si="5"/>
        <v>0</v>
      </c>
      <c r="K36" s="106">
        <f t="shared" si="1"/>
        <v>0</v>
      </c>
      <c r="L36" s="106">
        <f>+'FRONIUS-BYD 335Wp'!L38</f>
        <v>8250</v>
      </c>
      <c r="M36" s="106">
        <f t="shared" si="2"/>
        <v>8250</v>
      </c>
      <c r="N36" s="106" t="str">
        <f>+IF(F36="","",F36*'Tabela de BDI'!$C$7)</f>
        <v/>
      </c>
      <c r="O36" s="106" t="str">
        <f>IF(F36="","",F36*'Tabela de BDI'!$C$8)</f>
        <v/>
      </c>
      <c r="P36" s="109" t="str">
        <f t="shared" si="3"/>
        <v/>
      </c>
      <c r="Q36" s="110" t="str">
        <f t="shared" si="4"/>
        <v/>
      </c>
      <c r="R36" s="111">
        <f>+'Tabela de BDI'!$F$9*C36</f>
        <v>1980</v>
      </c>
      <c r="S36" s="114"/>
    </row>
    <row r="37" spans="1:19" ht="15.75" customHeight="1" x14ac:dyDescent="0.25">
      <c r="A37" s="246"/>
      <c r="B37" s="103" t="s">
        <v>85</v>
      </c>
      <c r="C37" s="202">
        <f t="shared" si="0"/>
        <v>17.25</v>
      </c>
      <c r="D37" s="204" t="e">
        <f>ABS('Preço SFCR-GROWATT TRINA 375Wp'!$G$43-C37)</f>
        <v>#DIV/0!</v>
      </c>
      <c r="E37" s="105">
        <f>+'FRONIUS-BYD 335Wp'!E39</f>
        <v>46</v>
      </c>
      <c r="F37" s="112" t="str">
        <f>+IF(K37=0,"",ROUND(M37/(1-'Tabela de BDI'!$C$3),0))</f>
        <v/>
      </c>
      <c r="G37" s="209"/>
      <c r="H37" s="106"/>
      <c r="I37" s="157"/>
      <c r="J37" s="150">
        <f t="shared" si="5"/>
        <v>0</v>
      </c>
      <c r="K37" s="106">
        <f t="shared" si="1"/>
        <v>0</v>
      </c>
      <c r="L37" s="106">
        <f>+'FRONIUS-BYD 335Wp'!L39</f>
        <v>8500</v>
      </c>
      <c r="M37" s="106">
        <f t="shared" si="2"/>
        <v>8500</v>
      </c>
      <c r="N37" s="106" t="str">
        <f>+IF(F37="","",F37*'Tabela de BDI'!$C$7)</f>
        <v/>
      </c>
      <c r="O37" s="106" t="str">
        <f>IF(F37="","",F37*'Tabela de BDI'!$C$8)</f>
        <v/>
      </c>
      <c r="P37" s="109" t="str">
        <f t="shared" si="3"/>
        <v/>
      </c>
      <c r="Q37" s="110" t="str">
        <f t="shared" si="4"/>
        <v/>
      </c>
      <c r="R37" s="111">
        <f>+'Tabela de BDI'!$F$9*C37</f>
        <v>2070</v>
      </c>
      <c r="S37" s="114"/>
    </row>
    <row r="38" spans="1:19" ht="15.75" customHeight="1" x14ac:dyDescent="0.25">
      <c r="A38" s="246"/>
      <c r="B38" s="103" t="s">
        <v>85</v>
      </c>
      <c r="C38" s="202">
        <f t="shared" si="0"/>
        <v>18</v>
      </c>
      <c r="D38" s="204" t="e">
        <f>ABS('Preço SFCR-GROWATT TRINA 375Wp'!$G$43-C38)</f>
        <v>#DIV/0!</v>
      </c>
      <c r="E38" s="105">
        <f>+'FRONIUS-BYD 335Wp'!E40</f>
        <v>48</v>
      </c>
      <c r="F38" s="112" t="str">
        <f>+IF(K38=0,"",ROUND(M38/(1-'Tabela de BDI'!$C$3),0))</f>
        <v/>
      </c>
      <c r="G38" s="209"/>
      <c r="H38" s="106"/>
      <c r="I38" s="157"/>
      <c r="J38" s="150">
        <f t="shared" si="5"/>
        <v>0</v>
      </c>
      <c r="K38" s="106">
        <f t="shared" si="1"/>
        <v>0</v>
      </c>
      <c r="L38" s="106">
        <f>+'FRONIUS-BYD 335Wp'!L40</f>
        <v>8750</v>
      </c>
      <c r="M38" s="106">
        <f t="shared" si="2"/>
        <v>8750</v>
      </c>
      <c r="N38" s="106" t="str">
        <f>+IF(F38="","",F38*'Tabela de BDI'!$C$7)</f>
        <v/>
      </c>
      <c r="O38" s="106" t="str">
        <f>IF(F38="","",F38*'Tabela de BDI'!$C$8)</f>
        <v/>
      </c>
      <c r="P38" s="109" t="str">
        <f t="shared" si="3"/>
        <v/>
      </c>
      <c r="Q38" s="110" t="str">
        <f t="shared" si="4"/>
        <v/>
      </c>
      <c r="R38" s="111">
        <f>+'Tabela de BDI'!$F$9*C38</f>
        <v>2160</v>
      </c>
      <c r="S38" s="114"/>
    </row>
    <row r="39" spans="1:19" ht="15.75" customHeight="1" x14ac:dyDescent="0.25">
      <c r="A39" s="246"/>
      <c r="B39" s="103" t="s">
        <v>85</v>
      </c>
      <c r="C39" s="202">
        <f t="shared" si="0"/>
        <v>18.75</v>
      </c>
      <c r="D39" s="204" t="e">
        <f>ABS('Preço SFCR-GROWATT TRINA 375Wp'!$G$43-C39)</f>
        <v>#DIV/0!</v>
      </c>
      <c r="E39" s="105">
        <f>+'FRONIUS-BYD 335Wp'!E41</f>
        <v>50</v>
      </c>
      <c r="F39" s="112" t="str">
        <f>+IF(K39=0,"",ROUND(M39/(1-'Tabela de BDI'!$C$3),0))</f>
        <v/>
      </c>
      <c r="G39" s="209"/>
      <c r="H39" s="106"/>
      <c r="I39" s="157"/>
      <c r="J39" s="150">
        <f t="shared" si="5"/>
        <v>0</v>
      </c>
      <c r="K39" s="106">
        <f t="shared" si="1"/>
        <v>0</v>
      </c>
      <c r="L39" s="106">
        <f>+'FRONIUS-BYD 335Wp'!L41</f>
        <v>9000</v>
      </c>
      <c r="M39" s="106">
        <f t="shared" si="2"/>
        <v>9000</v>
      </c>
      <c r="N39" s="106" t="str">
        <f>+IF(F39="","",F39*'Tabela de BDI'!$C$7)</f>
        <v/>
      </c>
      <c r="O39" s="106" t="str">
        <f>IF(F39="","",F39*'Tabela de BDI'!$C$8)</f>
        <v/>
      </c>
      <c r="P39" s="109" t="str">
        <f t="shared" si="3"/>
        <v/>
      </c>
      <c r="Q39" s="110" t="str">
        <f t="shared" si="4"/>
        <v/>
      </c>
      <c r="R39" s="111">
        <f>+'Tabela de BDI'!$F$9*C39</f>
        <v>2250</v>
      </c>
      <c r="S39" s="114"/>
    </row>
    <row r="40" spans="1:19" ht="15.75" customHeight="1" x14ac:dyDescent="0.25">
      <c r="A40" s="246"/>
      <c r="B40" s="103" t="s">
        <v>85</v>
      </c>
      <c r="C40" s="202">
        <f t="shared" si="0"/>
        <v>19.5</v>
      </c>
      <c r="D40" s="204" t="e">
        <f>ABS('Preço SFCR-GROWATT TRINA 375Wp'!$G$43-C40)</f>
        <v>#DIV/0!</v>
      </c>
      <c r="E40" s="105">
        <f>+'FRONIUS-BYD 335Wp'!E42</f>
        <v>52</v>
      </c>
      <c r="F40" s="112" t="str">
        <f>+IF(K40=0,"",ROUND(M40/(1-'Tabela de BDI'!$C$3),0))</f>
        <v/>
      </c>
      <c r="G40" s="209"/>
      <c r="H40" s="106"/>
      <c r="I40" s="157"/>
      <c r="J40" s="150">
        <f t="shared" si="5"/>
        <v>0</v>
      </c>
      <c r="K40" s="106">
        <f t="shared" si="1"/>
        <v>0</v>
      </c>
      <c r="L40" s="106">
        <f>+'FRONIUS-BYD 335Wp'!L42</f>
        <v>9250</v>
      </c>
      <c r="M40" s="106">
        <f t="shared" si="2"/>
        <v>9250</v>
      </c>
      <c r="N40" s="106" t="str">
        <f>+IF(F40="","",F40*'Tabela de BDI'!$C$7)</f>
        <v/>
      </c>
      <c r="O40" s="106" t="str">
        <f>IF(F40="","",F40*'Tabela de BDI'!$C$8)</f>
        <v/>
      </c>
      <c r="P40" s="109" t="str">
        <f t="shared" si="3"/>
        <v/>
      </c>
      <c r="Q40" s="110" t="str">
        <f t="shared" si="4"/>
        <v/>
      </c>
      <c r="R40" s="111">
        <f>+'Tabela de BDI'!$F$9*C40</f>
        <v>2340</v>
      </c>
      <c r="S40" s="114"/>
    </row>
    <row r="41" spans="1:19" ht="15.75" customHeight="1" x14ac:dyDescent="0.25">
      <c r="A41" s="246"/>
      <c r="B41" s="103" t="s">
        <v>85</v>
      </c>
      <c r="C41" s="202">
        <f t="shared" si="0"/>
        <v>20.25</v>
      </c>
      <c r="D41" s="204" t="e">
        <f>ABS('Preço SFCR-GROWATT TRINA 375Wp'!$G$43-C41)</f>
        <v>#DIV/0!</v>
      </c>
      <c r="E41" s="105">
        <f>+'FRONIUS-BYD 335Wp'!E43</f>
        <v>54</v>
      </c>
      <c r="F41" s="112" t="str">
        <f>+IF(K41=0,"",ROUND(M41/(1-'Tabela de BDI'!$C$3),0))</f>
        <v/>
      </c>
      <c r="G41" s="209"/>
      <c r="H41" s="106"/>
      <c r="I41" s="157"/>
      <c r="J41" s="150">
        <f t="shared" si="5"/>
        <v>0</v>
      </c>
      <c r="K41" s="106">
        <f t="shared" si="1"/>
        <v>0</v>
      </c>
      <c r="L41" s="106">
        <f>+'FRONIUS-BYD 335Wp'!L43</f>
        <v>9500</v>
      </c>
      <c r="M41" s="106">
        <f t="shared" si="2"/>
        <v>9500</v>
      </c>
      <c r="N41" s="106" t="str">
        <f>+IF(F41="","",F41*'Tabela de BDI'!$C$7)</f>
        <v/>
      </c>
      <c r="O41" s="106" t="str">
        <f>IF(F41="","",F41*'Tabela de BDI'!$C$8)</f>
        <v/>
      </c>
      <c r="P41" s="109" t="str">
        <f t="shared" si="3"/>
        <v/>
      </c>
      <c r="Q41" s="110" t="str">
        <f t="shared" si="4"/>
        <v/>
      </c>
      <c r="R41" s="111">
        <f>+'Tabela de BDI'!$F$9*C41</f>
        <v>2430</v>
      </c>
      <c r="S41" s="114"/>
    </row>
    <row r="42" spans="1:19" ht="15.75" customHeight="1" x14ac:dyDescent="0.25">
      <c r="A42" s="246"/>
      <c r="B42" s="103" t="s">
        <v>85</v>
      </c>
      <c r="C42" s="202">
        <f t="shared" si="0"/>
        <v>21</v>
      </c>
      <c r="D42" s="204" t="e">
        <f>ABS('Preço SFCR-GROWATT TRINA 375Wp'!$G$43-C42)</f>
        <v>#DIV/0!</v>
      </c>
      <c r="E42" s="105">
        <f>+'FRONIUS-BYD 335Wp'!E44</f>
        <v>56</v>
      </c>
      <c r="F42" s="112" t="str">
        <f>+IF(K42=0,"",ROUND(M42/(1-'Tabela de BDI'!$C$3),0))</f>
        <v/>
      </c>
      <c r="G42" s="209"/>
      <c r="H42" s="106"/>
      <c r="I42" s="206"/>
      <c r="J42" s="150">
        <f t="shared" si="5"/>
        <v>0</v>
      </c>
      <c r="K42" s="106">
        <f t="shared" si="1"/>
        <v>0</v>
      </c>
      <c r="L42" s="106">
        <f>+'FRONIUS-BYD 335Wp'!L44</f>
        <v>9750</v>
      </c>
      <c r="M42" s="106">
        <f t="shared" si="2"/>
        <v>9750</v>
      </c>
      <c r="N42" s="106" t="str">
        <f>+IF(F42="","",F42*'Tabela de BDI'!$C$7)</f>
        <v/>
      </c>
      <c r="O42" s="106" t="str">
        <f>IF(F42="","",F42*'Tabela de BDI'!$C$8)</f>
        <v/>
      </c>
      <c r="P42" s="109" t="str">
        <f t="shared" si="3"/>
        <v/>
      </c>
      <c r="Q42" s="110" t="str">
        <f t="shared" si="4"/>
        <v/>
      </c>
      <c r="R42" s="111">
        <f>+'Tabela de BDI'!$F$9*C42</f>
        <v>2520</v>
      </c>
      <c r="S42" s="114"/>
    </row>
    <row r="43" spans="1:19" ht="15.75" customHeight="1" x14ac:dyDescent="0.25">
      <c r="A43" s="246"/>
      <c r="B43" s="103" t="s">
        <v>85</v>
      </c>
      <c r="C43" s="202">
        <f t="shared" si="0"/>
        <v>21.75</v>
      </c>
      <c r="D43" s="204" t="e">
        <f>ABS('Preço SFCR-GROWATT TRINA 375Wp'!$G$43-C43)</f>
        <v>#DIV/0!</v>
      </c>
      <c r="E43" s="105">
        <f>+'FRONIUS-BYD 335Wp'!E45</f>
        <v>58</v>
      </c>
      <c r="F43" s="112" t="str">
        <f>+IF(K43=0,"",ROUND(M43/(1-'Tabela de BDI'!$C$3),0))</f>
        <v/>
      </c>
      <c r="G43" s="242"/>
      <c r="H43" s="106"/>
      <c r="I43" s="206"/>
      <c r="J43" s="150">
        <f t="shared" si="5"/>
        <v>0</v>
      </c>
      <c r="K43" s="106">
        <f t="shared" si="1"/>
        <v>0</v>
      </c>
      <c r="L43" s="106">
        <f>+'FRONIUS-BYD 335Wp'!L45</f>
        <v>10000</v>
      </c>
      <c r="M43" s="106">
        <f t="shared" si="2"/>
        <v>10000</v>
      </c>
      <c r="N43" s="106" t="str">
        <f>+IF(F43="","",F43*'Tabela de BDI'!$C$7)</f>
        <v/>
      </c>
      <c r="O43" s="106" t="str">
        <f>IF(F43="","",F43*'Tabela de BDI'!$C$8)</f>
        <v/>
      </c>
      <c r="P43" s="109" t="str">
        <f t="shared" si="3"/>
        <v/>
      </c>
      <c r="Q43" s="110" t="str">
        <f t="shared" si="4"/>
        <v/>
      </c>
      <c r="R43" s="111">
        <f>+'Tabela de BDI'!$F$9*C43</f>
        <v>2610</v>
      </c>
      <c r="S43" s="114"/>
    </row>
    <row r="44" spans="1:19" ht="15.75" customHeight="1" x14ac:dyDescent="0.25">
      <c r="A44" s="246"/>
      <c r="B44" s="103" t="s">
        <v>85</v>
      </c>
      <c r="C44" s="202">
        <f t="shared" si="0"/>
        <v>22.5</v>
      </c>
      <c r="D44" s="204" t="e">
        <f>ABS('Preço SFCR-GROWATT TRINA 375Wp'!$G$43-C44)</f>
        <v>#DIV/0!</v>
      </c>
      <c r="E44" s="105">
        <f>+'FRONIUS-BYD 335Wp'!E46</f>
        <v>60</v>
      </c>
      <c r="F44" s="112" t="str">
        <f>+IF(K44=0,"",ROUND(M44/(1-'Tabela de BDI'!$C$3),0))</f>
        <v/>
      </c>
      <c r="G44" s="242"/>
      <c r="H44" s="106"/>
      <c r="I44" s="206"/>
      <c r="J44" s="150">
        <f t="shared" si="5"/>
        <v>0</v>
      </c>
      <c r="K44" s="106">
        <f t="shared" si="1"/>
        <v>0</v>
      </c>
      <c r="L44" s="106">
        <f>+'FRONIUS-BYD 335Wp'!L46</f>
        <v>10250</v>
      </c>
      <c r="M44" s="106">
        <f t="shared" si="2"/>
        <v>10250</v>
      </c>
      <c r="N44" s="106" t="str">
        <f>+IF(F44="","",F44*'Tabela de BDI'!$C$7)</f>
        <v/>
      </c>
      <c r="O44" s="106" t="str">
        <f>IF(F44="","",F44*'Tabela de BDI'!$C$8)</f>
        <v/>
      </c>
      <c r="P44" s="109" t="str">
        <f t="shared" si="3"/>
        <v/>
      </c>
      <c r="Q44" s="110" t="str">
        <f t="shared" si="4"/>
        <v/>
      </c>
      <c r="R44" s="111">
        <f>+'Tabela de BDI'!$F$9*C44</f>
        <v>2700</v>
      </c>
      <c r="S44" s="114"/>
    </row>
    <row r="45" spans="1:19" ht="15.75" customHeight="1" x14ac:dyDescent="0.25">
      <c r="A45" s="246"/>
      <c r="B45" s="103" t="s">
        <v>85</v>
      </c>
      <c r="C45" s="202">
        <f t="shared" si="0"/>
        <v>23.25</v>
      </c>
      <c r="D45" s="204" t="e">
        <f>ABS('Preço SFCR-GROWATT TRINA 375Wp'!$G$43-C45)</f>
        <v>#DIV/0!</v>
      </c>
      <c r="E45" s="105">
        <f>+'FRONIUS-BYD 335Wp'!E47</f>
        <v>62</v>
      </c>
      <c r="F45" s="112" t="str">
        <f>+IF(K45=0,"",ROUND(M45/(1-'Tabela de BDI'!$C$3),0))</f>
        <v/>
      </c>
      <c r="G45" s="242"/>
      <c r="H45" s="106"/>
      <c r="I45" s="206"/>
      <c r="J45" s="150">
        <f t="shared" si="5"/>
        <v>0</v>
      </c>
      <c r="K45" s="106">
        <f t="shared" si="1"/>
        <v>0</v>
      </c>
      <c r="L45" s="106">
        <f>+'FRONIUS-BYD 335Wp'!L47</f>
        <v>10500</v>
      </c>
      <c r="M45" s="106">
        <f t="shared" si="2"/>
        <v>10500</v>
      </c>
      <c r="N45" s="106" t="str">
        <f>+IF(F45="","",F45*'Tabela de BDI'!$C$7)</f>
        <v/>
      </c>
      <c r="O45" s="106" t="str">
        <f>IF(F45="","",F45*'Tabela de BDI'!$C$8)</f>
        <v/>
      </c>
      <c r="P45" s="109" t="str">
        <f t="shared" si="3"/>
        <v/>
      </c>
      <c r="Q45" s="110" t="str">
        <f t="shared" si="4"/>
        <v/>
      </c>
      <c r="R45" s="111">
        <f>+'Tabela de BDI'!$F$9*C45</f>
        <v>2790</v>
      </c>
      <c r="S45" s="114"/>
    </row>
    <row r="46" spans="1:19" ht="15.75" customHeight="1" x14ac:dyDescent="0.25">
      <c r="A46" s="246"/>
      <c r="B46" s="103" t="s">
        <v>85</v>
      </c>
      <c r="C46" s="202">
        <f t="shared" si="0"/>
        <v>24</v>
      </c>
      <c r="D46" s="204" t="e">
        <f>ABS('Preço SFCR-GROWATT TRINA 375Wp'!$G$43-C46)</f>
        <v>#DIV/0!</v>
      </c>
      <c r="E46" s="105">
        <f>+'FRONIUS-BYD 335Wp'!E48</f>
        <v>64</v>
      </c>
      <c r="F46" s="112" t="str">
        <f>+IF(K46=0,"",ROUND(M46/(1-'Tabela de BDI'!$C$3),0))</f>
        <v/>
      </c>
      <c r="G46" s="242"/>
      <c r="H46" s="106"/>
      <c r="I46" s="157"/>
      <c r="J46" s="150">
        <f t="shared" si="5"/>
        <v>0</v>
      </c>
      <c r="K46" s="106">
        <f t="shared" si="1"/>
        <v>0</v>
      </c>
      <c r="L46" s="106">
        <f>+'FRONIUS-BYD 335Wp'!L48</f>
        <v>10750</v>
      </c>
      <c r="M46" s="106">
        <f t="shared" si="2"/>
        <v>10750</v>
      </c>
      <c r="N46" s="106" t="str">
        <f>+IF(F46="","",F46*'Tabela de BDI'!$C$7)</f>
        <v/>
      </c>
      <c r="O46" s="106" t="str">
        <f>IF(F46="","",F46*'Tabela de BDI'!$C$8)</f>
        <v/>
      </c>
      <c r="P46" s="109" t="str">
        <f t="shared" si="3"/>
        <v/>
      </c>
      <c r="Q46" s="110" t="str">
        <f t="shared" si="4"/>
        <v/>
      </c>
      <c r="R46" s="111">
        <f>+'Tabela de BDI'!$F$9*C46</f>
        <v>2880</v>
      </c>
      <c r="S46" s="114"/>
    </row>
    <row r="47" spans="1:19" ht="15.75" customHeight="1" x14ac:dyDescent="0.25">
      <c r="A47" s="246"/>
      <c r="B47" s="116" t="s">
        <v>89</v>
      </c>
      <c r="C47" s="202">
        <f t="shared" si="0"/>
        <v>24.75</v>
      </c>
      <c r="D47" s="204" t="e">
        <f>ABS('Preço SFCR-GROWATT TRINA 375Wp'!$G$43-C47)</f>
        <v>#DIV/0!</v>
      </c>
      <c r="E47" s="181">
        <v>66</v>
      </c>
      <c r="F47" s="112" t="str">
        <f>+IF(K47=0,"",ROUND(M47/(1-'Tabela de BDI'!$C$3),0))</f>
        <v/>
      </c>
      <c r="G47" s="242"/>
      <c r="H47" s="106"/>
      <c r="I47" s="206"/>
      <c r="J47" s="150">
        <f t="shared" si="5"/>
        <v>0</v>
      </c>
      <c r="K47" s="106">
        <f t="shared" si="1"/>
        <v>0</v>
      </c>
      <c r="L47" s="168">
        <v>12000</v>
      </c>
      <c r="M47" s="106">
        <f t="shared" si="2"/>
        <v>12000</v>
      </c>
      <c r="N47" s="106" t="str">
        <f>+IF(F47="","",F47*'Tabela de BDI'!$C$7)</f>
        <v/>
      </c>
      <c r="O47" s="106" t="str">
        <f>IF(F47="","",F47*'Tabela de BDI'!$C$8)</f>
        <v/>
      </c>
      <c r="P47" s="109" t="str">
        <f t="shared" si="3"/>
        <v/>
      </c>
      <c r="Q47" s="110" t="str">
        <f t="shared" si="4"/>
        <v/>
      </c>
      <c r="R47" s="111">
        <f>+'Tabela de BDI'!$F$9*C47</f>
        <v>2970</v>
      </c>
      <c r="S47" s="114"/>
    </row>
    <row r="48" spans="1:19" ht="15.75" customHeight="1" x14ac:dyDescent="0.25">
      <c r="A48" s="246"/>
      <c r="B48" s="116" t="s">
        <v>89</v>
      </c>
      <c r="C48" s="202">
        <f t="shared" si="0"/>
        <v>25.5</v>
      </c>
      <c r="D48" s="204" t="e">
        <f>ABS('Preço SFCR-GROWATT TRINA 375Wp'!$G$43-C48)</f>
        <v>#DIV/0!</v>
      </c>
      <c r="E48" s="181">
        <v>68</v>
      </c>
      <c r="F48" s="112" t="str">
        <f>+IF(K48=0,"",ROUND(M48/(1-'Tabela de BDI'!$C$3),0))</f>
        <v/>
      </c>
      <c r="G48" s="242"/>
      <c r="H48" s="106"/>
      <c r="I48" s="157"/>
      <c r="J48" s="150">
        <f t="shared" si="5"/>
        <v>0</v>
      </c>
      <c r="K48" s="106">
        <f t="shared" si="1"/>
        <v>0</v>
      </c>
      <c r="L48" s="151">
        <f>+((L47+(E48-E47)*125))</f>
        <v>12250</v>
      </c>
      <c r="M48" s="106">
        <f t="shared" si="2"/>
        <v>12250</v>
      </c>
      <c r="N48" s="106" t="str">
        <f>+IF(F48="","",F48*'Tabela de BDI'!$C$7)</f>
        <v/>
      </c>
      <c r="O48" s="106" t="str">
        <f>IF(F48="","",F48*'Tabela de BDI'!$C$8)</f>
        <v/>
      </c>
      <c r="P48" s="109" t="str">
        <f t="shared" si="3"/>
        <v/>
      </c>
      <c r="Q48" s="110" t="str">
        <f t="shared" si="4"/>
        <v/>
      </c>
      <c r="R48" s="111">
        <f>+'Tabela de BDI'!$F$9*C48</f>
        <v>3060</v>
      </c>
      <c r="S48" s="114"/>
    </row>
    <row r="49" spans="1:21" ht="15.75" customHeight="1" x14ac:dyDescent="0.25">
      <c r="A49" s="246"/>
      <c r="B49" s="116" t="s">
        <v>89</v>
      </c>
      <c r="C49" s="202">
        <f t="shared" si="0"/>
        <v>27</v>
      </c>
      <c r="D49" s="204" t="e">
        <f>ABS('Preço SFCR-GROWATT TRINA 375Wp'!$G$43-C49)</f>
        <v>#DIV/0!</v>
      </c>
      <c r="E49" s="181">
        <v>72</v>
      </c>
      <c r="F49" s="112" t="str">
        <f>+IF(K49=0,"",ROUND(M49/(1-'Tabela de BDI'!$C$3),0))</f>
        <v/>
      </c>
      <c r="G49" s="156"/>
      <c r="H49" s="106"/>
      <c r="I49" s="157"/>
      <c r="J49" s="150">
        <f t="shared" si="5"/>
        <v>0</v>
      </c>
      <c r="K49" s="106">
        <f t="shared" si="1"/>
        <v>0</v>
      </c>
      <c r="L49" s="151">
        <f t="shared" ref="L49:L63" si="12">+((L48+(E49-E48)*125))</f>
        <v>12750</v>
      </c>
      <c r="M49" s="106">
        <f t="shared" si="2"/>
        <v>12750</v>
      </c>
      <c r="N49" s="106" t="str">
        <f>+IF(F49="","",F49*'Tabela de BDI'!$C$7)</f>
        <v/>
      </c>
      <c r="O49" s="106" t="str">
        <f>IF(F49="","",F49*'Tabela de BDI'!$C$8)</f>
        <v/>
      </c>
      <c r="P49" s="109" t="str">
        <f t="shared" si="3"/>
        <v/>
      </c>
      <c r="Q49" s="110" t="str">
        <f t="shared" si="4"/>
        <v/>
      </c>
      <c r="R49" s="111">
        <f>+'Tabela de BDI'!$F$9*C49</f>
        <v>3240</v>
      </c>
      <c r="S49" s="114"/>
    </row>
    <row r="50" spans="1:21" ht="15.75" customHeight="1" x14ac:dyDescent="0.25">
      <c r="A50" s="246"/>
      <c r="B50" s="116" t="s">
        <v>89</v>
      </c>
      <c r="C50" s="202">
        <f t="shared" si="0"/>
        <v>28.125</v>
      </c>
      <c r="D50" s="204" t="e">
        <f>ABS('Preço SFCR-GROWATT TRINA 375Wp'!$G$43-C50)</f>
        <v>#DIV/0!</v>
      </c>
      <c r="E50" s="181">
        <v>75</v>
      </c>
      <c r="F50" s="112" t="str">
        <f>+IF(K50=0,"",ROUND(M50/(1-'Tabela de BDI'!$C$3),0))</f>
        <v/>
      </c>
      <c r="G50" s="156"/>
      <c r="H50" s="106"/>
      <c r="I50" s="157"/>
      <c r="J50" s="150">
        <f t="shared" si="5"/>
        <v>0</v>
      </c>
      <c r="K50" s="106">
        <f t="shared" si="1"/>
        <v>0</v>
      </c>
      <c r="L50" s="151">
        <f t="shared" si="12"/>
        <v>13125</v>
      </c>
      <c r="M50" s="106">
        <f t="shared" si="2"/>
        <v>13125</v>
      </c>
      <c r="N50" s="106" t="str">
        <f>+IF(F50="","",F50*'Tabela de BDI'!$C$7)</f>
        <v/>
      </c>
      <c r="O50" s="106" t="str">
        <f>IF(F50="","",F50*'Tabela de BDI'!$C$8)</f>
        <v/>
      </c>
      <c r="P50" s="109" t="str">
        <f t="shared" si="3"/>
        <v/>
      </c>
      <c r="Q50" s="110" t="str">
        <f t="shared" si="4"/>
        <v/>
      </c>
      <c r="R50" s="111">
        <f>+'Tabela de BDI'!$F$9*C50</f>
        <v>3375</v>
      </c>
      <c r="S50" s="114"/>
    </row>
    <row r="51" spans="1:21" ht="15.75" customHeight="1" x14ac:dyDescent="0.25">
      <c r="A51" s="246"/>
      <c r="B51" s="116" t="s">
        <v>89</v>
      </c>
      <c r="C51" s="202">
        <f t="shared" si="0"/>
        <v>29.25</v>
      </c>
      <c r="D51" s="204" t="e">
        <f>ABS('Preço SFCR-GROWATT TRINA 375Wp'!$G$43-C51)</f>
        <v>#DIV/0!</v>
      </c>
      <c r="E51" s="181">
        <v>78</v>
      </c>
      <c r="F51" s="112" t="str">
        <f>+IF(K51=0,"",ROUND(M51/(1-'Tabela de BDI'!$C$3),0))</f>
        <v/>
      </c>
      <c r="G51" s="156"/>
      <c r="H51" s="106"/>
      <c r="I51" s="206"/>
      <c r="J51" s="150">
        <f t="shared" si="5"/>
        <v>0</v>
      </c>
      <c r="K51" s="106">
        <f t="shared" si="1"/>
        <v>0</v>
      </c>
      <c r="L51" s="151">
        <f t="shared" si="12"/>
        <v>13500</v>
      </c>
      <c r="M51" s="106">
        <f t="shared" si="2"/>
        <v>13500</v>
      </c>
      <c r="N51" s="106" t="str">
        <f>+IF(F51="","",F51*'Tabela de BDI'!$C$7)</f>
        <v/>
      </c>
      <c r="O51" s="106" t="str">
        <f>IF(F51="","",F51*'Tabela de BDI'!$C$8)</f>
        <v/>
      </c>
      <c r="P51" s="109" t="str">
        <f t="shared" si="3"/>
        <v/>
      </c>
      <c r="Q51" s="110" t="str">
        <f t="shared" si="4"/>
        <v/>
      </c>
      <c r="R51" s="111">
        <f>+'Tabela de BDI'!$F$9*C51</f>
        <v>3510</v>
      </c>
      <c r="S51" s="114"/>
    </row>
    <row r="52" spans="1:21" ht="15.75" customHeight="1" x14ac:dyDescent="0.25">
      <c r="A52" s="246"/>
      <c r="B52" s="116" t="s">
        <v>89</v>
      </c>
      <c r="C52" s="202">
        <f t="shared" si="0"/>
        <v>30</v>
      </c>
      <c r="D52" s="204" t="e">
        <f>ABS('Preço SFCR-GROWATT TRINA 375Wp'!$G$43-C52)</f>
        <v>#DIV/0!</v>
      </c>
      <c r="E52" s="181">
        <v>80</v>
      </c>
      <c r="F52" s="112" t="str">
        <f>+IF(K52=0,"",ROUND(M52/(1-'Tabela de BDI'!$C$3),0))</f>
        <v/>
      </c>
      <c r="G52" s="107"/>
      <c r="H52" s="106"/>
      <c r="I52" s="143"/>
      <c r="J52" s="121"/>
      <c r="K52" s="106">
        <f t="shared" si="1"/>
        <v>0</v>
      </c>
      <c r="L52" s="151">
        <f t="shared" si="12"/>
        <v>13750</v>
      </c>
      <c r="M52" s="106">
        <f t="shared" si="2"/>
        <v>13750</v>
      </c>
      <c r="N52" s="106" t="str">
        <f>+IF(F52="","",F52*'Tabela de BDI'!$C$7)</f>
        <v/>
      </c>
      <c r="O52" s="106" t="str">
        <f>IF(F52="","",F52*'Tabela de BDI'!$C$8)</f>
        <v/>
      </c>
      <c r="P52" s="109" t="str">
        <f t="shared" si="3"/>
        <v/>
      </c>
      <c r="Q52" s="110" t="str">
        <f t="shared" si="4"/>
        <v/>
      </c>
      <c r="R52" s="111">
        <f>+'Tabela de BDI'!$F$9*C52</f>
        <v>3600</v>
      </c>
      <c r="S52" s="114"/>
    </row>
    <row r="53" spans="1:21" ht="15.75" customHeight="1" x14ac:dyDescent="0.25">
      <c r="A53" s="246"/>
      <c r="B53" s="116" t="s">
        <v>89</v>
      </c>
      <c r="C53" s="202">
        <f t="shared" si="0"/>
        <v>31.5</v>
      </c>
      <c r="D53" s="204" t="e">
        <f>ABS('Preço SFCR-GROWATT TRINA 375Wp'!$G$43-C53)</f>
        <v>#DIV/0!</v>
      </c>
      <c r="E53" s="181">
        <v>84</v>
      </c>
      <c r="F53" s="112" t="str">
        <f>+IF(K53=0,"",ROUND(M53/(1-'Tabela de BDI'!$C$3),0))</f>
        <v/>
      </c>
      <c r="G53" s="107"/>
      <c r="H53" s="106"/>
      <c r="I53" s="143"/>
      <c r="J53" s="121"/>
      <c r="K53" s="106">
        <f t="shared" si="1"/>
        <v>0</v>
      </c>
      <c r="L53" s="151">
        <f t="shared" si="12"/>
        <v>14250</v>
      </c>
      <c r="M53" s="106">
        <f t="shared" si="2"/>
        <v>14250</v>
      </c>
      <c r="N53" s="106" t="str">
        <f>+IF(F53="","",F53*'Tabela de BDI'!$C$7)</f>
        <v/>
      </c>
      <c r="O53" s="106" t="str">
        <f>IF(F53="","",F53*'Tabela de BDI'!$C$8)</f>
        <v/>
      </c>
      <c r="P53" s="109" t="str">
        <f t="shared" si="3"/>
        <v/>
      </c>
      <c r="Q53" s="110" t="str">
        <f t="shared" si="4"/>
        <v/>
      </c>
      <c r="R53" s="111">
        <f>+'Tabela de BDI'!$F$9*C53</f>
        <v>3780</v>
      </c>
      <c r="S53" s="114"/>
    </row>
    <row r="54" spans="1:21" ht="15.75" customHeight="1" x14ac:dyDescent="0.25">
      <c r="A54" s="246"/>
      <c r="B54" s="116" t="s">
        <v>89</v>
      </c>
      <c r="C54" s="202">
        <f t="shared" si="0"/>
        <v>33</v>
      </c>
      <c r="D54" s="204" t="e">
        <f>ABS('Preço SFCR-GROWATT TRINA 375Wp'!$G$43-C54)</f>
        <v>#DIV/0!</v>
      </c>
      <c r="E54" s="181">
        <v>88</v>
      </c>
      <c r="F54" s="112" t="str">
        <f>+IF(K54=0,"",ROUND(M54/(1-'Tabela de BDI'!$C$3),0))</f>
        <v/>
      </c>
      <c r="G54" s="107"/>
      <c r="H54" s="106"/>
      <c r="I54" s="143"/>
      <c r="J54" s="121"/>
      <c r="K54" s="106">
        <f t="shared" si="1"/>
        <v>0</v>
      </c>
      <c r="L54" s="151">
        <f t="shared" si="12"/>
        <v>14750</v>
      </c>
      <c r="M54" s="106">
        <f t="shared" si="2"/>
        <v>14750</v>
      </c>
      <c r="N54" s="106" t="str">
        <f>+IF(F54="","",F54*'Tabela de BDI'!$C$7)</f>
        <v/>
      </c>
      <c r="O54" s="106" t="str">
        <f>IF(F54="","",F54*'Tabela de BDI'!$C$8)</f>
        <v/>
      </c>
      <c r="P54" s="109" t="str">
        <f t="shared" si="3"/>
        <v/>
      </c>
      <c r="Q54" s="110" t="str">
        <f t="shared" si="4"/>
        <v/>
      </c>
      <c r="R54" s="111">
        <f>+'Tabela de BDI'!$F$9*C54</f>
        <v>3960</v>
      </c>
      <c r="S54" s="114"/>
    </row>
    <row r="55" spans="1:21" ht="15.75" customHeight="1" x14ac:dyDescent="0.25">
      <c r="A55" s="246"/>
      <c r="B55" s="116" t="s">
        <v>89</v>
      </c>
      <c r="C55" s="202">
        <f t="shared" si="0"/>
        <v>33.75</v>
      </c>
      <c r="D55" s="204" t="e">
        <f>ABS('Preço SFCR-GROWATT TRINA 375Wp'!$G$43-C55)</f>
        <v>#DIV/0!</v>
      </c>
      <c r="E55" s="181">
        <v>90</v>
      </c>
      <c r="F55" s="112" t="str">
        <f>+IF(K55=0,"",ROUND(M55/(1-'Tabela de BDI'!$C$3),0))</f>
        <v/>
      </c>
      <c r="G55" s="107"/>
      <c r="H55" s="106"/>
      <c r="I55" s="143"/>
      <c r="J55" s="121"/>
      <c r="K55" s="106">
        <f t="shared" si="1"/>
        <v>0</v>
      </c>
      <c r="L55" s="151">
        <f t="shared" si="12"/>
        <v>15000</v>
      </c>
      <c r="M55" s="106">
        <f t="shared" si="2"/>
        <v>15000</v>
      </c>
      <c r="N55" s="106" t="str">
        <f>+IF(F55="","",F55*'Tabela de BDI'!$C$7)</f>
        <v/>
      </c>
      <c r="O55" s="106" t="str">
        <f>IF(F55="","",F55*'Tabela de BDI'!$C$8)</f>
        <v/>
      </c>
      <c r="P55" s="109" t="str">
        <f t="shared" si="3"/>
        <v/>
      </c>
      <c r="Q55" s="110" t="str">
        <f t="shared" si="4"/>
        <v/>
      </c>
      <c r="R55" s="111">
        <f>+'Tabela de BDI'!$F$9*C55</f>
        <v>4050</v>
      </c>
      <c r="S55" s="114"/>
    </row>
    <row r="56" spans="1:21" ht="15.75" customHeight="1" x14ac:dyDescent="0.25">
      <c r="A56" s="246"/>
      <c r="B56" s="116" t="s">
        <v>89</v>
      </c>
      <c r="C56" s="202">
        <f t="shared" si="0"/>
        <v>34.5</v>
      </c>
      <c r="D56" s="204" t="e">
        <f>ABS('Preço SFCR-GROWATT TRINA 375Wp'!$G$43-C56)</f>
        <v>#DIV/0!</v>
      </c>
      <c r="E56" s="181">
        <v>92</v>
      </c>
      <c r="F56" s="112" t="str">
        <f>+IF(K56=0,"",ROUND(M56/(1-'Tabela de BDI'!$C$3),0))</f>
        <v/>
      </c>
      <c r="G56" s="107"/>
      <c r="H56" s="106"/>
      <c r="I56" s="143"/>
      <c r="J56" s="121"/>
      <c r="K56" s="106">
        <f t="shared" si="1"/>
        <v>0</v>
      </c>
      <c r="L56" s="151">
        <f t="shared" si="12"/>
        <v>15250</v>
      </c>
      <c r="M56" s="106">
        <f t="shared" si="2"/>
        <v>15250</v>
      </c>
      <c r="N56" s="106" t="str">
        <f>+IF(F56="","",F56*'Tabela de BDI'!$C$7)</f>
        <v/>
      </c>
      <c r="O56" s="106" t="str">
        <f>IF(F56="","",F56*'Tabela de BDI'!$C$8)</f>
        <v/>
      </c>
      <c r="P56" s="109" t="str">
        <f t="shared" si="3"/>
        <v/>
      </c>
      <c r="Q56" s="110" t="str">
        <f t="shared" si="4"/>
        <v/>
      </c>
      <c r="R56" s="111">
        <f>+'Tabela de BDI'!$F$9*C56</f>
        <v>4140</v>
      </c>
      <c r="S56" s="114"/>
    </row>
    <row r="57" spans="1:21" ht="15.75" customHeight="1" x14ac:dyDescent="0.25">
      <c r="A57" s="246"/>
      <c r="B57" s="116" t="s">
        <v>89</v>
      </c>
      <c r="C57" s="202">
        <f t="shared" si="0"/>
        <v>35.625</v>
      </c>
      <c r="D57" s="204" t="e">
        <f>ABS('Preço SFCR-GROWATT TRINA 375Wp'!$G$43-C57)</f>
        <v>#DIV/0!</v>
      </c>
      <c r="E57" s="181">
        <v>95</v>
      </c>
      <c r="F57" s="112" t="str">
        <f>+IF(K57=0,"",ROUND(M57/(1-'Tabela de BDI'!$C$3),0))</f>
        <v/>
      </c>
      <c r="G57" s="107"/>
      <c r="H57" s="106"/>
      <c r="I57" s="143"/>
      <c r="J57" s="121"/>
      <c r="K57" s="106">
        <f t="shared" si="1"/>
        <v>0</v>
      </c>
      <c r="L57" s="151">
        <f t="shared" si="12"/>
        <v>15625</v>
      </c>
      <c r="M57" s="106">
        <f t="shared" si="2"/>
        <v>15625</v>
      </c>
      <c r="N57" s="106" t="str">
        <f>+IF(F57="","",F57*'Tabela de BDI'!$C$7)</f>
        <v/>
      </c>
      <c r="O57" s="106" t="str">
        <f>IF(F57="","",F57*'Tabela de BDI'!$C$8)</f>
        <v/>
      </c>
      <c r="P57" s="109" t="str">
        <f t="shared" si="3"/>
        <v/>
      </c>
      <c r="Q57" s="110" t="str">
        <f t="shared" si="4"/>
        <v/>
      </c>
      <c r="R57" s="111">
        <f>+'Tabela de BDI'!$F$9*C57</f>
        <v>4275</v>
      </c>
      <c r="S57" s="114"/>
    </row>
    <row r="58" spans="1:21" ht="15.75" customHeight="1" x14ac:dyDescent="0.25">
      <c r="A58" s="246"/>
      <c r="B58" s="116" t="s">
        <v>89</v>
      </c>
      <c r="C58" s="202">
        <f t="shared" si="0"/>
        <v>36</v>
      </c>
      <c r="D58" s="204" t="e">
        <f>ABS('Preço SFCR-GROWATT TRINA 375Wp'!$G$43-C58)</f>
        <v>#DIV/0!</v>
      </c>
      <c r="E58" s="181">
        <v>96</v>
      </c>
      <c r="F58" s="112" t="str">
        <f>+IF(K58=0,"",ROUND(M58/(1-'Tabela de BDI'!$C$3),0))</f>
        <v/>
      </c>
      <c r="G58" s="107"/>
      <c r="H58" s="106"/>
      <c r="I58" s="143"/>
      <c r="J58" s="121"/>
      <c r="K58" s="106">
        <f t="shared" si="1"/>
        <v>0</v>
      </c>
      <c r="L58" s="151">
        <f t="shared" si="12"/>
        <v>15750</v>
      </c>
      <c r="M58" s="106">
        <f t="shared" si="2"/>
        <v>15750</v>
      </c>
      <c r="N58" s="106" t="str">
        <f>+IF(F58="","",F58*'Tabela de BDI'!$C$7)</f>
        <v/>
      </c>
      <c r="O58" s="106" t="str">
        <f>IF(F58="","",F58*'Tabela de BDI'!$C$8)</f>
        <v/>
      </c>
      <c r="P58" s="109" t="str">
        <f t="shared" si="3"/>
        <v/>
      </c>
      <c r="Q58" s="110" t="str">
        <f t="shared" si="4"/>
        <v/>
      </c>
      <c r="R58" s="111">
        <f>+'Tabela de BDI'!$F$9*C58</f>
        <v>4320</v>
      </c>
      <c r="S58" s="114"/>
    </row>
    <row r="59" spans="1:21" ht="15.75" customHeight="1" x14ac:dyDescent="0.25">
      <c r="A59" s="246"/>
      <c r="B59" s="116" t="s">
        <v>89</v>
      </c>
      <c r="C59" s="202">
        <f t="shared" si="0"/>
        <v>36.75</v>
      </c>
      <c r="D59" s="204" t="e">
        <f>ABS('Preço SFCR-GROWATT TRINA 375Wp'!$G$43-C59)</f>
        <v>#DIV/0!</v>
      </c>
      <c r="E59" s="181">
        <v>98</v>
      </c>
      <c r="F59" s="112" t="str">
        <f>+IF(K59=0,"",ROUND(M59/(1-'Tabela de BDI'!$C$3),0))</f>
        <v/>
      </c>
      <c r="G59" s="107"/>
      <c r="H59" s="106"/>
      <c r="I59" s="143"/>
      <c r="J59" s="121"/>
      <c r="K59" s="106">
        <f t="shared" si="1"/>
        <v>0</v>
      </c>
      <c r="L59" s="151">
        <f t="shared" si="12"/>
        <v>16000</v>
      </c>
      <c r="M59" s="106">
        <f t="shared" si="2"/>
        <v>16000</v>
      </c>
      <c r="N59" s="106" t="str">
        <f>+IF(F59="","",F59*'Tabela de BDI'!$C$7)</f>
        <v/>
      </c>
      <c r="O59" s="106" t="str">
        <f>IF(F59="","",F59*'Tabela de BDI'!$C$8)</f>
        <v/>
      </c>
      <c r="P59" s="109" t="str">
        <f t="shared" si="3"/>
        <v/>
      </c>
      <c r="Q59" s="110" t="str">
        <f t="shared" si="4"/>
        <v/>
      </c>
      <c r="R59" s="111">
        <f>+'Tabela de BDI'!$F$9*C59</f>
        <v>4410</v>
      </c>
      <c r="S59" s="114"/>
    </row>
    <row r="60" spans="1:21" ht="15.75" customHeight="1" x14ac:dyDescent="0.25">
      <c r="A60" s="246"/>
      <c r="B60" s="116" t="s">
        <v>89</v>
      </c>
      <c r="C60" s="202">
        <f t="shared" si="0"/>
        <v>37.5</v>
      </c>
      <c r="D60" s="204" t="e">
        <f>ABS('Preço SFCR-GROWATT TRINA 375Wp'!$G$43-C60)</f>
        <v>#DIV/0!</v>
      </c>
      <c r="E60" s="181">
        <v>100</v>
      </c>
      <c r="F60" s="112" t="str">
        <f>+IF(K60=0,"",ROUND(M60/(1-'Tabela de BDI'!$C$3),0))</f>
        <v/>
      </c>
      <c r="G60" s="107"/>
      <c r="H60" s="106"/>
      <c r="I60" s="143"/>
      <c r="J60" s="121"/>
      <c r="K60" s="106">
        <f t="shared" si="1"/>
        <v>0</v>
      </c>
      <c r="L60" s="151">
        <f t="shared" si="12"/>
        <v>16250</v>
      </c>
      <c r="M60" s="106">
        <f t="shared" si="2"/>
        <v>16250</v>
      </c>
      <c r="N60" s="106" t="str">
        <f>+IF(F60="","",F60*'Tabela de BDI'!$C$7)</f>
        <v/>
      </c>
      <c r="O60" s="106" t="str">
        <f>IF(F60="","",F60*'Tabela de BDI'!$C$8)</f>
        <v/>
      </c>
      <c r="P60" s="109" t="str">
        <f t="shared" si="3"/>
        <v/>
      </c>
      <c r="Q60" s="110" t="str">
        <f t="shared" si="4"/>
        <v/>
      </c>
      <c r="R60" s="111">
        <f>+'Tabela de BDI'!$F$9*C60</f>
        <v>4500</v>
      </c>
      <c r="S60" s="114"/>
    </row>
    <row r="61" spans="1:21" ht="15.75" customHeight="1" x14ac:dyDescent="0.25">
      <c r="A61" s="246"/>
      <c r="B61" s="116" t="s">
        <v>89</v>
      </c>
      <c r="C61" s="202">
        <f t="shared" si="0"/>
        <v>38.25</v>
      </c>
      <c r="D61" s="204" t="e">
        <f>ABS('Preço SFCR-GROWATT TRINA 375Wp'!$G$43-C61)</f>
        <v>#DIV/0!</v>
      </c>
      <c r="E61" s="181">
        <v>102</v>
      </c>
      <c r="F61" s="112" t="str">
        <f>+IF(K61=0,"",ROUND(M61/(1-'Tabela de BDI'!$C$3),0))</f>
        <v/>
      </c>
      <c r="G61" s="107"/>
      <c r="H61" s="106"/>
      <c r="I61" s="143"/>
      <c r="J61" s="121"/>
      <c r="K61" s="106">
        <f t="shared" si="1"/>
        <v>0</v>
      </c>
      <c r="L61" s="151">
        <f t="shared" si="12"/>
        <v>16500</v>
      </c>
      <c r="M61" s="106">
        <f t="shared" si="2"/>
        <v>16500</v>
      </c>
      <c r="N61" s="106" t="str">
        <f>+IF(F61="","",F61*'Tabela de BDI'!$C$7)</f>
        <v/>
      </c>
      <c r="O61" s="106" t="str">
        <f>IF(F61="","",F61*'Tabela de BDI'!$C$8)</f>
        <v/>
      </c>
      <c r="P61" s="109" t="str">
        <f t="shared" si="3"/>
        <v/>
      </c>
      <c r="Q61" s="110" t="str">
        <f t="shared" si="4"/>
        <v/>
      </c>
      <c r="R61" s="111">
        <f>+'Tabela de BDI'!$F$9*C61</f>
        <v>4590</v>
      </c>
      <c r="S61" s="114"/>
    </row>
    <row r="62" spans="1:21" ht="15.75" customHeight="1" x14ac:dyDescent="0.25">
      <c r="A62" s="246"/>
      <c r="B62" s="116" t="s">
        <v>89</v>
      </c>
      <c r="C62" s="202">
        <f t="shared" si="0"/>
        <v>39</v>
      </c>
      <c r="D62" s="204" t="e">
        <f>ABS('Preço SFCR-GROWATT TRINA 375Wp'!$G$43-C62)</f>
        <v>#DIV/0!</v>
      </c>
      <c r="E62" s="181">
        <v>104</v>
      </c>
      <c r="F62" s="112" t="str">
        <f>+IF(K62=0,"",ROUND(M62/(1-'Tabela de BDI'!$C$3),0))</f>
        <v/>
      </c>
      <c r="G62" s="107"/>
      <c r="H62" s="106"/>
      <c r="I62" s="143"/>
      <c r="J62" s="121"/>
      <c r="K62" s="106">
        <f t="shared" si="1"/>
        <v>0</v>
      </c>
      <c r="L62" s="151">
        <f t="shared" si="12"/>
        <v>16750</v>
      </c>
      <c r="M62" s="106">
        <f t="shared" si="2"/>
        <v>16750</v>
      </c>
      <c r="N62" s="106" t="str">
        <f>+IF(F62="","",F62*'Tabela de BDI'!$C$7)</f>
        <v/>
      </c>
      <c r="O62" s="106" t="str">
        <f>IF(F62="","",F62*'Tabela de BDI'!$C$8)</f>
        <v/>
      </c>
      <c r="P62" s="109" t="str">
        <f t="shared" si="3"/>
        <v/>
      </c>
      <c r="Q62" s="110" t="str">
        <f t="shared" si="4"/>
        <v/>
      </c>
      <c r="R62" s="111">
        <f>+'Tabela de BDI'!$F$9*C62</f>
        <v>4680</v>
      </c>
      <c r="S62" s="114"/>
    </row>
    <row r="63" spans="1:21" ht="15.75" customHeight="1" x14ac:dyDescent="0.25">
      <c r="A63" s="246"/>
      <c r="B63" s="116" t="s">
        <v>89</v>
      </c>
      <c r="C63" s="202">
        <f t="shared" si="0"/>
        <v>40.5</v>
      </c>
      <c r="D63" s="204" t="e">
        <f>ABS('Preço SFCR-GROWATT TRINA 375Wp'!$G$43-C63)</f>
        <v>#DIV/0!</v>
      </c>
      <c r="E63" s="181">
        <v>108</v>
      </c>
      <c r="F63" s="112" t="str">
        <f>+IF(K63=0,"",ROUND(M63/(1-'Tabela de BDI'!$C$3),0))</f>
        <v/>
      </c>
      <c r="G63" s="107"/>
      <c r="H63" s="106"/>
      <c r="I63" s="143"/>
      <c r="J63" s="121"/>
      <c r="K63" s="106">
        <f t="shared" si="1"/>
        <v>0</v>
      </c>
      <c r="L63" s="151">
        <f t="shared" si="12"/>
        <v>17250</v>
      </c>
      <c r="M63" s="106">
        <f t="shared" si="2"/>
        <v>17250</v>
      </c>
      <c r="N63" s="106" t="str">
        <f>+IF(F63="","",F63*'Tabela de BDI'!$C$7)</f>
        <v/>
      </c>
      <c r="O63" s="106" t="str">
        <f>IF(F63="","",F63*'Tabela de BDI'!$C$8)</f>
        <v/>
      </c>
      <c r="P63" s="109" t="str">
        <f t="shared" si="3"/>
        <v/>
      </c>
      <c r="Q63" s="110" t="str">
        <f t="shared" si="4"/>
        <v/>
      </c>
      <c r="R63" s="111">
        <f>+'Tabela de BDI'!$F$9*C63</f>
        <v>4860</v>
      </c>
      <c r="S63" s="114"/>
    </row>
    <row r="64" spans="1:21" ht="15.75" customHeight="1" x14ac:dyDescent="0.25">
      <c r="A64" s="246"/>
      <c r="B64" s="117"/>
      <c r="C64" s="104"/>
      <c r="D64" s="203"/>
      <c r="E64" s="105"/>
      <c r="F64" s="106"/>
      <c r="G64" s="107"/>
      <c r="H64" s="106"/>
      <c r="I64" s="143"/>
      <c r="J64" s="106"/>
      <c r="K64" s="106"/>
      <c r="L64" s="106"/>
      <c r="M64" s="106"/>
      <c r="N64" s="106"/>
      <c r="O64" s="106"/>
      <c r="P64" s="106"/>
      <c r="Q64" s="110" t="str">
        <f t="shared" si="4"/>
        <v/>
      </c>
      <c r="R64" s="111"/>
      <c r="S64" s="114"/>
      <c r="U64" s="200"/>
    </row>
    <row r="65" spans="1:21" ht="15.75" customHeight="1" x14ac:dyDescent="0.25">
      <c r="A65" s="246"/>
      <c r="B65" s="117"/>
      <c r="C65" s="104"/>
      <c r="D65" s="201"/>
      <c r="E65" s="105"/>
      <c r="F65" s="106"/>
      <c r="G65" s="107"/>
      <c r="H65" s="106"/>
      <c r="I65" s="143"/>
      <c r="J65" s="106"/>
      <c r="K65" s="106"/>
      <c r="L65" s="106"/>
      <c r="M65" s="106"/>
      <c r="N65" s="106"/>
      <c r="O65" s="106"/>
      <c r="P65" s="106"/>
      <c r="Q65" s="110" t="str">
        <f t="shared" si="4"/>
        <v/>
      </c>
      <c r="R65" s="111"/>
      <c r="S65" s="114"/>
      <c r="U65" s="200"/>
    </row>
    <row r="66" spans="1:21" ht="15.75" customHeight="1" x14ac:dyDescent="0.25">
      <c r="A66" s="246"/>
      <c r="B66" s="246"/>
      <c r="C66" s="246"/>
      <c r="D66" s="246"/>
      <c r="E66" s="246"/>
      <c r="F66" s="246"/>
      <c r="G66" s="246"/>
      <c r="H66" s="246"/>
      <c r="I66" s="246"/>
      <c r="J66" s="246"/>
      <c r="K66" s="118"/>
      <c r="L66" s="118"/>
      <c r="M66" s="118"/>
      <c r="N66" s="118"/>
      <c r="O66" s="118"/>
      <c r="P66" s="118"/>
      <c r="Q66" s="118"/>
      <c r="R66" s="246"/>
      <c r="S66" s="246"/>
    </row>
    <row r="67" spans="1:21" ht="15.75" customHeight="1" x14ac:dyDescent="0.25">
      <c r="A67" s="246"/>
      <c r="B67" s="337" t="s">
        <v>79</v>
      </c>
      <c r="C67" s="338"/>
      <c r="D67" s="244"/>
      <c r="E67" s="246"/>
      <c r="F67" s="119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</row>
    <row r="68" spans="1:21" ht="15.75" customHeight="1" x14ac:dyDescent="0.25">
      <c r="A68" s="246"/>
      <c r="B68" s="119">
        <v>44391</v>
      </c>
      <c r="C68" s="246"/>
      <c r="D68" s="246"/>
      <c r="E68" s="246"/>
      <c r="F68" s="246"/>
      <c r="G68" s="246"/>
      <c r="H68" s="246"/>
      <c r="I68" s="246"/>
      <c r="J68" s="246"/>
      <c r="R68" s="246"/>
      <c r="S68" s="246"/>
    </row>
    <row r="69" spans="1:21" ht="15.75" customHeight="1" x14ac:dyDescent="0.25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</row>
    <row r="70" spans="1:21" ht="15.75" customHeight="1" x14ac:dyDescent="0.25">
      <c r="A70" s="246"/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</row>
    <row r="71" spans="1:21" ht="15.75" customHeight="1" x14ac:dyDescent="0.25">
      <c r="A71" s="246"/>
      <c r="B71" s="246"/>
      <c r="C71" s="246"/>
      <c r="D71" s="246"/>
      <c r="E71" s="246"/>
      <c r="F71" s="246"/>
      <c r="G71" s="246"/>
      <c r="H71" s="246"/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46"/>
    </row>
    <row r="72" spans="1:21" ht="15.75" customHeight="1" x14ac:dyDescent="0.25">
      <c r="A72" s="246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</row>
    <row r="73" spans="1:21" ht="15.75" customHeight="1" x14ac:dyDescent="0.25">
      <c r="A73" s="246"/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</row>
    <row r="74" spans="1:21" ht="15.75" customHeight="1" x14ac:dyDescent="0.25">
      <c r="A74" s="246"/>
      <c r="B74" s="246"/>
      <c r="C74" s="246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</row>
    <row r="75" spans="1:21" ht="15.75" customHeight="1" x14ac:dyDescent="0.25">
      <c r="A75" s="246"/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</row>
    <row r="76" spans="1:21" ht="15.75" customHeight="1" x14ac:dyDescent="0.25">
      <c r="A76" s="246"/>
      <c r="B76" s="246"/>
      <c r="C76" s="246"/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</row>
    <row r="77" spans="1:21" ht="15.75" customHeight="1" x14ac:dyDescent="0.25">
      <c r="A77" s="246"/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</row>
    <row r="78" spans="1:21" ht="15.75" customHeight="1" x14ac:dyDescent="0.25">
      <c r="A78" s="246"/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</row>
    <row r="79" spans="1:21" ht="15.75" customHeight="1" x14ac:dyDescent="0.25">
      <c r="A79" s="246"/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</row>
    <row r="80" spans="1:21" ht="15.75" customHeight="1" x14ac:dyDescent="0.25">
      <c r="A80" s="246"/>
      <c r="B80" s="246"/>
      <c r="C80" s="246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</row>
    <row r="81" spans="1:19" ht="15.75" customHeight="1" x14ac:dyDescent="0.25">
      <c r="A81" s="246"/>
      <c r="B81" s="246"/>
      <c r="C81" s="246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</row>
    <row r="82" spans="1:19" ht="15.75" customHeight="1" x14ac:dyDescent="0.25">
      <c r="A82" s="246"/>
      <c r="B82" s="246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</row>
    <row r="83" spans="1:19" ht="15.75" customHeight="1" x14ac:dyDescent="0.25">
      <c r="A83" s="246"/>
      <c r="B83" s="246"/>
      <c r="C83" s="246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</row>
    <row r="84" spans="1:19" ht="15.75" customHeight="1" x14ac:dyDescent="0.25">
      <c r="A84" s="246"/>
      <c r="B84" s="246"/>
      <c r="C84" s="246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</row>
    <row r="85" spans="1:19" ht="15.75" customHeight="1" x14ac:dyDescent="0.25">
      <c r="A85" s="246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</row>
    <row r="86" spans="1:19" ht="15.75" customHeight="1" x14ac:dyDescent="0.25">
      <c r="A86" s="246"/>
      <c r="B86" s="246"/>
      <c r="C86" s="246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</row>
    <row r="87" spans="1:19" ht="15.75" customHeight="1" x14ac:dyDescent="0.25">
      <c r="A87" s="246"/>
      <c r="B87" s="246"/>
      <c r="C87" s="246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</row>
    <row r="88" spans="1:19" ht="15.75" customHeight="1" x14ac:dyDescent="0.25">
      <c r="A88" s="246"/>
      <c r="B88" s="246"/>
      <c r="C88" s="246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</row>
    <row r="89" spans="1:19" ht="15.75" customHeight="1" x14ac:dyDescent="0.25">
      <c r="A89" s="246"/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</row>
    <row r="90" spans="1:19" ht="15.75" customHeight="1" x14ac:dyDescent="0.25">
      <c r="A90" s="246"/>
      <c r="B90" s="246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</row>
    <row r="91" spans="1:19" ht="15.75" customHeight="1" x14ac:dyDescent="0.25">
      <c r="A91" s="246"/>
      <c r="B91" s="246"/>
      <c r="C91" s="246"/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</row>
    <row r="92" spans="1:19" ht="15.75" customHeight="1" x14ac:dyDescent="0.25">
      <c r="A92" s="246"/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</row>
    <row r="93" spans="1:19" ht="15.75" customHeight="1" x14ac:dyDescent="0.25">
      <c r="A93" s="246"/>
      <c r="B93" s="246"/>
      <c r="C93" s="246"/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</row>
    <row r="94" spans="1:19" ht="15.75" customHeight="1" x14ac:dyDescent="0.25">
      <c r="A94" s="246"/>
      <c r="B94" s="246"/>
      <c r="C94" s="246"/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</row>
    <row r="95" spans="1:19" ht="15.75" customHeight="1" x14ac:dyDescent="0.25">
      <c r="A95" s="246"/>
      <c r="B95" s="246"/>
      <c r="C95" s="246"/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</row>
    <row r="96" spans="1:19" ht="15.75" customHeight="1" x14ac:dyDescent="0.25">
      <c r="A96" s="246"/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</row>
    <row r="97" spans="1:19" ht="15.75" customHeight="1" x14ac:dyDescent="0.25">
      <c r="A97" s="246"/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</row>
    <row r="98" spans="1:19" ht="15.75" customHeight="1" x14ac:dyDescent="0.25">
      <c r="A98" s="246"/>
      <c r="B98" s="246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</row>
    <row r="99" spans="1:19" ht="15.75" customHeight="1" x14ac:dyDescent="0.25">
      <c r="A99" s="246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</row>
    <row r="100" spans="1:19" ht="15.75" customHeight="1" x14ac:dyDescent="0.25">
      <c r="A100" s="246"/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</row>
    <row r="101" spans="1:19" ht="15.75" customHeight="1" x14ac:dyDescent="0.25">
      <c r="A101" s="246"/>
      <c r="B101" s="246"/>
      <c r="C101" s="246"/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</row>
    <row r="102" spans="1:19" ht="15.75" customHeight="1" x14ac:dyDescent="0.25">
      <c r="A102" s="246"/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</row>
    <row r="103" spans="1:19" ht="15.75" customHeight="1" x14ac:dyDescent="0.25">
      <c r="A103" s="246"/>
      <c r="B103" s="246"/>
      <c r="C103" s="246"/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</row>
    <row r="104" spans="1:19" ht="15.75" customHeight="1" x14ac:dyDescent="0.25">
      <c r="A104" s="246"/>
      <c r="B104" s="246"/>
      <c r="C104" s="246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</row>
    <row r="105" spans="1:19" ht="15.75" customHeight="1" x14ac:dyDescent="0.25">
      <c r="A105" s="246"/>
      <c r="B105" s="246"/>
      <c r="C105" s="246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</row>
    <row r="106" spans="1:19" ht="15.75" customHeight="1" x14ac:dyDescent="0.25">
      <c r="A106" s="246"/>
      <c r="B106" s="246"/>
      <c r="C106" s="246"/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</row>
    <row r="107" spans="1:19" ht="15.75" customHeight="1" x14ac:dyDescent="0.25">
      <c r="A107" s="246"/>
      <c r="B107" s="246"/>
      <c r="C107" s="246"/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</row>
    <row r="108" spans="1:19" ht="15.75" customHeight="1" x14ac:dyDescent="0.25">
      <c r="A108" s="246"/>
      <c r="B108" s="246"/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</row>
    <row r="109" spans="1:19" ht="15.75" customHeight="1" x14ac:dyDescent="0.25">
      <c r="A109" s="246"/>
      <c r="B109" s="246"/>
      <c r="C109" s="246"/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</row>
    <row r="110" spans="1:19" ht="15.75" customHeight="1" x14ac:dyDescent="0.25">
      <c r="A110" s="246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</row>
  </sheetData>
  <mergeCells count="21">
    <mergeCell ref="B2:D2"/>
    <mergeCell ref="E2:R2"/>
    <mergeCell ref="B3:D3"/>
    <mergeCell ref="E3:R3"/>
    <mergeCell ref="B4:B5"/>
    <mergeCell ref="C4:C5"/>
    <mergeCell ref="D4:D5"/>
    <mergeCell ref="E4:E5"/>
    <mergeCell ref="F4:F5"/>
    <mergeCell ref="G4:G5"/>
    <mergeCell ref="O4:O5"/>
    <mergeCell ref="P4:P5"/>
    <mergeCell ref="Q4:Q5"/>
    <mergeCell ref="R4:R5"/>
    <mergeCell ref="M4:M5"/>
    <mergeCell ref="N4:N5"/>
    <mergeCell ref="B67:C67"/>
    <mergeCell ref="H4:H5"/>
    <mergeCell ref="J4:J5"/>
    <mergeCell ref="K4:K5"/>
    <mergeCell ref="L4:L5"/>
  </mergeCells>
  <pageMargins left="0.51181102362204722" right="0.51181102362204722" top="0.78740157480314965" bottom="0.7874015748031496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6B50-9238-4FFD-AE40-0978EF8C06E6}">
  <sheetPr>
    <pageSetUpPr fitToPage="1"/>
  </sheetPr>
  <dimension ref="A1:O101"/>
  <sheetViews>
    <sheetView showGridLines="0" topLeftCell="B1" zoomScale="70" zoomScaleNormal="70" workbookViewId="0">
      <pane ySplit="9" topLeftCell="A25" activePane="bottomLeft" state="frozen"/>
      <selection activeCell="D22" sqref="D22:E22"/>
      <selection pane="bottomLeft" activeCell="D22" sqref="D22:E22"/>
    </sheetView>
  </sheetViews>
  <sheetFormatPr defaultColWidth="14.42578125" defaultRowHeight="15" customHeight="1" x14ac:dyDescent="0.25"/>
  <cols>
    <col min="1" max="1" width="8.7109375" style="238" customWidth="1"/>
    <col min="2" max="2" width="2.42578125" style="238" customWidth="1"/>
    <col min="3" max="3" width="35.140625" style="238" customWidth="1"/>
    <col min="4" max="4" width="25" style="238" customWidth="1"/>
    <col min="5" max="5" width="10" style="238" bestFit="1" customWidth="1"/>
    <col min="6" max="6" width="25.42578125" style="238" bestFit="1" customWidth="1"/>
    <col min="7" max="7" width="9.42578125" style="238" bestFit="1" customWidth="1"/>
    <col min="8" max="8" width="15.85546875" style="238" bestFit="1" customWidth="1"/>
    <col min="9" max="9" width="9.42578125" style="238" bestFit="1" customWidth="1"/>
    <col min="10" max="10" width="18.85546875" style="238" customWidth="1"/>
    <col min="11" max="11" width="10.7109375" style="238" bestFit="1" customWidth="1"/>
    <col min="12" max="12" width="25" style="238" bestFit="1" customWidth="1"/>
    <col min="13" max="13" width="9.42578125" style="238" bestFit="1" customWidth="1"/>
    <col min="14" max="14" width="26" style="238" customWidth="1"/>
    <col min="15" max="15" width="14.42578125" style="238" customWidth="1"/>
    <col min="16" max="16384" width="14.42578125" style="238"/>
  </cols>
  <sheetData>
    <row r="1" spans="1:15" x14ac:dyDescent="0.25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</row>
    <row r="2" spans="1:15" ht="15" customHeight="1" x14ac:dyDescent="0.25">
      <c r="A2" s="240"/>
      <c r="B2" s="240"/>
      <c r="C2" s="10" t="str">
        <f>+'Preço SFCR-FRONIUS-BYD'!C2</f>
        <v>Versão: Maio/2020</v>
      </c>
      <c r="D2" s="7"/>
      <c r="E2" s="7"/>
      <c r="F2" s="240"/>
      <c r="G2" s="240"/>
      <c r="H2" s="240"/>
      <c r="I2" s="240"/>
      <c r="J2" s="240"/>
      <c r="K2" s="240"/>
      <c r="L2" s="240"/>
      <c r="M2" s="240"/>
      <c r="N2" s="240"/>
      <c r="O2" s="240"/>
    </row>
    <row r="3" spans="1:15" ht="15" customHeight="1" x14ac:dyDescent="0.25">
      <c r="A3" s="240"/>
      <c r="B3" s="240"/>
      <c r="C3" s="10"/>
      <c r="D3" s="346" t="s">
        <v>12</v>
      </c>
      <c r="E3" s="347"/>
      <c r="F3" s="347"/>
      <c r="G3" s="347"/>
      <c r="H3" s="347"/>
      <c r="I3" s="347"/>
      <c r="J3" s="240"/>
      <c r="K3" s="240"/>
      <c r="L3" s="240"/>
      <c r="M3" s="240"/>
      <c r="N3" s="240"/>
      <c r="O3" s="240"/>
    </row>
    <row r="4" spans="1:15" ht="15" customHeight="1" x14ac:dyDescent="0.25">
      <c r="A4" s="240"/>
      <c r="B4" s="240"/>
      <c r="C4" s="10"/>
      <c r="D4" s="347"/>
      <c r="E4" s="347"/>
      <c r="F4" s="347"/>
      <c r="G4" s="347"/>
      <c r="H4" s="347"/>
      <c r="I4" s="347"/>
      <c r="J4" s="240"/>
      <c r="K4" s="240"/>
      <c r="L4" s="240"/>
      <c r="M4" s="240"/>
      <c r="N4" s="240"/>
      <c r="O4" s="240"/>
    </row>
    <row r="5" spans="1:15" ht="15" customHeight="1" x14ac:dyDescent="0.25">
      <c r="A5" s="240"/>
      <c r="B5" s="240"/>
      <c r="C5" s="10"/>
      <c r="D5" s="346" t="s">
        <v>47</v>
      </c>
      <c r="E5" s="347"/>
      <c r="F5" s="347"/>
      <c r="G5" s="347"/>
      <c r="H5" s="347"/>
      <c r="I5" s="347"/>
      <c r="J5" s="240"/>
      <c r="K5" s="240"/>
      <c r="L5" s="240"/>
      <c r="M5" s="240"/>
      <c r="N5" s="240"/>
      <c r="O5" s="240"/>
    </row>
    <row r="6" spans="1:15" ht="15" customHeight="1" x14ac:dyDescent="0.25">
      <c r="A6" s="240"/>
      <c r="B6" s="240"/>
      <c r="C6" s="10"/>
      <c r="D6" s="347"/>
      <c r="E6" s="347"/>
      <c r="F6" s="347"/>
      <c r="G6" s="347"/>
      <c r="H6" s="347"/>
      <c r="I6" s="347"/>
      <c r="J6" s="240"/>
      <c r="K6" s="240"/>
      <c r="L6" s="240"/>
      <c r="M6" s="240"/>
      <c r="N6" s="240"/>
      <c r="O6" s="240"/>
    </row>
    <row r="7" spans="1:15" ht="15" customHeight="1" thickBot="1" x14ac:dyDescent="0.3">
      <c r="A7" s="240"/>
      <c r="B7" s="240"/>
      <c r="C7" s="457"/>
      <c r="D7" s="347"/>
      <c r="E7" s="347"/>
      <c r="F7" s="347"/>
      <c r="G7" s="99"/>
      <c r="H7" s="240"/>
      <c r="I7" s="240"/>
      <c r="J7" s="100"/>
      <c r="K7" s="100"/>
      <c r="L7" s="100"/>
      <c r="M7" s="100"/>
      <c r="N7" s="100"/>
      <c r="O7" s="240"/>
    </row>
    <row r="8" spans="1:15" ht="19.5" thickBot="1" x14ac:dyDescent="0.35">
      <c r="A8" s="240"/>
      <c r="B8" s="240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240"/>
      <c r="O8" s="240"/>
    </row>
    <row r="9" spans="1:15" ht="21" customHeight="1" thickBot="1" x14ac:dyDescent="0.35">
      <c r="A9" s="240"/>
      <c r="B9" s="240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0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240"/>
    </row>
    <row r="10" spans="1:15" ht="15.75" customHeight="1" x14ac:dyDescent="0.25">
      <c r="A10" s="240"/>
      <c r="B10" s="240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240"/>
    </row>
    <row r="11" spans="1:15" ht="15.75" customHeight="1" x14ac:dyDescent="0.25">
      <c r="A11" s="240"/>
      <c r="B11" s="240"/>
      <c r="C11" s="24" t="s">
        <v>18</v>
      </c>
      <c r="D11" s="374" t="e">
        <f>+VLOOKUP(MIN('GROWATT-BYD 400Wp'!D:D),'GROWATT-BYD 400Wp'!D:E,2,0)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240"/>
    </row>
    <row r="12" spans="1:15" ht="15.75" customHeight="1" x14ac:dyDescent="0.25">
      <c r="A12" s="240"/>
      <c r="B12" s="240"/>
      <c r="C12" s="25" t="s">
        <v>19</v>
      </c>
      <c r="D12" s="367" t="s">
        <v>270</v>
      </c>
      <c r="E12" s="338"/>
      <c r="F12" s="368" t="str">
        <f t="shared" ref="F12:F13" si="0">+D12</f>
        <v>BYD MONO</v>
      </c>
      <c r="G12" s="338"/>
      <c r="H12" s="369" t="str">
        <f>+F12</f>
        <v>BYD MONO</v>
      </c>
      <c r="I12" s="338"/>
      <c r="J12" s="370" t="str">
        <f>+H12</f>
        <v>BYD MONO</v>
      </c>
      <c r="K12" s="338"/>
      <c r="L12" s="363" t="str">
        <f>+J12</f>
        <v>BYD MONO</v>
      </c>
      <c r="M12" s="354"/>
      <c r="N12" s="2"/>
      <c r="O12" s="240"/>
    </row>
    <row r="13" spans="1:15" ht="15.75" customHeight="1" x14ac:dyDescent="0.25">
      <c r="A13" s="240"/>
      <c r="B13" s="240"/>
      <c r="C13" s="24" t="s">
        <v>21</v>
      </c>
      <c r="D13" s="372">
        <v>400</v>
      </c>
      <c r="E13" s="338"/>
      <c r="F13" s="375">
        <f t="shared" si="0"/>
        <v>400</v>
      </c>
      <c r="G13" s="338"/>
      <c r="H13" s="376">
        <f>+D13</f>
        <v>400</v>
      </c>
      <c r="I13" s="338"/>
      <c r="J13" s="352">
        <f>+D13</f>
        <v>400</v>
      </c>
      <c r="K13" s="338"/>
      <c r="L13" s="364">
        <f>+D13</f>
        <v>400</v>
      </c>
      <c r="M13" s="354"/>
      <c r="N13" s="2"/>
      <c r="O13" s="240"/>
    </row>
    <row r="14" spans="1:15" ht="15.75" customHeight="1" x14ac:dyDescent="0.25">
      <c r="A14" s="240"/>
      <c r="B14" s="240"/>
      <c r="C14" s="25" t="s">
        <v>48</v>
      </c>
      <c r="D14" s="26" t="e">
        <f>+IF(D11="","",VLOOKUP(D11,'GROWATT-BYD 400Wp'!$E$6:$G$69,3,0))</f>
        <v>#DIV/0!</v>
      </c>
      <c r="E14" s="27">
        <v>1</v>
      </c>
      <c r="F14" s="28" t="str">
        <f>+IF(F11="","",VLOOKUP(F11,'GROWATT-BYD 400Wp'!$E$6:$G$69,3,0))</f>
        <v/>
      </c>
      <c r="G14" s="29">
        <v>1</v>
      </c>
      <c r="H14" s="30" t="str">
        <f>+IF(H11="","",VLOOKUP(H11,'GROWATT-BYD 400Wp'!$E$6:$G$69,3,0))</f>
        <v/>
      </c>
      <c r="I14" s="31">
        <v>1</v>
      </c>
      <c r="J14" s="32" t="str">
        <f>+IF(J11="","",VLOOKUP(J11,'GROWATT-BYD 400Wp'!$E$6:$G$69,3,0))</f>
        <v/>
      </c>
      <c r="K14" s="33">
        <v>1</v>
      </c>
      <c r="L14" s="34" t="str">
        <f>+IF(L11="","",VLOOKUP(L11,'GROWATT-BYD 400Wp'!$E$6:$G$69,3,0))</f>
        <v/>
      </c>
      <c r="M14" s="35">
        <v>1</v>
      </c>
      <c r="N14" s="2"/>
      <c r="O14" s="240"/>
    </row>
    <row r="15" spans="1:15" ht="15.75" hidden="1" customHeight="1" x14ac:dyDescent="0.25">
      <c r="A15" s="240"/>
      <c r="B15" s="240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240"/>
    </row>
    <row r="16" spans="1:15" ht="15.75" customHeight="1" x14ac:dyDescent="0.25">
      <c r="A16" s="240"/>
      <c r="B16" s="240"/>
      <c r="C16" s="24" t="s">
        <v>25</v>
      </c>
      <c r="D16" s="373" t="e">
        <f>+D11*1.94236</f>
        <v>#DIV/0!</v>
      </c>
      <c r="E16" s="338"/>
      <c r="F16" s="355">
        <f>+F11*1.94236</f>
        <v>0</v>
      </c>
      <c r="G16" s="338"/>
      <c r="H16" s="356">
        <f>+H11*1.94236</f>
        <v>0</v>
      </c>
      <c r="I16" s="338"/>
      <c r="J16" s="365">
        <f>+J11*1.94236</f>
        <v>0</v>
      </c>
      <c r="K16" s="338"/>
      <c r="L16" s="366">
        <f>+L11*1.94236</f>
        <v>0</v>
      </c>
      <c r="M16" s="354"/>
      <c r="N16" s="2"/>
      <c r="O16" s="240"/>
    </row>
    <row r="17" spans="1:15" ht="15.75" customHeight="1" x14ac:dyDescent="0.25">
      <c r="A17" s="240"/>
      <c r="B17" s="240"/>
      <c r="C17" s="48" t="s">
        <v>26</v>
      </c>
      <c r="D17" s="371" t="e">
        <f>IF(E9=4.1,IF(D14="MIC 3.0KW",D11*400*$D$45/1000,D11*D13*$D$45/1000),D11*D13*$D$45/1000)</f>
        <v>#DIV/0!</v>
      </c>
      <c r="E17" s="349"/>
      <c r="F17" s="357">
        <f>IF(G9=4.1,IF(F14="MIC 3.0KW",F11*400*$D$45/1000,F11*F13*$D$45/1000),F11*F13*$D$45/1000)</f>
        <v>0</v>
      </c>
      <c r="G17" s="349"/>
      <c r="H17" s="358">
        <f>IF(I9=4.1,IF(H14="MIC 3.0KW",H11*400*$D$45/1000,H11*H13*$D$45/1000),H11*H13*$D$45/1000)</f>
        <v>0</v>
      </c>
      <c r="I17" s="349"/>
      <c r="J17" s="359">
        <f>IF(K9=4.1,IF(J14="MIC 3.0KW",J11*400*$D$45/1000,J11*J13*$D$45/1000),J11*J13*$D$45/1000)</f>
        <v>0</v>
      </c>
      <c r="K17" s="360"/>
      <c r="L17" s="361">
        <f>IF(M9=4.1,IF(L14="MIC 3.0KW",L11*400*$D$45/1000,L11*L13*$D$45/1000),L11*L13*$D$45/1000)</f>
        <v>0</v>
      </c>
      <c r="M17" s="454"/>
      <c r="N17" s="2"/>
      <c r="O17" s="240"/>
    </row>
    <row r="18" spans="1:15" ht="15.75" customHeight="1" x14ac:dyDescent="0.25">
      <c r="A18" s="240"/>
      <c r="B18" s="240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240"/>
    </row>
    <row r="19" spans="1:15" ht="15.75" customHeight="1" thickBot="1" x14ac:dyDescent="0.3">
      <c r="A19" s="240"/>
      <c r="B19" s="240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240"/>
    </row>
    <row r="20" spans="1:15" ht="18.75" customHeight="1" thickBot="1" x14ac:dyDescent="0.4">
      <c r="A20" s="240"/>
      <c r="B20" s="240"/>
      <c r="C20" s="51"/>
      <c r="D20" s="52"/>
      <c r="E20" s="53"/>
      <c r="F20" s="237"/>
      <c r="G20" s="2"/>
      <c r="H20" s="237"/>
      <c r="I20" s="2"/>
      <c r="J20" s="55"/>
      <c r="K20" s="240"/>
      <c r="L20" s="237"/>
      <c r="M20" s="2"/>
      <c r="N20" s="2"/>
      <c r="O20" s="240"/>
    </row>
    <row r="21" spans="1:15" ht="43.5" hidden="1" customHeight="1" thickBot="1" x14ac:dyDescent="0.3">
      <c r="A21" s="240"/>
      <c r="B21" s="240"/>
      <c r="C21" s="188" t="s">
        <v>220</v>
      </c>
      <c r="D21" s="452" t="e">
        <f>+IF(D11="","",VLOOKUP(D11,'GROWATT-BYD 400Wp'!$E$6:$F$69,2,0))</f>
        <v>#DIV/0!</v>
      </c>
      <c r="E21" s="398"/>
      <c r="F21" s="397" t="str">
        <f>+IF(F11="","",VLOOKUP(F11,'GROWATT-BYD 400Wp'!$E$6:$F$69,2,0))</f>
        <v/>
      </c>
      <c r="G21" s="398"/>
      <c r="H21" s="399" t="str">
        <f>+IF(H11="","",VLOOKUP(H11,'GROWATT-BYD 400Wp'!$E$6:$F$69,2,0))</f>
        <v/>
      </c>
      <c r="I21" s="398"/>
      <c r="J21" s="400" t="str">
        <f>+IF(J11="","",VLOOKUP(J11,'GROWATT-BYD 400Wp'!$E$6:$F$69,2,0))</f>
        <v/>
      </c>
      <c r="K21" s="398"/>
      <c r="L21" s="401" t="str">
        <f>+IF(L11="","",VLOOKUP(L11,'GROWATT-BYD 400Wp'!$E$6:$F$69,2,0))</f>
        <v/>
      </c>
      <c r="M21" s="381"/>
      <c r="N21" s="2"/>
      <c r="O21" s="240"/>
    </row>
    <row r="22" spans="1:15" ht="43.5" customHeight="1" thickBot="1" x14ac:dyDescent="0.3">
      <c r="A22" s="240"/>
      <c r="B22" s="240"/>
      <c r="C22" s="189" t="s">
        <v>29</v>
      </c>
      <c r="D22" s="452" t="e">
        <f>+ROUND(D21+(D21*$H$44),0)</f>
        <v>#DIV/0!</v>
      </c>
      <c r="E22" s="398"/>
      <c r="F22" s="397" t="e">
        <f>+ROUND(F21+(F21*$H$44),0)</f>
        <v>#VALUE!</v>
      </c>
      <c r="G22" s="398"/>
      <c r="H22" s="399" t="e">
        <f>+ROUND(H21+(H21*$H$44),0)</f>
        <v>#VALUE!</v>
      </c>
      <c r="I22" s="398"/>
      <c r="J22" s="400" t="e">
        <f>+ROUND(J21+(J21*$H$44),0)</f>
        <v>#VALUE!</v>
      </c>
      <c r="K22" s="398"/>
      <c r="L22" s="401" t="e">
        <f>+ROUND(L21+(L21*$H$44),0)</f>
        <v>#VALUE!</v>
      </c>
      <c r="M22" s="381"/>
      <c r="N22" s="2"/>
      <c r="O22" s="240"/>
    </row>
    <row r="23" spans="1:15" ht="12.75" customHeight="1" x14ac:dyDescent="0.35">
      <c r="A23" s="240"/>
      <c r="B23" s="240"/>
      <c r="C23" s="51"/>
      <c r="D23" s="56"/>
      <c r="E23" s="57"/>
      <c r="F23" s="56"/>
      <c r="G23" s="57"/>
      <c r="H23" s="56"/>
      <c r="I23" s="57"/>
      <c r="J23" s="237"/>
      <c r="K23" s="58"/>
      <c r="L23" s="237"/>
      <c r="M23" s="58"/>
      <c r="N23" s="2"/>
      <c r="O23" s="240"/>
    </row>
    <row r="24" spans="1:15" ht="15.75" customHeight="1" thickBot="1" x14ac:dyDescent="0.4">
      <c r="A24" s="240"/>
      <c r="B24" s="240"/>
      <c r="C24" s="444" t="s">
        <v>30</v>
      </c>
      <c r="D24" s="347"/>
      <c r="E24" s="347"/>
      <c r="F24" s="347"/>
      <c r="G24" s="347"/>
      <c r="H24" s="347"/>
      <c r="I24" s="57"/>
      <c r="J24" s="237"/>
      <c r="K24" s="58"/>
      <c r="L24" s="237"/>
      <c r="M24" s="58"/>
      <c r="N24" s="2"/>
      <c r="O24" s="240"/>
    </row>
    <row r="25" spans="1:15" ht="15" customHeight="1" x14ac:dyDescent="0.25">
      <c r="A25" s="240"/>
      <c r="B25" s="240"/>
      <c r="C25" s="232" t="s">
        <v>31</v>
      </c>
      <c r="D25" s="445" t="e">
        <f>+$D$42*D22</f>
        <v>#DIV/0!</v>
      </c>
      <c r="E25" s="446"/>
      <c r="F25" s="447" t="e">
        <f t="shared" ref="F25" si="1">+$D$42*F22</f>
        <v>#VALUE!</v>
      </c>
      <c r="G25" s="446"/>
      <c r="H25" s="448" t="e">
        <f t="shared" ref="H25" si="2">+$D$42*H22</f>
        <v>#VALUE!</v>
      </c>
      <c r="I25" s="446"/>
      <c r="J25" s="449" t="e">
        <f t="shared" ref="J25" si="3">+$D$42*J22</f>
        <v>#VALUE!</v>
      </c>
      <c r="K25" s="446"/>
      <c r="L25" s="450" t="e">
        <f t="shared" ref="L25" si="4">+$D$42*L22</f>
        <v>#VALUE!</v>
      </c>
      <c r="M25" s="451"/>
      <c r="N25" s="60" t="s">
        <v>32</v>
      </c>
      <c r="O25" s="240"/>
    </row>
    <row r="26" spans="1:15" ht="15" hidden="1" customHeight="1" x14ac:dyDescent="0.25">
      <c r="A26" s="240"/>
      <c r="B26" s="240"/>
      <c r="C26" s="233"/>
      <c r="D26" s="430" t="e">
        <f>+D22-D25</f>
        <v>#DIV/0!</v>
      </c>
      <c r="E26" s="431"/>
      <c r="F26" s="432" t="e">
        <f t="shared" ref="F26" si="5">+F22-F25</f>
        <v>#VALUE!</v>
      </c>
      <c r="G26" s="431"/>
      <c r="H26" s="433" t="e">
        <f t="shared" ref="H26" si="6">+H22-H25</f>
        <v>#VALUE!</v>
      </c>
      <c r="I26" s="431"/>
      <c r="J26" s="434" t="e">
        <f t="shared" ref="J26" si="7">+J22-J25</f>
        <v>#VALUE!</v>
      </c>
      <c r="K26" s="431"/>
      <c r="L26" s="435" t="e">
        <f t="shared" ref="L26" si="8">+L22-L25</f>
        <v>#VALUE!</v>
      </c>
      <c r="M26" s="436"/>
      <c r="N26" s="62"/>
      <c r="O26" s="240"/>
    </row>
    <row r="27" spans="1:15" ht="15" customHeight="1" x14ac:dyDescent="0.25">
      <c r="A27" s="240"/>
      <c r="B27" s="240"/>
      <c r="C27" s="234">
        <f>+'Preço SFCR-FRONIUS-BYD'!C27</f>
        <v>12</v>
      </c>
      <c r="D27" s="430" t="e">
        <f>+PMT(N27,C27,-$D$26)</f>
        <v>#DIV/0!</v>
      </c>
      <c r="E27" s="431"/>
      <c r="F27" s="432" t="e">
        <f>+PMT(N27,C27,-$F$26)</f>
        <v>#VALUE!</v>
      </c>
      <c r="G27" s="431"/>
      <c r="H27" s="433" t="e">
        <f>+PMT(N27,C27,-$H$26)</f>
        <v>#VALUE!</v>
      </c>
      <c r="I27" s="431"/>
      <c r="J27" s="434" t="e">
        <f>+PMT(N27,C27,-$J$26)</f>
        <v>#VALUE!</v>
      </c>
      <c r="K27" s="431"/>
      <c r="L27" s="435" t="e">
        <f>+PMT(N27,C27,-$L$26)</f>
        <v>#VALUE!</v>
      </c>
      <c r="M27" s="436"/>
      <c r="N27" s="90">
        <f>+'Preço SFCR-FRONIUS-BYD'!N27</f>
        <v>1.6799999999999999E-2</v>
      </c>
      <c r="O27" s="240"/>
    </row>
    <row r="28" spans="1:15" ht="15" customHeight="1" x14ac:dyDescent="0.25">
      <c r="A28" s="240"/>
      <c r="B28" s="240"/>
      <c r="C28" s="235">
        <f>+'Preço SFCR-FRONIUS-BYD'!C28</f>
        <v>24</v>
      </c>
      <c r="D28" s="430" t="e">
        <f t="shared" ref="D28:D31" si="9">+PMT(N28,C28,-$D$26)</f>
        <v>#DIV/0!</v>
      </c>
      <c r="E28" s="431"/>
      <c r="F28" s="432" t="e">
        <f t="shared" ref="F28:F31" si="10">+PMT(N28,C28,-$F$26)</f>
        <v>#VALUE!</v>
      </c>
      <c r="G28" s="431"/>
      <c r="H28" s="433" t="e">
        <f t="shared" ref="H28:H31" si="11">+PMT(N28,C28,-$H$26)</f>
        <v>#VALUE!</v>
      </c>
      <c r="I28" s="431"/>
      <c r="J28" s="434" t="e">
        <f t="shared" ref="J28:J31" si="12">+PMT(N28,C28,-$J$26)</f>
        <v>#VALUE!</v>
      </c>
      <c r="K28" s="431"/>
      <c r="L28" s="435" t="e">
        <f t="shared" ref="L28:L31" si="13">+PMT(N28,C28,-$L$26)</f>
        <v>#VALUE!</v>
      </c>
      <c r="M28" s="436"/>
      <c r="N28" s="90">
        <f>+'Preço SFCR-FRONIUS-BYD'!N28</f>
        <v>1.55E-2</v>
      </c>
      <c r="O28" s="240"/>
    </row>
    <row r="29" spans="1:15" ht="15" customHeight="1" x14ac:dyDescent="0.25">
      <c r="A29" s="240"/>
      <c r="B29" s="240"/>
      <c r="C29" s="234">
        <f>+'Preço SFCR-FRONIUS-BYD'!C29</f>
        <v>36</v>
      </c>
      <c r="D29" s="430" t="e">
        <f t="shared" si="9"/>
        <v>#DIV/0!</v>
      </c>
      <c r="E29" s="431"/>
      <c r="F29" s="432" t="e">
        <f t="shared" si="10"/>
        <v>#VALUE!</v>
      </c>
      <c r="G29" s="431"/>
      <c r="H29" s="433" t="e">
        <f t="shared" si="11"/>
        <v>#VALUE!</v>
      </c>
      <c r="I29" s="431"/>
      <c r="J29" s="434" t="e">
        <f t="shared" si="12"/>
        <v>#VALUE!</v>
      </c>
      <c r="K29" s="431"/>
      <c r="L29" s="435" t="e">
        <f t="shared" si="13"/>
        <v>#VALUE!</v>
      </c>
      <c r="M29" s="436"/>
      <c r="N29" s="90">
        <f>+'Preço SFCR-FRONIUS-BYD'!N29</f>
        <v>1.5800000000000002E-2</v>
      </c>
      <c r="O29" s="240"/>
    </row>
    <row r="30" spans="1:15" ht="15" customHeight="1" x14ac:dyDescent="0.25">
      <c r="A30" s="240"/>
      <c r="B30" s="240"/>
      <c r="C30" s="235">
        <f>+'Preço SFCR-FRONIUS-BYD'!C30</f>
        <v>48</v>
      </c>
      <c r="D30" s="430" t="e">
        <f t="shared" si="9"/>
        <v>#DIV/0!</v>
      </c>
      <c r="E30" s="431"/>
      <c r="F30" s="432" t="e">
        <f t="shared" si="10"/>
        <v>#VALUE!</v>
      </c>
      <c r="G30" s="431"/>
      <c r="H30" s="433" t="e">
        <f t="shared" si="11"/>
        <v>#VALUE!</v>
      </c>
      <c r="I30" s="431"/>
      <c r="J30" s="434" t="e">
        <f t="shared" si="12"/>
        <v>#VALUE!</v>
      </c>
      <c r="K30" s="431"/>
      <c r="L30" s="435" t="e">
        <f t="shared" si="13"/>
        <v>#VALUE!</v>
      </c>
      <c r="M30" s="436"/>
      <c r="N30" s="90">
        <f>+'Preço SFCR-FRONIUS-BYD'!N30</f>
        <v>1.61E-2</v>
      </c>
      <c r="O30" s="240"/>
    </row>
    <row r="31" spans="1:15" ht="15" customHeight="1" thickBot="1" x14ac:dyDescent="0.3">
      <c r="A31" s="240"/>
      <c r="B31" s="240"/>
      <c r="C31" s="236">
        <f>+'Preço SFCR-FRONIUS-BYD'!C31</f>
        <v>60</v>
      </c>
      <c r="D31" s="437" t="e">
        <f t="shared" si="9"/>
        <v>#DIV/0!</v>
      </c>
      <c r="E31" s="438"/>
      <c r="F31" s="439" t="e">
        <f t="shared" si="10"/>
        <v>#VALUE!</v>
      </c>
      <c r="G31" s="438"/>
      <c r="H31" s="440" t="e">
        <f t="shared" si="11"/>
        <v>#VALUE!</v>
      </c>
      <c r="I31" s="438"/>
      <c r="J31" s="441" t="e">
        <f t="shared" si="12"/>
        <v>#VALUE!</v>
      </c>
      <c r="K31" s="438"/>
      <c r="L31" s="442" t="e">
        <f t="shared" si="13"/>
        <v>#VALUE!</v>
      </c>
      <c r="M31" s="443"/>
      <c r="N31" s="90">
        <f>+'Preço SFCR-FRONIUS-BYD'!N31</f>
        <v>1.6400000000000001E-2</v>
      </c>
      <c r="O31" s="240"/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240"/>
    </row>
    <row r="33" spans="1:15" ht="14.25" customHeight="1" x14ac:dyDescent="0.25">
      <c r="A33" s="65"/>
      <c r="B33" s="65"/>
      <c r="C33" s="65" t="str">
        <f>+'Preço SFCR-FRONIUS-BYD'!$C$33</f>
        <v>Observação: Proposta apenas orientativa, caso tenha interesse formalizamos uma proposta.</v>
      </c>
      <c r="D33" s="65"/>
      <c r="E33" s="65"/>
      <c r="F33" s="65"/>
      <c r="G33" s="65"/>
      <c r="H33" s="237"/>
      <c r="I33" s="237"/>
      <c r="J33" s="65"/>
      <c r="K33" s="65"/>
      <c r="L33" s="65"/>
      <c r="M33" s="65"/>
      <c r="N33" s="65"/>
      <c r="O33" s="240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237"/>
      <c r="I34" s="237"/>
      <c r="J34" s="65"/>
      <c r="K34" s="65"/>
      <c r="L34" s="65"/>
      <c r="M34" s="65"/>
      <c r="N34" s="65"/>
      <c r="O34" s="240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240"/>
    </row>
    <row r="36" spans="1:15" ht="14.25" customHeight="1" x14ac:dyDescent="0.25">
      <c r="A36" s="240"/>
      <c r="B36" s="240"/>
      <c r="C36" s="73" t="s">
        <v>34</v>
      </c>
      <c r="D36" s="416" t="e">
        <f>+D22/(D10*1000)</f>
        <v>#DIV/0!</v>
      </c>
      <c r="E36" s="417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240"/>
    </row>
    <row r="37" spans="1:15" ht="14.25" customHeight="1" x14ac:dyDescent="0.25">
      <c r="A37" s="240"/>
      <c r="B37" s="240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240"/>
    </row>
    <row r="38" spans="1:15" ht="14.25" customHeight="1" x14ac:dyDescent="0.25">
      <c r="A38" s="240"/>
      <c r="B38" s="240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240"/>
    </row>
    <row r="39" spans="1:15" ht="14.25" customHeight="1" x14ac:dyDescent="0.25">
      <c r="A39" s="240"/>
      <c r="B39" s="240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240"/>
      <c r="O39" s="240"/>
    </row>
    <row r="40" spans="1:15" ht="14.25" customHeight="1" x14ac:dyDescent="0.25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</row>
    <row r="41" spans="1:15" ht="14.25" customHeight="1" x14ac:dyDescent="0.25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</row>
    <row r="42" spans="1:15" ht="14.25" customHeight="1" x14ac:dyDescent="0.25">
      <c r="A42" s="240"/>
      <c r="B42" s="240"/>
      <c r="C42" s="77" t="s">
        <v>38</v>
      </c>
      <c r="D42" s="91">
        <f>+'Preço SFCR-FRONIUS-BYD'!D42</f>
        <v>0</v>
      </c>
      <c r="E42" s="65"/>
      <c r="F42" s="79"/>
      <c r="G42" s="79"/>
      <c r="H42" s="240"/>
      <c r="I42" s="240"/>
      <c r="J42" s="240"/>
      <c r="K42" s="240"/>
      <c r="L42" s="240"/>
      <c r="M42" s="240"/>
      <c r="N42" s="240"/>
      <c r="O42" s="240"/>
    </row>
    <row r="43" spans="1:15" ht="14.25" customHeight="1" x14ac:dyDescent="0.25">
      <c r="A43" s="240"/>
      <c r="B43" s="240"/>
      <c r="C43" s="80" t="s">
        <v>39</v>
      </c>
      <c r="D43" s="81" t="e">
        <f>+'Preço SFCR-FRONIUS-BYD'!D43</f>
        <v>#DIV/0!</v>
      </c>
      <c r="E43" s="82"/>
      <c r="F43" s="83" t="s">
        <v>40</v>
      </c>
      <c r="G43" s="71" t="e">
        <f>+D43/D45</f>
        <v>#DIV/0!</v>
      </c>
      <c r="H43" s="240"/>
      <c r="I43" s="240"/>
      <c r="J43" s="240"/>
      <c r="K43" s="240"/>
      <c r="L43" s="240"/>
      <c r="M43" s="240"/>
      <c r="N43" s="240"/>
      <c r="O43" s="240"/>
    </row>
    <row r="44" spans="1:15" ht="14.25" customHeight="1" x14ac:dyDescent="0.25">
      <c r="A44" s="240"/>
      <c r="B44" s="240"/>
      <c r="C44" s="84" t="s">
        <v>41</v>
      </c>
      <c r="D44" s="97">
        <f>+'Preço SFCR-FRONIUS-BYD'!D44</f>
        <v>0.85</v>
      </c>
      <c r="E44" s="70"/>
      <c r="F44" s="429" t="s">
        <v>42</v>
      </c>
      <c r="G44" s="412"/>
      <c r="H44" s="98">
        <v>0.05</v>
      </c>
      <c r="I44" s="240"/>
      <c r="J44" s="240"/>
      <c r="K44" s="240"/>
      <c r="L44" s="240"/>
      <c r="M44" s="240"/>
      <c r="N44" s="240"/>
      <c r="O44" s="240"/>
    </row>
    <row r="45" spans="1:15" ht="14.25" customHeight="1" x14ac:dyDescent="0.25">
      <c r="A45" s="240"/>
      <c r="B45" s="240"/>
      <c r="C45" s="87" t="s">
        <v>43</v>
      </c>
      <c r="D45" s="97">
        <f>+'Preço SFCR-FRONIUS-BYD'!D45</f>
        <v>120</v>
      </c>
      <c r="E45" s="70"/>
      <c r="F45" s="240"/>
      <c r="G45" s="240"/>
      <c r="H45" s="240"/>
      <c r="I45" s="240"/>
      <c r="J45" s="240"/>
      <c r="K45" s="240"/>
      <c r="L45" s="240"/>
      <c r="M45" s="240"/>
      <c r="N45" s="240"/>
      <c r="O45" s="240"/>
    </row>
    <row r="46" spans="1:15" ht="14.25" customHeight="1" x14ac:dyDescent="0.25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</row>
    <row r="47" spans="1:15" ht="14.25" customHeight="1" x14ac:dyDescent="0.25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</row>
    <row r="48" spans="1:15" ht="14.25" customHeight="1" x14ac:dyDescent="0.25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</row>
    <row r="49" spans="1:15" ht="14.25" customHeight="1" x14ac:dyDescent="0.25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</row>
    <row r="50" spans="1:15" ht="14.25" customHeight="1" x14ac:dyDescent="0.25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</row>
    <row r="51" spans="1:15" ht="14.25" customHeight="1" x14ac:dyDescent="0.25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</row>
    <row r="52" spans="1:15" ht="14.25" customHeight="1" x14ac:dyDescent="0.25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</row>
    <row r="53" spans="1:15" ht="14.25" customHeight="1" x14ac:dyDescent="0.25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</row>
    <row r="54" spans="1:15" ht="14.25" customHeight="1" x14ac:dyDescent="0.25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</row>
    <row r="55" spans="1:15" ht="14.25" customHeight="1" x14ac:dyDescent="0.25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</row>
    <row r="56" spans="1:15" ht="14.25" customHeight="1" x14ac:dyDescent="0.25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</row>
    <row r="57" spans="1:15" ht="14.25" customHeight="1" x14ac:dyDescent="0.25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</row>
    <row r="58" spans="1:15" ht="14.25" customHeight="1" x14ac:dyDescent="0.25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</row>
    <row r="59" spans="1:15" ht="14.25" customHeight="1" x14ac:dyDescent="0.25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</row>
    <row r="60" spans="1:15" ht="14.25" customHeight="1" x14ac:dyDescent="0.25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</row>
    <row r="61" spans="1:15" ht="14.25" customHeight="1" x14ac:dyDescent="0.25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</row>
    <row r="62" spans="1:15" ht="14.25" customHeight="1" x14ac:dyDescent="0.25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</row>
    <row r="63" spans="1:15" ht="14.25" customHeight="1" x14ac:dyDescent="0.25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</row>
    <row r="64" spans="1:15" ht="14.25" customHeight="1" x14ac:dyDescent="0.25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</row>
    <row r="65" spans="1:15" ht="14.25" customHeight="1" x14ac:dyDescent="0.25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</row>
    <row r="66" spans="1:15" ht="14.25" customHeight="1" x14ac:dyDescent="0.25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</row>
    <row r="67" spans="1:15" ht="14.25" customHeight="1" x14ac:dyDescent="0.25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</row>
    <row r="68" spans="1:15" ht="14.25" customHeight="1" x14ac:dyDescent="0.25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</row>
    <row r="69" spans="1:15" ht="14.25" customHeight="1" x14ac:dyDescent="0.25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</row>
    <row r="70" spans="1:15" ht="14.25" customHeight="1" x14ac:dyDescent="0.25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</row>
    <row r="71" spans="1:15" ht="14.25" customHeight="1" x14ac:dyDescent="0.25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</row>
    <row r="72" spans="1:15" ht="14.25" customHeight="1" x14ac:dyDescent="0.25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</row>
    <row r="73" spans="1:15" ht="14.25" customHeight="1" x14ac:dyDescent="0.25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</row>
    <row r="74" spans="1:15" ht="14.25" customHeight="1" x14ac:dyDescent="0.25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</row>
    <row r="75" spans="1:15" ht="14.25" customHeight="1" x14ac:dyDescent="0.25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</row>
    <row r="76" spans="1:15" ht="14.25" customHeight="1" x14ac:dyDescent="0.25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</row>
    <row r="77" spans="1:15" ht="14.25" customHeight="1" x14ac:dyDescent="0.25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</row>
    <row r="78" spans="1:15" ht="14.25" customHeight="1" x14ac:dyDescent="0.25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</row>
    <row r="79" spans="1:15" ht="14.25" customHeight="1" x14ac:dyDescent="0.25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</row>
    <row r="80" spans="1:15" ht="14.25" customHeight="1" x14ac:dyDescent="0.25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</row>
    <row r="81" spans="1:15" ht="14.25" customHeight="1" x14ac:dyDescent="0.25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</row>
    <row r="82" spans="1:15" ht="14.25" customHeight="1" x14ac:dyDescent="0.25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</row>
    <row r="83" spans="1:15" ht="14.25" customHeight="1" x14ac:dyDescent="0.25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</row>
    <row r="84" spans="1:15" ht="14.25" customHeight="1" x14ac:dyDescent="0.25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</row>
    <row r="85" spans="1:15" ht="14.25" customHeight="1" x14ac:dyDescent="0.25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</row>
    <row r="86" spans="1:15" ht="14.25" customHeight="1" x14ac:dyDescent="0.25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</row>
    <row r="87" spans="1:15" ht="14.25" customHeight="1" x14ac:dyDescent="0.25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</row>
    <row r="88" spans="1:15" ht="14.25" customHeight="1" x14ac:dyDescent="0.25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</row>
    <row r="89" spans="1:15" ht="14.25" customHeight="1" x14ac:dyDescent="0.25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</row>
    <row r="90" spans="1:15" ht="14.25" customHeight="1" x14ac:dyDescent="0.25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</row>
    <row r="91" spans="1:15" ht="14.25" customHeight="1" x14ac:dyDescent="0.25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</row>
    <row r="92" spans="1:15" ht="14.25" customHeight="1" x14ac:dyDescent="0.25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</row>
    <row r="93" spans="1:15" ht="14.25" customHeight="1" x14ac:dyDescent="0.25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</row>
    <row r="94" spans="1:15" ht="14.25" customHeight="1" x14ac:dyDescent="0.25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</row>
    <row r="95" spans="1:15" ht="15.75" customHeight="1" x14ac:dyDescent="0.25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</row>
    <row r="96" spans="1:15" ht="15.75" customHeight="1" x14ac:dyDescent="0.25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</row>
    <row r="97" spans="1:15" ht="15.75" customHeight="1" x14ac:dyDescent="0.25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</row>
    <row r="98" spans="1:15" ht="15.75" customHeight="1" x14ac:dyDescent="0.25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</row>
    <row r="99" spans="1:15" ht="15.75" customHeight="1" x14ac:dyDescent="0.25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</row>
    <row r="100" spans="1:15" ht="15.75" customHeight="1" x14ac:dyDescent="0.25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</row>
    <row r="101" spans="1:15" ht="15.75" customHeight="1" x14ac:dyDescent="0.25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</row>
  </sheetData>
  <mergeCells count="113">
    <mergeCell ref="D39:E39"/>
    <mergeCell ref="F39:G39"/>
    <mergeCell ref="H39:I39"/>
    <mergeCell ref="J39:K39"/>
    <mergeCell ref="L39:M39"/>
    <mergeCell ref="F44:G44"/>
    <mergeCell ref="D37:E37"/>
    <mergeCell ref="F37:G37"/>
    <mergeCell ref="H37:I37"/>
    <mergeCell ref="J37:K37"/>
    <mergeCell ref="L37:M37"/>
    <mergeCell ref="D38:E38"/>
    <mergeCell ref="F38:G38"/>
    <mergeCell ref="H38:I38"/>
    <mergeCell ref="J38:K38"/>
    <mergeCell ref="L38:M38"/>
    <mergeCell ref="H32:I32"/>
    <mergeCell ref="D36:E36"/>
    <mergeCell ref="F36:G36"/>
    <mergeCell ref="H36:I36"/>
    <mergeCell ref="J36:K36"/>
    <mergeCell ref="L36:M36"/>
    <mergeCell ref="D30:E30"/>
    <mergeCell ref="F30:G30"/>
    <mergeCell ref="H30:I30"/>
    <mergeCell ref="J30:K30"/>
    <mergeCell ref="L30:M30"/>
    <mergeCell ref="D31:E31"/>
    <mergeCell ref="F31:G31"/>
    <mergeCell ref="H31:I31"/>
    <mergeCell ref="J31:K31"/>
    <mergeCell ref="L31:M31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D26:E26"/>
    <mergeCell ref="F26:G26"/>
    <mergeCell ref="H26:I26"/>
    <mergeCell ref="J26:K26"/>
    <mergeCell ref="L26:M26"/>
    <mergeCell ref="D27:E27"/>
    <mergeCell ref="F27:G27"/>
    <mergeCell ref="H27:I27"/>
    <mergeCell ref="J27:K27"/>
    <mergeCell ref="L27:M27"/>
    <mergeCell ref="C24:H24"/>
    <mergeCell ref="D25:E25"/>
    <mergeCell ref="F25:G25"/>
    <mergeCell ref="H25:I25"/>
    <mergeCell ref="J25:K25"/>
    <mergeCell ref="L25:M25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18:E18"/>
    <mergeCell ref="F18:G18"/>
    <mergeCell ref="H18:I18"/>
    <mergeCell ref="J18:K18"/>
    <mergeCell ref="L18:M18"/>
    <mergeCell ref="D19:E19"/>
    <mergeCell ref="F19:G19"/>
    <mergeCell ref="H19:I19"/>
    <mergeCell ref="J19:K19"/>
    <mergeCell ref="L19:M19"/>
    <mergeCell ref="D16:E16"/>
    <mergeCell ref="F16:G16"/>
    <mergeCell ref="H16:I16"/>
    <mergeCell ref="J16:K16"/>
    <mergeCell ref="L16:M16"/>
    <mergeCell ref="D17:E17"/>
    <mergeCell ref="F17:G17"/>
    <mergeCell ref="H17:I17"/>
    <mergeCell ref="J17:K17"/>
    <mergeCell ref="L17:M17"/>
    <mergeCell ref="D12:E12"/>
    <mergeCell ref="F12:G12"/>
    <mergeCell ref="H12:I12"/>
    <mergeCell ref="J12:K12"/>
    <mergeCell ref="L12:M12"/>
    <mergeCell ref="D13:E13"/>
    <mergeCell ref="F13:G13"/>
    <mergeCell ref="H13:I13"/>
    <mergeCell ref="J13:K13"/>
    <mergeCell ref="L13:M13"/>
    <mergeCell ref="J10:K10"/>
    <mergeCell ref="L10:M10"/>
    <mergeCell ref="D11:E11"/>
    <mergeCell ref="F11:G11"/>
    <mergeCell ref="H11:I11"/>
    <mergeCell ref="J11:K11"/>
    <mergeCell ref="L11:M11"/>
    <mergeCell ref="D3:I4"/>
    <mergeCell ref="D5:I6"/>
    <mergeCell ref="C7:F7"/>
    <mergeCell ref="C8:C9"/>
    <mergeCell ref="D8:I8"/>
    <mergeCell ref="D10:E10"/>
    <mergeCell ref="F10:G10"/>
    <mergeCell ref="H10:I10"/>
  </mergeCells>
  <dataValidations disablePrompts="1" count="2">
    <dataValidation type="list" allowBlank="1" showErrorMessage="1" sqref="F15 L15 J15 H15" xr:uid="{F01D3ED9-439F-4FDB-81BD-EE5920A5676F}">
      <formula1>$C$8:$C$26</formula1>
    </dataValidation>
    <dataValidation type="list" allowBlank="1" showErrorMessage="1" sqref="D15" xr:uid="{621A92F9-7A22-4156-8D27-AA7D3492B43D}">
      <formula1>#REF!</formula1>
    </dataValidation>
  </dataValidations>
  <pageMargins left="0.511811024" right="0.511811024" top="0.78740157499999996" bottom="0.78740157499999996" header="0" footer="0"/>
  <pageSetup paperSize="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018F-668F-4045-A9A8-3C0A4744AD42}">
  <sheetPr>
    <pageSetUpPr fitToPage="1"/>
  </sheetPr>
  <dimension ref="A1:AA110"/>
  <sheetViews>
    <sheetView zoomScale="85" zoomScaleNormal="85" workbookViewId="0">
      <selection activeCell="D22" sqref="D22:E22"/>
    </sheetView>
  </sheetViews>
  <sheetFormatPr defaultColWidth="14.42578125" defaultRowHeight="15" customHeight="1" x14ac:dyDescent="0.25"/>
  <cols>
    <col min="1" max="1" width="4" style="238" customWidth="1"/>
    <col min="2" max="2" width="12.85546875" style="238" customWidth="1"/>
    <col min="3" max="4" width="6.85546875" style="238" customWidth="1"/>
    <col min="5" max="5" width="9" style="238" customWidth="1"/>
    <col min="6" max="6" width="14.42578125" style="238" customWidth="1"/>
    <col min="7" max="7" width="24" style="238" bestFit="1" customWidth="1"/>
    <col min="8" max="9" width="15.140625" style="238" customWidth="1"/>
    <col min="10" max="10" width="15" style="238" bestFit="1" customWidth="1"/>
    <col min="11" max="17" width="15.7109375" style="238" customWidth="1"/>
    <col min="18" max="18" width="15" style="238" customWidth="1"/>
    <col min="19" max="19" width="1.42578125" style="238" customWidth="1"/>
    <col min="20" max="16384" width="14.42578125" style="238"/>
  </cols>
  <sheetData>
    <row r="1" spans="1:27" ht="15.75" thickBot="1" x14ac:dyDescent="0.3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7" ht="18.75" customHeight="1" x14ac:dyDescent="0.25">
      <c r="A2" s="240"/>
      <c r="B2" s="340" t="s">
        <v>49</v>
      </c>
      <c r="C2" s="341"/>
      <c r="D2" s="342"/>
      <c r="E2" s="328" t="s">
        <v>50</v>
      </c>
      <c r="F2" s="329"/>
      <c r="G2" s="329"/>
      <c r="H2" s="329"/>
      <c r="I2" s="330"/>
      <c r="J2" s="329"/>
      <c r="K2" s="329"/>
      <c r="L2" s="329"/>
      <c r="M2" s="329"/>
      <c r="N2" s="329"/>
      <c r="O2" s="329"/>
      <c r="P2" s="329"/>
      <c r="Q2" s="329"/>
      <c r="R2" s="330"/>
      <c r="S2" s="240"/>
      <c r="U2" s="462" t="s">
        <v>263</v>
      </c>
      <c r="V2" s="463"/>
      <c r="W2" s="463"/>
      <c r="X2" s="463"/>
      <c r="Y2" s="464"/>
    </row>
    <row r="3" spans="1:27" ht="18.75" customHeight="1" thickBot="1" x14ac:dyDescent="0.3">
      <c r="A3" s="240"/>
      <c r="B3" s="343">
        <v>0.4</v>
      </c>
      <c r="C3" s="344"/>
      <c r="D3" s="345"/>
      <c r="E3" s="331" t="s">
        <v>51</v>
      </c>
      <c r="F3" s="332"/>
      <c r="G3" s="332"/>
      <c r="H3" s="332"/>
      <c r="I3" s="333"/>
      <c r="J3" s="332"/>
      <c r="K3" s="332"/>
      <c r="L3" s="332"/>
      <c r="M3" s="332"/>
      <c r="N3" s="332"/>
      <c r="O3" s="332"/>
      <c r="P3" s="332"/>
      <c r="Q3" s="332"/>
      <c r="R3" s="333"/>
      <c r="S3" s="101"/>
      <c r="U3" s="465"/>
      <c r="V3" s="466"/>
      <c r="W3" s="466"/>
      <c r="X3" s="466"/>
      <c r="Y3" s="467"/>
    </row>
    <row r="4" spans="1:27" ht="30" customHeight="1" x14ac:dyDescent="0.25">
      <c r="A4" s="240"/>
      <c r="B4" s="339" t="s">
        <v>52</v>
      </c>
      <c r="C4" s="326" t="s">
        <v>53</v>
      </c>
      <c r="D4" s="326" t="s">
        <v>225</v>
      </c>
      <c r="E4" s="326" t="s">
        <v>54</v>
      </c>
      <c r="F4" s="334" t="s">
        <v>55</v>
      </c>
      <c r="G4" s="326" t="s">
        <v>56</v>
      </c>
      <c r="H4" s="326" t="s">
        <v>57</v>
      </c>
      <c r="I4" s="241" t="s">
        <v>233</v>
      </c>
      <c r="J4" s="326" t="s">
        <v>58</v>
      </c>
      <c r="K4" s="326" t="s">
        <v>59</v>
      </c>
      <c r="L4" s="326" t="s">
        <v>60</v>
      </c>
      <c r="M4" s="326" t="s">
        <v>61</v>
      </c>
      <c r="N4" s="326" t="s">
        <v>62</v>
      </c>
      <c r="O4" s="326" t="s">
        <v>63</v>
      </c>
      <c r="P4" s="326" t="s">
        <v>64</v>
      </c>
      <c r="Q4" s="326" t="s">
        <v>65</v>
      </c>
      <c r="R4" s="326" t="s">
        <v>66</v>
      </c>
      <c r="S4" s="102"/>
      <c r="U4" s="274" t="s">
        <v>264</v>
      </c>
      <c r="V4" s="468" t="s">
        <v>259</v>
      </c>
      <c r="W4" s="275" t="s">
        <v>260</v>
      </c>
      <c r="X4" s="468" t="s">
        <v>261</v>
      </c>
      <c r="Y4" s="468" t="s">
        <v>262</v>
      </c>
      <c r="AA4" s="468" t="s">
        <v>265</v>
      </c>
    </row>
    <row r="5" spans="1:27" ht="15.75" thickBot="1" x14ac:dyDescent="0.3">
      <c r="A5" s="240"/>
      <c r="B5" s="327"/>
      <c r="C5" s="327"/>
      <c r="D5" s="336"/>
      <c r="E5" s="327"/>
      <c r="F5" s="335"/>
      <c r="G5" s="327"/>
      <c r="H5" s="327"/>
      <c r="I5" s="226">
        <v>1.4999999999999999E-2</v>
      </c>
      <c r="J5" s="327"/>
      <c r="K5" s="327"/>
      <c r="L5" s="335"/>
      <c r="M5" s="335"/>
      <c r="N5" s="335"/>
      <c r="O5" s="335"/>
      <c r="P5" s="327"/>
      <c r="Q5" s="327"/>
      <c r="R5" s="327"/>
      <c r="S5" s="102"/>
      <c r="U5" s="276">
        <v>0.05</v>
      </c>
      <c r="V5" s="469"/>
      <c r="W5" s="277">
        <v>0.23</v>
      </c>
      <c r="X5" s="469"/>
      <c r="Y5" s="469"/>
      <c r="AA5" s="469"/>
    </row>
    <row r="6" spans="1:27" x14ac:dyDescent="0.25">
      <c r="A6" s="240"/>
      <c r="B6" s="103" t="s">
        <v>85</v>
      </c>
      <c r="C6" s="202">
        <f t="shared" ref="C6:C63" si="0">+E6*$B$3</f>
        <v>1.2000000000000002</v>
      </c>
      <c r="D6" s="204" t="e">
        <f>ABS('Preço SFCR-GROWATT BYD 400Wp'!$G$43-C6)</f>
        <v>#DIV/0!</v>
      </c>
      <c r="E6" s="105">
        <f>+'FRONIUS-BYD 335Wp'!E6</f>
        <v>3</v>
      </c>
      <c r="F6" s="112">
        <f>+IF(K6=0,"",ROUND(M6/(1-'Tabela de BDI'!$C$3),0))</f>
        <v>8413</v>
      </c>
      <c r="G6" s="107" t="s">
        <v>196</v>
      </c>
      <c r="H6" s="106"/>
      <c r="I6" s="146">
        <v>4746.72</v>
      </c>
      <c r="J6" s="149">
        <f>+I6/(1-$I$5)</f>
        <v>4819.0050761421326</v>
      </c>
      <c r="K6" s="106">
        <f t="shared" ref="K6:K63" si="1">+H6+J6</f>
        <v>4819.0050761421326</v>
      </c>
      <c r="L6" s="106">
        <f>+'FRONIUS-BYD 335Wp'!L6</f>
        <v>2500</v>
      </c>
      <c r="M6" s="106">
        <f t="shared" ref="M6:M63" si="2">+K6+L6</f>
        <v>7319.0050761421326</v>
      </c>
      <c r="N6" s="106">
        <f>+IF(F6="","",F6*'Tabela de BDI'!$C$7)</f>
        <v>673.04</v>
      </c>
      <c r="O6" s="106">
        <f>IF(F6="","",F6*'Tabela de BDI'!$C$8)</f>
        <v>420.65000000000003</v>
      </c>
      <c r="P6" s="109">
        <f t="shared" ref="P6:P63" si="3">IF(F6="","",(F6-K6)/K6)</f>
        <v>0.74579604442646685</v>
      </c>
      <c r="Q6" s="110">
        <f t="shared" ref="Q6:Q65" si="4">IF(F6="","",(F6/C6)/1000)</f>
        <v>7.0108333333333324</v>
      </c>
      <c r="R6" s="111">
        <f>+'Tabela de BDI'!$F$9*C6</f>
        <v>144.00000000000003</v>
      </c>
      <c r="S6" s="102"/>
      <c r="U6" s="273">
        <f>+$U$5*K6</f>
        <v>240.95025380710663</v>
      </c>
      <c r="V6" s="273">
        <f>+L6+U6</f>
        <v>2740.9502538071065</v>
      </c>
      <c r="W6" s="273">
        <f>+(V6/(1-$W$5))-V6</f>
        <v>818.72540048783685</v>
      </c>
      <c r="X6" s="273">
        <f>+V6+W6</f>
        <v>3559.6756542949433</v>
      </c>
      <c r="Y6" s="273">
        <f>IF(K6=0,"",X6+K6)</f>
        <v>8378.6807304370759</v>
      </c>
      <c r="AA6" s="278">
        <f>+IF(F6="","",(F6-Y6)/F6)</f>
        <v>4.0793141047098646E-3</v>
      </c>
    </row>
    <row r="7" spans="1:27" x14ac:dyDescent="0.25">
      <c r="A7" s="240"/>
      <c r="B7" s="103" t="s">
        <v>85</v>
      </c>
      <c r="C7" s="202">
        <f t="shared" si="0"/>
        <v>1.6</v>
      </c>
      <c r="D7" s="204" t="e">
        <f>ABS('Preço SFCR-GROWATT BYD 400Wp'!$G$43-C7)</f>
        <v>#DIV/0!</v>
      </c>
      <c r="E7" s="105">
        <f>+'FRONIUS-BYD 335Wp'!E7</f>
        <v>4</v>
      </c>
      <c r="F7" s="112">
        <f>+IF(K7=0,"",ROUND(M7/(1-'Tabela de BDI'!$C$3),0))</f>
        <v>9487</v>
      </c>
      <c r="G7" s="147" t="s">
        <v>196</v>
      </c>
      <c r="H7" s="106"/>
      <c r="I7" s="146">
        <v>5544.57</v>
      </c>
      <c r="J7" s="149">
        <f t="shared" ref="J7:J51" si="5">+I7/(1-$I$5)</f>
        <v>5629.0050761421317</v>
      </c>
      <c r="K7" s="106">
        <f t="shared" si="1"/>
        <v>5629.0050761421317</v>
      </c>
      <c r="L7" s="106">
        <f>+'FRONIUS-BYD 335Wp'!L7</f>
        <v>2625</v>
      </c>
      <c r="M7" s="106">
        <f t="shared" si="2"/>
        <v>8254.0050761421317</v>
      </c>
      <c r="N7" s="106">
        <f>+IF(F7="","",F7*'Tabela de BDI'!$C$7)</f>
        <v>758.96</v>
      </c>
      <c r="O7" s="106">
        <f>IF(F7="","",F7*'Tabela de BDI'!$C$8)</f>
        <v>474.35</v>
      </c>
      <c r="P7" s="109">
        <f t="shared" si="3"/>
        <v>0.68537776599447753</v>
      </c>
      <c r="Q7" s="110">
        <f t="shared" si="4"/>
        <v>5.9293750000000003</v>
      </c>
      <c r="R7" s="111">
        <f>+'Tabela de BDI'!$F$9*C7</f>
        <v>192</v>
      </c>
      <c r="S7" s="102"/>
      <c r="U7" s="273">
        <f>+$U$5*K7</f>
        <v>281.45025380710661</v>
      </c>
      <c r="V7" s="273">
        <f>+L7+U7</f>
        <v>2906.4502538071065</v>
      </c>
      <c r="W7" s="273">
        <f>+(V7/(1-$W$5))-V7</f>
        <v>868.16046542290178</v>
      </c>
      <c r="X7" s="273">
        <f>+V7+W7</f>
        <v>3774.6107192300083</v>
      </c>
      <c r="Y7" s="273">
        <f t="shared" ref="Y7:Y65" si="6">IF(K7=0,"",X7+K7)</f>
        <v>9403.6157953721395</v>
      </c>
      <c r="AA7" s="278">
        <f t="shared" ref="AA7:AA65" si="7">+IF(F7="","",(F7-Y7)/F7)</f>
        <v>8.7893121774913589E-3</v>
      </c>
    </row>
    <row r="8" spans="1:27" x14ac:dyDescent="0.25">
      <c r="A8" s="240"/>
      <c r="B8" s="103" t="s">
        <v>85</v>
      </c>
      <c r="C8" s="202">
        <f t="shared" si="0"/>
        <v>2</v>
      </c>
      <c r="D8" s="204" t="e">
        <f>ABS('Preço SFCR-GROWATT BYD 400Wp'!$G$43-C8)</f>
        <v>#DIV/0!</v>
      </c>
      <c r="E8" s="105">
        <f>+'FRONIUS-BYD 335Wp'!E8</f>
        <v>5</v>
      </c>
      <c r="F8" s="112">
        <f>+IF(K8=0,"",ROUND(M8/(1-'Tabela de BDI'!$C$3),0))</f>
        <v>11091</v>
      </c>
      <c r="G8" s="107" t="s">
        <v>197</v>
      </c>
      <c r="H8" s="106"/>
      <c r="I8" s="146">
        <v>6795.52</v>
      </c>
      <c r="J8" s="149">
        <f t="shared" si="5"/>
        <v>6899.0050761421326</v>
      </c>
      <c r="K8" s="106">
        <f t="shared" si="1"/>
        <v>6899.0050761421326</v>
      </c>
      <c r="L8" s="106">
        <f>+'FRONIUS-BYD 335Wp'!L8</f>
        <v>2750</v>
      </c>
      <c r="M8" s="106">
        <f t="shared" si="2"/>
        <v>9649.0050761421335</v>
      </c>
      <c r="N8" s="106">
        <f>+IF(F8="","",F8*'Tabela de BDI'!$C$7)</f>
        <v>887.28</v>
      </c>
      <c r="O8" s="106">
        <f>IF(F8="","",F8*'Tabela de BDI'!$C$8)</f>
        <v>554.55000000000007</v>
      </c>
      <c r="P8" s="109">
        <f t="shared" si="3"/>
        <v>0.60762311051987183</v>
      </c>
      <c r="Q8" s="110">
        <f t="shared" si="4"/>
        <v>5.5454999999999997</v>
      </c>
      <c r="R8" s="111">
        <f>+'Tabela de BDI'!$F$9*C8</f>
        <v>240</v>
      </c>
      <c r="S8" s="102"/>
      <c r="U8" s="273">
        <f t="shared" ref="U8:U65" si="8">+$U$5*K8</f>
        <v>344.95025380710666</v>
      </c>
      <c r="V8" s="273">
        <f t="shared" ref="V8:V65" si="9">+L8+U8</f>
        <v>3094.9502538071065</v>
      </c>
      <c r="W8" s="273">
        <f t="shared" ref="W8:W65" si="10">+(V8/(1-$W$5))-V8</f>
        <v>924.46566022809657</v>
      </c>
      <c r="X8" s="273">
        <f t="shared" ref="X8:X65" si="11">+V8+W8</f>
        <v>4019.4159140352031</v>
      </c>
      <c r="Y8" s="273">
        <f t="shared" si="6"/>
        <v>10918.420990177336</v>
      </c>
      <c r="AA8" s="278">
        <f t="shared" si="7"/>
        <v>1.5560274981756774E-2</v>
      </c>
    </row>
    <row r="9" spans="1:27" x14ac:dyDescent="0.25">
      <c r="A9" s="240"/>
      <c r="B9" s="103" t="s">
        <v>85</v>
      </c>
      <c r="C9" s="202">
        <f t="shared" si="0"/>
        <v>2.4000000000000004</v>
      </c>
      <c r="D9" s="204" t="e">
        <f>ABS('Preço SFCR-GROWATT BYD 400Wp'!$G$43-C9)</f>
        <v>#DIV/0!</v>
      </c>
      <c r="E9" s="105">
        <f>+'FRONIUS-BYD 335Wp'!E9</f>
        <v>6</v>
      </c>
      <c r="F9" s="112">
        <f>+IF(K9=0,"",ROUND(M9/(1-'Tabela de BDI'!$C$3),0))</f>
        <v>12166</v>
      </c>
      <c r="G9" s="107" t="s">
        <v>197</v>
      </c>
      <c r="H9" s="106"/>
      <c r="I9" s="146">
        <v>7593.37</v>
      </c>
      <c r="J9" s="149">
        <f t="shared" si="5"/>
        <v>7709.0050761421317</v>
      </c>
      <c r="K9" s="106">
        <f t="shared" si="1"/>
        <v>7709.0050761421317</v>
      </c>
      <c r="L9" s="106">
        <f>+'FRONIUS-BYD 335Wp'!L9</f>
        <v>2875</v>
      </c>
      <c r="M9" s="106">
        <f t="shared" si="2"/>
        <v>10584.005076142132</v>
      </c>
      <c r="N9" s="106">
        <f>+IF(F9="","",F9*'Tabela de BDI'!$C$7)</f>
        <v>973.28</v>
      </c>
      <c r="O9" s="106">
        <f>IF(F9="","",F9*'Tabela de BDI'!$C$8)</f>
        <v>608.30000000000007</v>
      </c>
      <c r="P9" s="109">
        <f t="shared" si="3"/>
        <v>0.57815436360930661</v>
      </c>
      <c r="Q9" s="110">
        <f t="shared" si="4"/>
        <v>5.0691666666666659</v>
      </c>
      <c r="R9" s="111">
        <f>+'Tabela de BDI'!$F$9*C9</f>
        <v>288.00000000000006</v>
      </c>
      <c r="S9" s="102"/>
      <c r="U9" s="273">
        <f t="shared" si="8"/>
        <v>385.45025380710661</v>
      </c>
      <c r="V9" s="273">
        <f t="shared" si="9"/>
        <v>3260.4502538071065</v>
      </c>
      <c r="W9" s="273">
        <f t="shared" si="10"/>
        <v>973.90072516316195</v>
      </c>
      <c r="X9" s="273">
        <f t="shared" si="11"/>
        <v>4234.3509789702684</v>
      </c>
      <c r="Y9" s="273">
        <f t="shared" si="6"/>
        <v>11943.356055112399</v>
      </c>
      <c r="AA9" s="278">
        <f t="shared" si="7"/>
        <v>1.8300505086930857E-2</v>
      </c>
    </row>
    <row r="10" spans="1:27" x14ac:dyDescent="0.25">
      <c r="A10" s="240"/>
      <c r="B10" s="103" t="s">
        <v>85</v>
      </c>
      <c r="C10" s="202">
        <f t="shared" si="0"/>
        <v>2.8000000000000003</v>
      </c>
      <c r="D10" s="204" t="e">
        <f>ABS('Preço SFCR-GROWATT BYD 400Wp'!$G$43-C10)</f>
        <v>#DIV/0!</v>
      </c>
      <c r="E10" s="105">
        <f>+'FRONIUS-BYD 335Wp'!E10</f>
        <v>7</v>
      </c>
      <c r="F10" s="112">
        <f>+IF(K10=0,"",ROUND(M10/(1-'Tabela de BDI'!$C$3),0))</f>
        <v>13332</v>
      </c>
      <c r="G10" s="156" t="s">
        <v>216</v>
      </c>
      <c r="H10" s="106"/>
      <c r="I10" s="146">
        <v>8470.02</v>
      </c>
      <c r="J10" s="149">
        <f t="shared" si="5"/>
        <v>8599.0050761421317</v>
      </c>
      <c r="K10" s="106">
        <f t="shared" si="1"/>
        <v>8599.0050761421317</v>
      </c>
      <c r="L10" s="106">
        <f>+'FRONIUS-BYD 335Wp'!L10</f>
        <v>3000</v>
      </c>
      <c r="M10" s="106">
        <f t="shared" si="2"/>
        <v>11599.005076142132</v>
      </c>
      <c r="N10" s="106">
        <f>+IF(F10="","",F10*'Tabela de BDI'!$C$7)</f>
        <v>1066.56</v>
      </c>
      <c r="O10" s="106">
        <f>IF(F10="","",F10*'Tabela de BDI'!$C$8)</f>
        <v>666.6</v>
      </c>
      <c r="P10" s="109">
        <f t="shared" si="3"/>
        <v>0.55041192346653256</v>
      </c>
      <c r="Q10" s="110">
        <f t="shared" si="4"/>
        <v>4.7614285714285707</v>
      </c>
      <c r="R10" s="111">
        <f>+'Tabela de BDI'!$F$9*C10</f>
        <v>336.00000000000006</v>
      </c>
      <c r="S10" s="102"/>
      <c r="U10" s="273">
        <f t="shared" si="8"/>
        <v>429.95025380710661</v>
      </c>
      <c r="V10" s="273">
        <f t="shared" si="9"/>
        <v>3429.9502538071065</v>
      </c>
      <c r="W10" s="273">
        <f t="shared" si="10"/>
        <v>1024.5305952930321</v>
      </c>
      <c r="X10" s="273">
        <f t="shared" si="11"/>
        <v>4454.4808491001386</v>
      </c>
      <c r="Y10" s="273">
        <f t="shared" si="6"/>
        <v>13053.48592524227</v>
      </c>
      <c r="AA10" s="278">
        <f t="shared" si="7"/>
        <v>2.0890644671296862E-2</v>
      </c>
    </row>
    <row r="11" spans="1:27" x14ac:dyDescent="0.25">
      <c r="A11" s="240"/>
      <c r="B11" s="103" t="s">
        <v>85</v>
      </c>
      <c r="C11" s="202">
        <f t="shared" si="0"/>
        <v>3.2</v>
      </c>
      <c r="D11" s="204" t="e">
        <f>ABS('Preço SFCR-GROWATT BYD 400Wp'!$G$43-C11)</f>
        <v>#DIV/0!</v>
      </c>
      <c r="E11" s="105">
        <f>+'FRONIUS-BYD 335Wp'!E11</f>
        <v>8</v>
      </c>
      <c r="F11" s="112">
        <f>+IF(K11=0,"",ROUND(M11/(1-'Tabela de BDI'!$C$3),0))</f>
        <v>14407</v>
      </c>
      <c r="G11" s="230" t="s">
        <v>216</v>
      </c>
      <c r="H11" s="106"/>
      <c r="I11" s="169">
        <v>9267.8700000000008</v>
      </c>
      <c r="J11" s="149">
        <f t="shared" si="5"/>
        <v>9409.0050761421335</v>
      </c>
      <c r="K11" s="106">
        <f t="shared" si="1"/>
        <v>9409.0050761421335</v>
      </c>
      <c r="L11" s="106">
        <f>+'FRONIUS-BYD 335Wp'!L11</f>
        <v>3125</v>
      </c>
      <c r="M11" s="106">
        <f t="shared" si="2"/>
        <v>12534.005076142133</v>
      </c>
      <c r="N11" s="106">
        <f>+IF(F11="","",F11*'Tabela de BDI'!$C$7)</f>
        <v>1152.56</v>
      </c>
      <c r="O11" s="106">
        <f>IF(F11="","",F11*'Tabela de BDI'!$C$8)</f>
        <v>720.35</v>
      </c>
      <c r="P11" s="109">
        <f t="shared" si="3"/>
        <v>0.53119271202552454</v>
      </c>
      <c r="Q11" s="110">
        <f t="shared" si="4"/>
        <v>4.5021874999999998</v>
      </c>
      <c r="R11" s="111">
        <f>+'Tabela de BDI'!$F$9*C11</f>
        <v>384</v>
      </c>
      <c r="S11" s="102"/>
      <c r="U11" s="273">
        <f t="shared" si="8"/>
        <v>470.45025380710672</v>
      </c>
      <c r="V11" s="273">
        <f t="shared" si="9"/>
        <v>3595.4502538071065</v>
      </c>
      <c r="W11" s="273">
        <f t="shared" si="10"/>
        <v>1073.9656602280966</v>
      </c>
      <c r="X11" s="273">
        <f t="shared" si="11"/>
        <v>4669.4159140352031</v>
      </c>
      <c r="Y11" s="273">
        <f t="shared" si="6"/>
        <v>14078.420990177336</v>
      </c>
      <c r="AA11" s="278">
        <f t="shared" si="7"/>
        <v>2.2806900105689205E-2</v>
      </c>
    </row>
    <row r="12" spans="1:27" x14ac:dyDescent="0.25">
      <c r="A12" s="240"/>
      <c r="B12" s="103" t="s">
        <v>85</v>
      </c>
      <c r="C12" s="202">
        <f t="shared" si="0"/>
        <v>3.6</v>
      </c>
      <c r="D12" s="204" t="e">
        <f>ABS('Preço SFCR-GROWATT BYD 400Wp'!$G$43-C12)</f>
        <v>#DIV/0!</v>
      </c>
      <c r="E12" s="105">
        <f>+'FRONIUS-BYD 335Wp'!E12</f>
        <v>9</v>
      </c>
      <c r="F12" s="112">
        <f>+IF(K12=0,"",ROUND(M12/(1-'Tabela de BDI'!$C$3),0))</f>
        <v>16045</v>
      </c>
      <c r="G12" s="156" t="s">
        <v>217</v>
      </c>
      <c r="H12" s="106"/>
      <c r="I12" s="146">
        <v>10548.37</v>
      </c>
      <c r="J12" s="149">
        <f t="shared" si="5"/>
        <v>10709.005076142133</v>
      </c>
      <c r="K12" s="106">
        <f t="shared" si="1"/>
        <v>10709.005076142133</v>
      </c>
      <c r="L12" s="106">
        <f>+'FRONIUS-BYD 335Wp'!L12</f>
        <v>3250</v>
      </c>
      <c r="M12" s="106">
        <f t="shared" si="2"/>
        <v>13959.005076142133</v>
      </c>
      <c r="N12" s="106">
        <f>+IF(F12="","",F12*'Tabela de BDI'!$C$7)</f>
        <v>1283.6000000000001</v>
      </c>
      <c r="O12" s="106">
        <f>IF(F12="","",F12*'Tabela de BDI'!$C$8)</f>
        <v>802.25</v>
      </c>
      <c r="P12" s="109">
        <f t="shared" si="3"/>
        <v>0.49827177089920033</v>
      </c>
      <c r="Q12" s="110">
        <f t="shared" si="4"/>
        <v>4.4569444444444439</v>
      </c>
      <c r="R12" s="111">
        <f>+'Tabela de BDI'!$F$9*C12</f>
        <v>432</v>
      </c>
      <c r="S12" s="102"/>
      <c r="U12" s="273">
        <f t="shared" si="8"/>
        <v>535.45025380710672</v>
      </c>
      <c r="V12" s="273">
        <f t="shared" si="9"/>
        <v>3785.4502538071065</v>
      </c>
      <c r="W12" s="273">
        <f t="shared" si="10"/>
        <v>1130.718906981343</v>
      </c>
      <c r="X12" s="273">
        <f t="shared" si="11"/>
        <v>4916.1691607884495</v>
      </c>
      <c r="Y12" s="273">
        <f t="shared" si="6"/>
        <v>15625.174236930583</v>
      </c>
      <c r="AA12" s="278">
        <f t="shared" si="7"/>
        <v>2.6165519667772953E-2</v>
      </c>
    </row>
    <row r="13" spans="1:27" x14ac:dyDescent="0.25">
      <c r="A13" s="240"/>
      <c r="B13" s="103" t="s">
        <v>85</v>
      </c>
      <c r="C13" s="202">
        <f t="shared" si="0"/>
        <v>4</v>
      </c>
      <c r="D13" s="204" t="e">
        <f>ABS('Preço SFCR-GROWATT BYD 400Wp'!$G$43-C13)</f>
        <v>#DIV/0!</v>
      </c>
      <c r="E13" s="105">
        <f>+'FRONIUS-BYD 335Wp'!E13</f>
        <v>10</v>
      </c>
      <c r="F13" s="112">
        <f>+IF(K13=0,"",ROUND(M13/(1-'Tabela de BDI'!$C$3),0))</f>
        <v>17131</v>
      </c>
      <c r="G13" s="156" t="s">
        <v>217</v>
      </c>
      <c r="H13" s="157"/>
      <c r="I13" s="170">
        <v>11356.07</v>
      </c>
      <c r="J13" s="149">
        <f t="shared" si="5"/>
        <v>11529.005076142132</v>
      </c>
      <c r="K13" s="106">
        <f t="shared" si="1"/>
        <v>11529.005076142132</v>
      </c>
      <c r="L13" s="106">
        <f>+'FRONIUS-BYD 335Wp'!L13</f>
        <v>3375</v>
      </c>
      <c r="M13" s="106">
        <f t="shared" si="2"/>
        <v>14904.005076142132</v>
      </c>
      <c r="N13" s="106">
        <f>+IF(F13="","",F13*'Tabela de BDI'!$C$7)</f>
        <v>1370.48</v>
      </c>
      <c r="O13" s="106">
        <f>IF(F13="","",F13*'Tabela de BDI'!$C$8)</f>
        <v>856.55000000000007</v>
      </c>
      <c r="P13" s="109">
        <f t="shared" si="3"/>
        <v>0.48590445462206561</v>
      </c>
      <c r="Q13" s="110">
        <f t="shared" si="4"/>
        <v>4.2827500000000001</v>
      </c>
      <c r="R13" s="111">
        <f>+'Tabela de BDI'!$F$9*C13</f>
        <v>480</v>
      </c>
      <c r="S13" s="114"/>
      <c r="U13" s="273">
        <f t="shared" si="8"/>
        <v>576.45025380710661</v>
      </c>
      <c r="V13" s="273">
        <f t="shared" si="9"/>
        <v>3951.4502538071065</v>
      </c>
      <c r="W13" s="273">
        <f t="shared" si="10"/>
        <v>1180.3033225657591</v>
      </c>
      <c r="X13" s="273">
        <f t="shared" si="11"/>
        <v>5131.7535763728656</v>
      </c>
      <c r="Y13" s="273">
        <f t="shared" si="6"/>
        <v>16660.758652514996</v>
      </c>
      <c r="AA13" s="278">
        <f t="shared" si="7"/>
        <v>2.7449731334131321E-2</v>
      </c>
    </row>
    <row r="14" spans="1:27" x14ac:dyDescent="0.25">
      <c r="A14" s="240"/>
      <c r="B14" s="103" t="s">
        <v>85</v>
      </c>
      <c r="C14" s="202">
        <f t="shared" si="0"/>
        <v>4.4000000000000004</v>
      </c>
      <c r="D14" s="204" t="e">
        <f>ABS('Preço SFCR-GROWATT BYD 400Wp'!$G$43-C14)</f>
        <v>#DIV/0!</v>
      </c>
      <c r="E14" s="105">
        <f>+'FRONIUS-BYD 335Wp'!E14</f>
        <v>11</v>
      </c>
      <c r="F14" s="112" t="str">
        <f>+IF(K14=0,"",ROUND(M14/(1-'Tabela de BDI'!$C$3),0))</f>
        <v/>
      </c>
      <c r="G14" s="269"/>
      <c r="H14" s="106"/>
      <c r="I14" s="210"/>
      <c r="J14" s="149">
        <f t="shared" si="5"/>
        <v>0</v>
      </c>
      <c r="K14" s="106">
        <f t="shared" si="1"/>
        <v>0</v>
      </c>
      <c r="L14" s="106">
        <f>+'FRONIUS-BYD 335Wp'!L14</f>
        <v>3500</v>
      </c>
      <c r="M14" s="106">
        <f t="shared" si="2"/>
        <v>3500</v>
      </c>
      <c r="N14" s="106" t="str">
        <f>+IF(F14="","",F14*'Tabela de BDI'!$C$7)</f>
        <v/>
      </c>
      <c r="O14" s="106" t="str">
        <f>IF(F14="","",F14*'Tabela de BDI'!$C$8)</f>
        <v/>
      </c>
      <c r="P14" s="109" t="str">
        <f t="shared" si="3"/>
        <v/>
      </c>
      <c r="Q14" s="110" t="str">
        <f t="shared" si="4"/>
        <v/>
      </c>
      <c r="R14" s="111">
        <f>+'Tabela de BDI'!$F$9*C14</f>
        <v>528</v>
      </c>
      <c r="S14" s="114"/>
      <c r="U14" s="273">
        <f t="shared" si="8"/>
        <v>0</v>
      </c>
      <c r="V14" s="273">
        <f t="shared" si="9"/>
        <v>3500</v>
      </c>
      <c r="W14" s="273">
        <f t="shared" si="10"/>
        <v>1045.454545454545</v>
      </c>
      <c r="X14" s="273">
        <f t="shared" si="11"/>
        <v>4545.454545454545</v>
      </c>
      <c r="Y14" s="273" t="str">
        <f t="shared" si="6"/>
        <v/>
      </c>
      <c r="AA14" s="278" t="str">
        <f t="shared" si="7"/>
        <v/>
      </c>
    </row>
    <row r="15" spans="1:27" x14ac:dyDescent="0.25">
      <c r="A15" s="240"/>
      <c r="B15" s="103" t="s">
        <v>85</v>
      </c>
      <c r="C15" s="202">
        <f t="shared" si="0"/>
        <v>4.8000000000000007</v>
      </c>
      <c r="D15" s="204" t="e">
        <f>ABS('Preço SFCR-GROWATT BYD 400Wp'!$G$43-C15)</f>
        <v>#DIV/0!</v>
      </c>
      <c r="E15" s="105">
        <f>+'FRONIUS-BYD 335Wp'!E15</f>
        <v>12</v>
      </c>
      <c r="F15" s="112">
        <f>+IF(K15=0,"",ROUND(M15/(1-'Tabela de BDI'!$C$3),0))</f>
        <v>21407</v>
      </c>
      <c r="G15" s="107" t="s">
        <v>80</v>
      </c>
      <c r="H15" s="106"/>
      <c r="I15" s="146">
        <v>14774.02</v>
      </c>
      <c r="J15" s="149">
        <f t="shared" si="5"/>
        <v>14999.005076142133</v>
      </c>
      <c r="K15" s="106">
        <f t="shared" si="1"/>
        <v>14999.005076142133</v>
      </c>
      <c r="L15" s="106">
        <f>+'FRONIUS-BYD 335Wp'!L15</f>
        <v>3625</v>
      </c>
      <c r="M15" s="106">
        <f t="shared" si="2"/>
        <v>18624.005076142133</v>
      </c>
      <c r="N15" s="106">
        <f>+IF(F15="","",F15*'Tabela de BDI'!$C$7)</f>
        <v>1712.56</v>
      </c>
      <c r="O15" s="106">
        <f>IF(F15="","",F15*'Tabela de BDI'!$C$8)</f>
        <v>1070.3500000000001</v>
      </c>
      <c r="P15" s="109">
        <f t="shared" si="3"/>
        <v>0.42722799887911334</v>
      </c>
      <c r="Q15" s="110">
        <f t="shared" si="4"/>
        <v>4.4597916666666659</v>
      </c>
      <c r="R15" s="111">
        <f>+'Tabela de BDI'!$F$9*C15</f>
        <v>576.00000000000011</v>
      </c>
      <c r="S15" s="114"/>
      <c r="U15" s="273">
        <f t="shared" si="8"/>
        <v>749.95025380710672</v>
      </c>
      <c r="V15" s="273">
        <f t="shared" si="9"/>
        <v>4374.9502538071065</v>
      </c>
      <c r="W15" s="273">
        <f t="shared" si="10"/>
        <v>1306.8033225657591</v>
      </c>
      <c r="X15" s="273">
        <f t="shared" si="11"/>
        <v>5681.7535763728656</v>
      </c>
      <c r="Y15" s="273">
        <f t="shared" si="6"/>
        <v>20680.758652515</v>
      </c>
      <c r="AA15" s="278">
        <f t="shared" si="7"/>
        <v>3.3925414466529642E-2</v>
      </c>
    </row>
    <row r="16" spans="1:27" s="282" customFormat="1" x14ac:dyDescent="0.25">
      <c r="A16" s="285"/>
      <c r="B16" s="103" t="s">
        <v>85</v>
      </c>
      <c r="C16" s="202">
        <f t="shared" ref="C16" si="12">+E16*$B$3</f>
        <v>5.2</v>
      </c>
      <c r="D16" s="204" t="e">
        <f>ABS('Preço SFCR-GROWATT BYD 400Wp'!$G$43-C16)</f>
        <v>#DIV/0!</v>
      </c>
      <c r="E16" s="105">
        <f>+'FRONIUS-BYD 335Wp'!E16</f>
        <v>13</v>
      </c>
      <c r="F16" s="112" t="str">
        <f>+IF(K16=0,"",ROUND(M16/(1-'Tabela de BDI'!$C$3),0))</f>
        <v/>
      </c>
      <c r="G16" s="107"/>
      <c r="H16" s="106"/>
      <c r="I16" s="146"/>
      <c r="J16" s="149">
        <f t="shared" ref="J16" si="13">+I16/(1-$I$5)</f>
        <v>0</v>
      </c>
      <c r="K16" s="106">
        <f t="shared" ref="K16" si="14">+H16+J16</f>
        <v>0</v>
      </c>
      <c r="L16" s="106">
        <f>+'FRONIUS-BYD 335Wp'!L16</f>
        <v>3750</v>
      </c>
      <c r="M16" s="106">
        <f t="shared" ref="M16" si="15">+K16+L16</f>
        <v>3750</v>
      </c>
      <c r="N16" s="106" t="str">
        <f>+IF(F16="","",F16*'Tabela de BDI'!$C$7)</f>
        <v/>
      </c>
      <c r="O16" s="106" t="str">
        <f>IF(F16="","",F16*'Tabela de BDI'!$C$8)</f>
        <v/>
      </c>
      <c r="P16" s="109" t="str">
        <f t="shared" ref="P16" si="16">IF(F16="","",(F16-K16)/K16)</f>
        <v/>
      </c>
      <c r="Q16" s="110" t="str">
        <f t="shared" ref="Q16" si="17">IF(F16="","",(F16/C16)/1000)</f>
        <v/>
      </c>
      <c r="R16" s="111">
        <f>+'Tabela de BDI'!$F$9*C16</f>
        <v>624</v>
      </c>
      <c r="S16" s="114"/>
      <c r="U16" s="273"/>
      <c r="V16" s="273"/>
      <c r="W16" s="273"/>
      <c r="X16" s="273"/>
      <c r="Y16" s="273"/>
      <c r="AA16" s="278"/>
    </row>
    <row r="17" spans="1:27" x14ac:dyDescent="0.25">
      <c r="A17" s="240"/>
      <c r="B17" s="103" t="s">
        <v>85</v>
      </c>
      <c r="C17" s="202">
        <f t="shared" si="0"/>
        <v>5.6000000000000005</v>
      </c>
      <c r="D17" s="204" t="e">
        <f>ABS('Preço SFCR-GROWATT BYD 400Wp'!$G$43-C17)</f>
        <v>#DIV/0!</v>
      </c>
      <c r="E17" s="105">
        <f>+'FRONIUS-BYD 335Wp'!E17</f>
        <v>14</v>
      </c>
      <c r="F17" s="112">
        <f>+IF(K17=0,"",ROUND(M17/(1-'Tabela de BDI'!$C$3),0))</f>
        <v>23947</v>
      </c>
      <c r="G17" s="107" t="s">
        <v>80</v>
      </c>
      <c r="H17" s="106"/>
      <c r="I17" s="146">
        <v>16704.62</v>
      </c>
      <c r="J17" s="149">
        <f t="shared" si="5"/>
        <v>16959.00507614213</v>
      </c>
      <c r="K17" s="106">
        <f t="shared" si="1"/>
        <v>16959.00507614213</v>
      </c>
      <c r="L17" s="106">
        <f>+'FRONIUS-BYD 335Wp'!L17</f>
        <v>3875</v>
      </c>
      <c r="M17" s="106">
        <f t="shared" si="2"/>
        <v>20834.00507614213</v>
      </c>
      <c r="N17" s="106">
        <f>+IF(F17="","",F17*'Tabela de BDI'!$C$7)</f>
        <v>1915.76</v>
      </c>
      <c r="O17" s="106">
        <f>IF(F17="","",F17*'Tabela de BDI'!$C$8)</f>
        <v>1197.3500000000001</v>
      </c>
      <c r="P17" s="109">
        <f t="shared" si="3"/>
        <v>0.41205217478757389</v>
      </c>
      <c r="Q17" s="110">
        <f t="shared" si="4"/>
        <v>4.2762500000000001</v>
      </c>
      <c r="R17" s="111">
        <f>+'Tabela de BDI'!$F$9*C17</f>
        <v>672.00000000000011</v>
      </c>
      <c r="S17" s="114"/>
      <c r="U17" s="273">
        <f t="shared" si="8"/>
        <v>847.95025380710649</v>
      </c>
      <c r="V17" s="273">
        <f t="shared" si="9"/>
        <v>4722.9502538071065</v>
      </c>
      <c r="W17" s="273">
        <f t="shared" si="10"/>
        <v>1410.7513745138112</v>
      </c>
      <c r="X17" s="273">
        <f t="shared" si="11"/>
        <v>6133.7016283209177</v>
      </c>
      <c r="Y17" s="273">
        <f t="shared" si="6"/>
        <v>23092.706704463046</v>
      </c>
      <c r="AA17" s="278">
        <f t="shared" si="7"/>
        <v>3.567433480339726E-2</v>
      </c>
    </row>
    <row r="18" spans="1:27" x14ac:dyDescent="0.25">
      <c r="A18" s="240"/>
      <c r="B18" s="103" t="s">
        <v>85</v>
      </c>
      <c r="C18" s="202">
        <f t="shared" si="0"/>
        <v>6</v>
      </c>
      <c r="D18" s="204" t="e">
        <f>ABS('Preço SFCR-GROWATT BYD 400Wp'!$G$43-C18)</f>
        <v>#DIV/0!</v>
      </c>
      <c r="E18" s="105">
        <f>+'FRONIUS-BYD 335Wp'!E18</f>
        <v>15</v>
      </c>
      <c r="F18" s="112">
        <f>+IF(K18=0,"",ROUND(M18/(1-'Tabela de BDI'!$C$3),0))</f>
        <v>25033</v>
      </c>
      <c r="G18" s="107" t="s">
        <v>80</v>
      </c>
      <c r="H18" s="106"/>
      <c r="I18" s="146">
        <v>17512.32</v>
      </c>
      <c r="J18" s="149">
        <f t="shared" si="5"/>
        <v>17779.005076142133</v>
      </c>
      <c r="K18" s="106">
        <f t="shared" si="1"/>
        <v>17779.005076142133</v>
      </c>
      <c r="L18" s="106">
        <f>+'FRONIUS-BYD 335Wp'!L18</f>
        <v>4000</v>
      </c>
      <c r="M18" s="106">
        <f t="shared" si="2"/>
        <v>21779.005076142133</v>
      </c>
      <c r="N18" s="106">
        <f>+IF(F18="","",F18*'Tabela de BDI'!$C$7)</f>
        <v>2002.64</v>
      </c>
      <c r="O18" s="106">
        <f>IF(F18="","",F18*'Tabela de BDI'!$C$8)</f>
        <v>1251.6500000000001</v>
      </c>
      <c r="P18" s="109">
        <f t="shared" si="3"/>
        <v>0.40800904734495475</v>
      </c>
      <c r="Q18" s="110">
        <f t="shared" si="4"/>
        <v>4.1721666666666666</v>
      </c>
      <c r="R18" s="111">
        <f>+'Tabela de BDI'!$F$9*C18</f>
        <v>720</v>
      </c>
      <c r="S18" s="114"/>
      <c r="U18" s="273">
        <f t="shared" si="8"/>
        <v>888.95025380710672</v>
      </c>
      <c r="V18" s="273">
        <f t="shared" si="9"/>
        <v>4888.9502538071065</v>
      </c>
      <c r="W18" s="273">
        <f t="shared" si="10"/>
        <v>1460.3357900982264</v>
      </c>
      <c r="X18" s="273">
        <f t="shared" si="11"/>
        <v>6349.2860439053329</v>
      </c>
      <c r="Y18" s="273">
        <f t="shared" si="6"/>
        <v>24128.291120047466</v>
      </c>
      <c r="AA18" s="278">
        <f t="shared" si="7"/>
        <v>3.6140649540707608E-2</v>
      </c>
    </row>
    <row r="19" spans="1:27" x14ac:dyDescent="0.25">
      <c r="A19" s="240"/>
      <c r="B19" s="103" t="s">
        <v>85</v>
      </c>
      <c r="C19" s="202">
        <f t="shared" si="0"/>
        <v>6.4</v>
      </c>
      <c r="D19" s="204" t="e">
        <f>ABS('Preço SFCR-GROWATT BYD 400Wp'!$G$43-C19)</f>
        <v>#DIV/0!</v>
      </c>
      <c r="E19" s="105">
        <f>+'FRONIUS-BYD 335Wp'!E19</f>
        <v>16</v>
      </c>
      <c r="F19" s="112">
        <f>+IF(K19=0,"",ROUND(M19/(1-'Tabela de BDI'!$C$3),0))</f>
        <v>26108</v>
      </c>
      <c r="G19" s="107" t="s">
        <v>80</v>
      </c>
      <c r="H19" s="106"/>
      <c r="I19" s="146">
        <v>18310.169999999998</v>
      </c>
      <c r="J19" s="149">
        <f t="shared" si="5"/>
        <v>18589.00507614213</v>
      </c>
      <c r="K19" s="106">
        <f t="shared" si="1"/>
        <v>18589.00507614213</v>
      </c>
      <c r="L19" s="106">
        <f>+'FRONIUS-BYD 335Wp'!L19</f>
        <v>4125</v>
      </c>
      <c r="M19" s="106">
        <f t="shared" si="2"/>
        <v>22714.00507614213</v>
      </c>
      <c r="N19" s="106">
        <f>+IF(F19="","",F19*'Tabela de BDI'!$C$7)</f>
        <v>2088.64</v>
      </c>
      <c r="O19" s="106">
        <f>IF(F19="","",F19*'Tabela de BDI'!$C$8)</f>
        <v>1305.4000000000001</v>
      </c>
      <c r="P19" s="109">
        <f t="shared" si="3"/>
        <v>0.40448614076221046</v>
      </c>
      <c r="Q19" s="110">
        <f t="shared" si="4"/>
        <v>4.0793749999999998</v>
      </c>
      <c r="R19" s="111">
        <f>+'Tabela de BDI'!$F$9*C19</f>
        <v>768</v>
      </c>
      <c r="S19" s="114"/>
      <c r="U19" s="273">
        <f t="shared" si="8"/>
        <v>929.45025380710649</v>
      </c>
      <c r="V19" s="273">
        <f t="shared" si="9"/>
        <v>5054.4502538071065</v>
      </c>
      <c r="W19" s="273">
        <f t="shared" si="10"/>
        <v>1509.7708550332918</v>
      </c>
      <c r="X19" s="273">
        <f t="shared" si="11"/>
        <v>6564.2211088403983</v>
      </c>
      <c r="Y19" s="273">
        <f t="shared" si="6"/>
        <v>25153.22618498253</v>
      </c>
      <c r="AA19" s="278">
        <f t="shared" si="7"/>
        <v>3.6570162977534473E-2</v>
      </c>
    </row>
    <row r="20" spans="1:27" x14ac:dyDescent="0.25">
      <c r="A20" s="240"/>
      <c r="B20" s="103" t="s">
        <v>85</v>
      </c>
      <c r="C20" s="202">
        <f t="shared" si="0"/>
        <v>7.2</v>
      </c>
      <c r="D20" s="204" t="e">
        <f>ABS('Preço SFCR-GROWATT BYD 400Wp'!$G$43-C20)</f>
        <v>#DIV/0!</v>
      </c>
      <c r="E20" s="105">
        <f>+'FRONIUS-BYD 335Wp'!E21</f>
        <v>18</v>
      </c>
      <c r="F20" s="112">
        <f>+IF(K20=0,"",ROUND(M20/(1-'Tabela de BDI'!$C$3),0))</f>
        <v>28740</v>
      </c>
      <c r="G20" s="107" t="s">
        <v>81</v>
      </c>
      <c r="H20" s="106"/>
      <c r="I20" s="146">
        <v>20319.57</v>
      </c>
      <c r="J20" s="149">
        <f t="shared" si="5"/>
        <v>20629.005076142133</v>
      </c>
      <c r="K20" s="106">
        <f t="shared" si="1"/>
        <v>20629.005076142133</v>
      </c>
      <c r="L20" s="106">
        <f>+'FRONIUS-BYD 335Wp'!L21</f>
        <v>4375</v>
      </c>
      <c r="M20" s="106">
        <f t="shared" si="2"/>
        <v>25004.005076142133</v>
      </c>
      <c r="N20" s="106">
        <f>+IF(F20="","",F20*'Tabela de BDI'!$C$7)</f>
        <v>2299.2000000000003</v>
      </c>
      <c r="O20" s="106">
        <f>IF(F20="","",F20*'Tabela de BDI'!$C$8)</f>
        <v>1437</v>
      </c>
      <c r="P20" s="109">
        <f t="shared" si="3"/>
        <v>0.39318400930728348</v>
      </c>
      <c r="Q20" s="110">
        <f t="shared" si="4"/>
        <v>3.9916666666666667</v>
      </c>
      <c r="R20" s="111">
        <f>+'Tabela de BDI'!$F$9*C20</f>
        <v>864</v>
      </c>
      <c r="S20" s="114"/>
      <c r="U20" s="273">
        <f t="shared" si="8"/>
        <v>1031.4502538071067</v>
      </c>
      <c r="V20" s="273">
        <f t="shared" si="9"/>
        <v>5406.4502538071065</v>
      </c>
      <c r="W20" s="273">
        <f t="shared" si="10"/>
        <v>1614.9137121761487</v>
      </c>
      <c r="X20" s="273">
        <f t="shared" si="11"/>
        <v>7021.3639659832552</v>
      </c>
      <c r="Y20" s="273">
        <f t="shared" si="6"/>
        <v>27650.369042125389</v>
      </c>
      <c r="AA20" s="278">
        <f t="shared" si="7"/>
        <v>3.7913394498072767E-2</v>
      </c>
    </row>
    <row r="21" spans="1:27" x14ac:dyDescent="0.25">
      <c r="A21" s="240"/>
      <c r="B21" s="103" t="s">
        <v>85</v>
      </c>
      <c r="C21" s="202">
        <f t="shared" si="0"/>
        <v>7.6000000000000005</v>
      </c>
      <c r="D21" s="204" t="e">
        <f>ABS('Preço SFCR-GROWATT BYD 400Wp'!$G$43-C21)</f>
        <v>#DIV/0!</v>
      </c>
      <c r="E21" s="105">
        <f>+'FRONIUS-BYD 335Wp'!E22</f>
        <v>19</v>
      </c>
      <c r="F21" s="112" t="str">
        <f>+IF(K21=0,"",ROUND(M21/(1-'Tabela de BDI'!$C$3),0))</f>
        <v/>
      </c>
      <c r="G21" s="107"/>
      <c r="H21" s="106"/>
      <c r="I21" s="146"/>
      <c r="J21" s="149">
        <f t="shared" si="5"/>
        <v>0</v>
      </c>
      <c r="K21" s="106">
        <f t="shared" si="1"/>
        <v>0</v>
      </c>
      <c r="L21" s="106">
        <f>+'FRONIUS-BYD 335Wp'!L22</f>
        <v>4500</v>
      </c>
      <c r="M21" s="106">
        <f t="shared" si="2"/>
        <v>4500</v>
      </c>
      <c r="N21" s="106" t="str">
        <f>+IF(F21="","",F21*'Tabela de BDI'!$C$7)</f>
        <v/>
      </c>
      <c r="O21" s="106" t="str">
        <f>IF(F21="","",F21*'Tabela de BDI'!$C$8)</f>
        <v/>
      </c>
      <c r="P21" s="109" t="str">
        <f t="shared" si="3"/>
        <v/>
      </c>
      <c r="Q21" s="110" t="str">
        <f t="shared" si="4"/>
        <v/>
      </c>
      <c r="R21" s="111">
        <f>+'Tabela de BDI'!$F$9*C21</f>
        <v>912.00000000000011</v>
      </c>
      <c r="S21" s="114"/>
      <c r="U21" s="273">
        <f t="shared" si="8"/>
        <v>0</v>
      </c>
      <c r="V21" s="273">
        <f t="shared" si="9"/>
        <v>4500</v>
      </c>
      <c r="W21" s="273">
        <f t="shared" si="10"/>
        <v>1344.1558441558436</v>
      </c>
      <c r="X21" s="273">
        <f t="shared" si="11"/>
        <v>5844.1558441558436</v>
      </c>
      <c r="Y21" s="273" t="str">
        <f t="shared" si="6"/>
        <v/>
      </c>
      <c r="AA21" s="278" t="str">
        <f t="shared" si="7"/>
        <v/>
      </c>
    </row>
    <row r="22" spans="1:27" x14ac:dyDescent="0.25">
      <c r="A22" s="240"/>
      <c r="B22" s="103" t="s">
        <v>85</v>
      </c>
      <c r="C22" s="202">
        <f t="shared" si="0"/>
        <v>8</v>
      </c>
      <c r="D22" s="204" t="e">
        <f>ABS('Preço SFCR-GROWATT BYD 400Wp'!$G$43-C22)</f>
        <v>#DIV/0!</v>
      </c>
      <c r="E22" s="105">
        <f>+'FRONIUS-BYD 335Wp'!E23</f>
        <v>20</v>
      </c>
      <c r="F22" s="112">
        <f>+IF(K22=0,"",ROUND(M22/(1-'Tabela de BDI'!$C$3),0))</f>
        <v>32487</v>
      </c>
      <c r="G22" s="107" t="s">
        <v>204</v>
      </c>
      <c r="H22" s="106"/>
      <c r="I22" s="146">
        <v>23284.42</v>
      </c>
      <c r="J22" s="149">
        <f t="shared" si="5"/>
        <v>23639.00507614213</v>
      </c>
      <c r="K22" s="106">
        <f t="shared" si="1"/>
        <v>23639.00507614213</v>
      </c>
      <c r="L22" s="106">
        <f>+'FRONIUS-BYD 335Wp'!L23</f>
        <v>4625</v>
      </c>
      <c r="M22" s="106">
        <f t="shared" si="2"/>
        <v>28264.00507614213</v>
      </c>
      <c r="N22" s="106">
        <f>+IF(F22="","",F22*'Tabela de BDI'!$C$7)</f>
        <v>2598.96</v>
      </c>
      <c r="O22" s="106">
        <f>IF(F22="","",F22*'Tabela de BDI'!$C$8)</f>
        <v>1624.3500000000001</v>
      </c>
      <c r="P22" s="109">
        <f t="shared" si="3"/>
        <v>0.37429641794813884</v>
      </c>
      <c r="Q22" s="110">
        <f t="shared" si="4"/>
        <v>4.0608750000000002</v>
      </c>
      <c r="R22" s="111">
        <f>+'Tabela de BDI'!$F$9*C22</f>
        <v>960</v>
      </c>
      <c r="S22" s="114"/>
      <c r="U22" s="273">
        <f t="shared" si="8"/>
        <v>1181.9502538071065</v>
      </c>
      <c r="V22" s="273">
        <f t="shared" si="9"/>
        <v>5806.9502538071065</v>
      </c>
      <c r="W22" s="273">
        <f t="shared" si="10"/>
        <v>1734.5435823060188</v>
      </c>
      <c r="X22" s="273">
        <f t="shared" si="11"/>
        <v>7541.4938361131253</v>
      </c>
      <c r="Y22" s="273">
        <f t="shared" si="6"/>
        <v>31180.498912255254</v>
      </c>
      <c r="AA22" s="278">
        <f t="shared" si="7"/>
        <v>4.0216119917035914E-2</v>
      </c>
    </row>
    <row r="23" spans="1:27" x14ac:dyDescent="0.25">
      <c r="A23" s="240"/>
      <c r="B23" s="103" t="s">
        <v>85</v>
      </c>
      <c r="C23" s="202">
        <f t="shared" si="0"/>
        <v>8.8000000000000007</v>
      </c>
      <c r="D23" s="204" t="e">
        <f>ABS('Preço SFCR-GROWATT BYD 400Wp'!$G$43-C23)</f>
        <v>#DIV/0!</v>
      </c>
      <c r="E23" s="105">
        <f>+'FRONIUS-BYD 335Wp'!E25</f>
        <v>22</v>
      </c>
      <c r="F23" s="112">
        <f>+IF(K23=0,"",ROUND(M23/(1-'Tabela de BDI'!$C$3),0))</f>
        <v>35028</v>
      </c>
      <c r="G23" s="107" t="s">
        <v>204</v>
      </c>
      <c r="H23" s="106"/>
      <c r="I23" s="146">
        <v>25215.02</v>
      </c>
      <c r="J23" s="149">
        <f t="shared" si="5"/>
        <v>25599.005076142133</v>
      </c>
      <c r="K23" s="106">
        <f t="shared" si="1"/>
        <v>25599.005076142133</v>
      </c>
      <c r="L23" s="106">
        <f>+'FRONIUS-BYD 335Wp'!L25</f>
        <v>4875</v>
      </c>
      <c r="M23" s="106">
        <f t="shared" si="2"/>
        <v>30474.005076142133</v>
      </c>
      <c r="N23" s="106">
        <f>+IF(F23="","",F23*'Tabela de BDI'!$C$7)</f>
        <v>2802.2400000000002</v>
      </c>
      <c r="O23" s="106">
        <f>IF(F23="","",F23*'Tabela de BDI'!$C$8)</f>
        <v>1751.4</v>
      </c>
      <c r="P23" s="109">
        <f t="shared" si="3"/>
        <v>0.36833442924098408</v>
      </c>
      <c r="Q23" s="110">
        <f t="shared" si="4"/>
        <v>3.980454545454545</v>
      </c>
      <c r="R23" s="111">
        <f>+'Tabela de BDI'!$F$9*C23</f>
        <v>1056</v>
      </c>
      <c r="S23" s="114"/>
      <c r="U23" s="273">
        <f t="shared" si="8"/>
        <v>1279.9502538071067</v>
      </c>
      <c r="V23" s="273">
        <f t="shared" si="9"/>
        <v>6154.9502538071065</v>
      </c>
      <c r="W23" s="273">
        <f t="shared" si="10"/>
        <v>1838.491634254071</v>
      </c>
      <c r="X23" s="273">
        <f t="shared" si="11"/>
        <v>7993.4418880611775</v>
      </c>
      <c r="Y23" s="273">
        <f t="shared" si="6"/>
        <v>33592.446964203307</v>
      </c>
      <c r="AA23" s="278">
        <f t="shared" si="7"/>
        <v>4.0983014611073787E-2</v>
      </c>
    </row>
    <row r="24" spans="1:27" x14ac:dyDescent="0.25">
      <c r="A24" s="240"/>
      <c r="B24" s="103" t="s">
        <v>85</v>
      </c>
      <c r="C24" s="202">
        <f t="shared" si="0"/>
        <v>9.2000000000000011</v>
      </c>
      <c r="D24" s="204" t="e">
        <f>ABS('Preço SFCR-GROWATT BYD 400Wp'!$G$43-C24)</f>
        <v>#DIV/0!</v>
      </c>
      <c r="E24" s="105">
        <f>+'FRONIUS-BYD 335Wp'!E26</f>
        <v>23</v>
      </c>
      <c r="F24" s="112" t="str">
        <f>+IF(K24=0,"",ROUND(M24/(1-'Tabela de BDI'!$C$3),0))</f>
        <v/>
      </c>
      <c r="G24" s="107"/>
      <c r="H24" s="106"/>
      <c r="I24" s="146"/>
      <c r="J24" s="149">
        <f t="shared" si="5"/>
        <v>0</v>
      </c>
      <c r="K24" s="106">
        <f t="shared" si="1"/>
        <v>0</v>
      </c>
      <c r="L24" s="106">
        <f>+'FRONIUS-BYD 335Wp'!L26</f>
        <v>5000</v>
      </c>
      <c r="M24" s="106">
        <f t="shared" si="2"/>
        <v>5000</v>
      </c>
      <c r="N24" s="106" t="str">
        <f>+IF(F24="","",F24*'Tabela de BDI'!$C$7)</f>
        <v/>
      </c>
      <c r="O24" s="106" t="str">
        <f>IF(F24="","",F24*'Tabela de BDI'!$C$8)</f>
        <v/>
      </c>
      <c r="P24" s="109" t="str">
        <f t="shared" si="3"/>
        <v/>
      </c>
      <c r="Q24" s="110" t="str">
        <f t="shared" si="4"/>
        <v/>
      </c>
      <c r="R24" s="111">
        <f>+'Tabela de BDI'!$F$9*C24</f>
        <v>1104.0000000000002</v>
      </c>
      <c r="S24" s="114"/>
      <c r="U24" s="273">
        <f t="shared" si="8"/>
        <v>0</v>
      </c>
      <c r="V24" s="273">
        <f t="shared" si="9"/>
        <v>5000</v>
      </c>
      <c r="W24" s="273">
        <f t="shared" si="10"/>
        <v>1493.5064935064929</v>
      </c>
      <c r="X24" s="273">
        <f t="shared" si="11"/>
        <v>6493.5064935064929</v>
      </c>
      <c r="Y24" s="273" t="str">
        <f t="shared" si="6"/>
        <v/>
      </c>
      <c r="AA24" s="278" t="str">
        <f t="shared" si="7"/>
        <v/>
      </c>
    </row>
    <row r="25" spans="1:27" x14ac:dyDescent="0.25">
      <c r="A25" s="240"/>
      <c r="B25" s="103" t="s">
        <v>85</v>
      </c>
      <c r="C25" s="202">
        <f t="shared" si="0"/>
        <v>9.6000000000000014</v>
      </c>
      <c r="D25" s="204" t="e">
        <f>ABS('Preço SFCR-GROWATT BYD 400Wp'!$G$43-C25)</f>
        <v>#DIV/0!</v>
      </c>
      <c r="E25" s="105">
        <f>+'FRONIUS-BYD 335Wp'!E27</f>
        <v>24</v>
      </c>
      <c r="F25" s="112">
        <f>+IF(K25=0,"",ROUND(M25/(1-'Tabela de BDI'!$C$3),0))</f>
        <v>37189</v>
      </c>
      <c r="G25" s="107" t="s">
        <v>204</v>
      </c>
      <c r="H25" s="106"/>
      <c r="I25" s="146">
        <v>26820.57</v>
      </c>
      <c r="J25" s="149">
        <f t="shared" si="5"/>
        <v>27229.005076142133</v>
      </c>
      <c r="K25" s="106">
        <f t="shared" si="1"/>
        <v>27229.005076142133</v>
      </c>
      <c r="L25" s="106">
        <f>+'FRONIUS-BYD 335Wp'!L27</f>
        <v>5125</v>
      </c>
      <c r="M25" s="106">
        <f t="shared" si="2"/>
        <v>32354.005076142133</v>
      </c>
      <c r="N25" s="106">
        <f>+IF(F25="","",F25*'Tabela de BDI'!$C$7)</f>
        <v>2975.12</v>
      </c>
      <c r="O25" s="106">
        <f>IF(F25="","",F25*'Tabela de BDI'!$C$8)</f>
        <v>1859.45</v>
      </c>
      <c r="P25" s="109">
        <f t="shared" si="3"/>
        <v>0.36578622303701963</v>
      </c>
      <c r="Q25" s="110">
        <f t="shared" si="4"/>
        <v>3.8738541666666659</v>
      </c>
      <c r="R25" s="111">
        <f>+'Tabela de BDI'!$F$9*C25</f>
        <v>1152.0000000000002</v>
      </c>
      <c r="S25" s="114"/>
      <c r="U25" s="273">
        <f t="shared" si="8"/>
        <v>1361.4502538071067</v>
      </c>
      <c r="V25" s="273">
        <f t="shared" si="9"/>
        <v>6486.4502538071065</v>
      </c>
      <c r="W25" s="273">
        <f t="shared" si="10"/>
        <v>1937.5111147735515</v>
      </c>
      <c r="X25" s="273">
        <f t="shared" si="11"/>
        <v>8423.961368580658</v>
      </c>
      <c r="Y25" s="273">
        <f t="shared" si="6"/>
        <v>35652.966444722791</v>
      </c>
      <c r="AA25" s="278">
        <f t="shared" si="7"/>
        <v>4.1303437986426321E-2</v>
      </c>
    </row>
    <row r="26" spans="1:27" x14ac:dyDescent="0.25">
      <c r="A26" s="240"/>
      <c r="B26" s="103" t="s">
        <v>85</v>
      </c>
      <c r="C26" s="202">
        <f t="shared" si="0"/>
        <v>10</v>
      </c>
      <c r="D26" s="204" t="e">
        <f>ABS('Preço SFCR-GROWATT BYD 400Wp'!$G$43-C26)</f>
        <v>#DIV/0!</v>
      </c>
      <c r="E26" s="105">
        <f>+'FRONIUS-BYD 335Wp'!E28</f>
        <v>25</v>
      </c>
      <c r="F26" s="112" t="str">
        <f>+IF(K26=0,"",ROUND(M26/(1-'Tabela de BDI'!$C$3),0))</f>
        <v/>
      </c>
      <c r="G26" s="107" t="s">
        <v>204</v>
      </c>
      <c r="H26" s="106"/>
      <c r="I26" s="146"/>
      <c r="J26" s="149">
        <f t="shared" si="5"/>
        <v>0</v>
      </c>
      <c r="K26" s="106">
        <f t="shared" si="1"/>
        <v>0</v>
      </c>
      <c r="L26" s="106">
        <f>+'FRONIUS-BYD 335Wp'!L28</f>
        <v>5250</v>
      </c>
      <c r="M26" s="106">
        <f t="shared" si="2"/>
        <v>5250</v>
      </c>
      <c r="N26" s="106" t="str">
        <f>+IF(F26="","",F26*'Tabela de BDI'!$C$7)</f>
        <v/>
      </c>
      <c r="O26" s="106" t="str">
        <f>IF(F26="","",F26*'Tabela de BDI'!$C$8)</f>
        <v/>
      </c>
      <c r="P26" s="109" t="str">
        <f t="shared" si="3"/>
        <v/>
      </c>
      <c r="Q26" s="110" t="str">
        <f t="shared" si="4"/>
        <v/>
      </c>
      <c r="R26" s="111">
        <f>+'Tabela de BDI'!$F$9*C26</f>
        <v>1200</v>
      </c>
      <c r="S26" s="114"/>
      <c r="U26" s="273">
        <f t="shared" si="8"/>
        <v>0</v>
      </c>
      <c r="V26" s="273">
        <f t="shared" si="9"/>
        <v>5250</v>
      </c>
      <c r="W26" s="273">
        <f t="shared" si="10"/>
        <v>1568.181818181818</v>
      </c>
      <c r="X26" s="273">
        <f t="shared" si="11"/>
        <v>6818.181818181818</v>
      </c>
      <c r="Y26" s="273" t="str">
        <f t="shared" si="6"/>
        <v/>
      </c>
      <c r="AA26" s="278" t="str">
        <f t="shared" si="7"/>
        <v/>
      </c>
    </row>
    <row r="27" spans="1:27" x14ac:dyDescent="0.25">
      <c r="A27" s="240"/>
      <c r="B27" s="103" t="s">
        <v>85</v>
      </c>
      <c r="C27" s="202">
        <f t="shared" si="0"/>
        <v>10.4</v>
      </c>
      <c r="D27" s="204" t="e">
        <f>ABS('Preço SFCR-GROWATT BYD 400Wp'!$G$43-C27)</f>
        <v>#DIV/0!</v>
      </c>
      <c r="E27" s="105">
        <f>+'FRONIUS-BYD 335Wp'!E29</f>
        <v>26</v>
      </c>
      <c r="F27" s="112">
        <f>+IF(K27=0,"",ROUND(M27/(1-'Tabela de BDI'!$C$3),0))</f>
        <v>42097</v>
      </c>
      <c r="G27" s="230" t="s">
        <v>255</v>
      </c>
      <c r="H27" s="106"/>
      <c r="I27" s="227">
        <v>30780.27</v>
      </c>
      <c r="J27" s="149">
        <f t="shared" si="5"/>
        <v>31249.005076142133</v>
      </c>
      <c r="K27" s="106">
        <f t="shared" si="1"/>
        <v>31249.005076142133</v>
      </c>
      <c r="L27" s="106">
        <f>+'FRONIUS-BYD 335Wp'!L29</f>
        <v>5375</v>
      </c>
      <c r="M27" s="106">
        <f t="shared" si="2"/>
        <v>36624.00507614213</v>
      </c>
      <c r="N27" s="106">
        <f>+IF(F27="","",F27*'Tabela de BDI'!$C$7)</f>
        <v>3367.76</v>
      </c>
      <c r="O27" s="106">
        <f>IF(F27="","",F27*'Tabela de BDI'!$C$8)</f>
        <v>2104.85</v>
      </c>
      <c r="P27" s="109">
        <f t="shared" si="3"/>
        <v>0.3471468898745852</v>
      </c>
      <c r="Q27" s="110">
        <f t="shared" si="4"/>
        <v>4.0477884615384614</v>
      </c>
      <c r="R27" s="111">
        <f>+'Tabela de BDI'!$F$9*C27</f>
        <v>1248</v>
      </c>
      <c r="S27" s="114"/>
      <c r="U27" s="273">
        <f t="shared" si="8"/>
        <v>1562.4502538071067</v>
      </c>
      <c r="V27" s="273">
        <f t="shared" si="9"/>
        <v>6937.4502538071065</v>
      </c>
      <c r="W27" s="273">
        <f t="shared" si="10"/>
        <v>2072.2254004878359</v>
      </c>
      <c r="X27" s="273">
        <f t="shared" si="11"/>
        <v>9009.6756542949424</v>
      </c>
      <c r="Y27" s="273">
        <f t="shared" si="6"/>
        <v>40258.680730437074</v>
      </c>
      <c r="AA27" s="278">
        <f t="shared" si="7"/>
        <v>4.3668652625197188E-2</v>
      </c>
    </row>
    <row r="28" spans="1:27" x14ac:dyDescent="0.25">
      <c r="A28" s="240"/>
      <c r="B28" s="103" t="s">
        <v>85</v>
      </c>
      <c r="C28" s="202">
        <f t="shared" si="0"/>
        <v>11.200000000000001</v>
      </c>
      <c r="D28" s="204" t="e">
        <f>ABS('Preço SFCR-GROWATT BYD 400Wp'!$G$43-C28)</f>
        <v>#DIV/0!</v>
      </c>
      <c r="E28" s="105">
        <f>+'FRONIUS-BYD 335Wp'!E30</f>
        <v>28</v>
      </c>
      <c r="F28" s="112">
        <f>+IF(K28=0,"",ROUND(M28/(1-'Tabela de BDI'!$C$3),0))</f>
        <v>44257</v>
      </c>
      <c r="G28" s="230" t="s">
        <v>255</v>
      </c>
      <c r="H28" s="106"/>
      <c r="I28" s="157">
        <v>32385.82</v>
      </c>
      <c r="J28" s="149">
        <f t="shared" si="5"/>
        <v>32879.00507614213</v>
      </c>
      <c r="K28" s="106">
        <f t="shared" si="1"/>
        <v>32879.00507614213</v>
      </c>
      <c r="L28" s="106">
        <f>+'FRONIUS-BYD 335Wp'!L30</f>
        <v>5625</v>
      </c>
      <c r="M28" s="106">
        <f t="shared" si="2"/>
        <v>38504.00507614213</v>
      </c>
      <c r="N28" s="106">
        <f>+IF(F28="","",F28*'Tabela de BDI'!$C$7)</f>
        <v>3540.56</v>
      </c>
      <c r="O28" s="106">
        <f>IF(F28="","",F28*'Tabela de BDI'!$C$8)</f>
        <v>2212.85</v>
      </c>
      <c r="P28" s="109">
        <f t="shared" si="3"/>
        <v>0.34605654573513972</v>
      </c>
      <c r="Q28" s="110">
        <f t="shared" si="4"/>
        <v>3.9515178571428571</v>
      </c>
      <c r="R28" s="111">
        <f>+'Tabela de BDI'!$F$9*C28</f>
        <v>1344.0000000000002</v>
      </c>
      <c r="S28" s="114"/>
      <c r="U28" s="273">
        <f t="shared" si="8"/>
        <v>1643.9502538071065</v>
      </c>
      <c r="V28" s="273">
        <f t="shared" si="9"/>
        <v>7268.9502538071065</v>
      </c>
      <c r="W28" s="273">
        <f t="shared" si="10"/>
        <v>2171.2448810073165</v>
      </c>
      <c r="X28" s="273">
        <f t="shared" si="11"/>
        <v>9440.195134814423</v>
      </c>
      <c r="Y28" s="273">
        <f t="shared" si="6"/>
        <v>42319.200210956551</v>
      </c>
      <c r="AA28" s="278">
        <f t="shared" si="7"/>
        <v>4.3785159162244368E-2</v>
      </c>
    </row>
    <row r="29" spans="1:27" x14ac:dyDescent="0.25">
      <c r="A29" s="240"/>
      <c r="B29" s="103" t="s">
        <v>85</v>
      </c>
      <c r="C29" s="202">
        <f t="shared" si="0"/>
        <v>12</v>
      </c>
      <c r="D29" s="204" t="e">
        <f>ABS('Preço SFCR-GROWATT BYD 400Wp'!$G$43-C29)</f>
        <v>#DIV/0!</v>
      </c>
      <c r="E29" s="105">
        <f>+'FRONIUS-BYD 335Wp'!E31</f>
        <v>30</v>
      </c>
      <c r="F29" s="112">
        <f>+IF(K29=0,"",ROUND(M29/(1-'Tabela de BDI'!$C$3),0))</f>
        <v>45384</v>
      </c>
      <c r="G29" s="230" t="s">
        <v>255</v>
      </c>
      <c r="H29" s="106"/>
      <c r="I29" s="157">
        <v>33104.870000000003</v>
      </c>
      <c r="J29" s="149">
        <f t="shared" si="5"/>
        <v>33609.005076142137</v>
      </c>
      <c r="K29" s="106">
        <f t="shared" si="1"/>
        <v>33609.005076142137</v>
      </c>
      <c r="L29" s="106">
        <f>+'FRONIUS-BYD 335Wp'!L31</f>
        <v>5875</v>
      </c>
      <c r="M29" s="106">
        <f t="shared" si="2"/>
        <v>39484.005076142137</v>
      </c>
      <c r="N29" s="106">
        <f>+IF(F29="","",F29*'Tabela de BDI'!$C$7)</f>
        <v>3630.7200000000003</v>
      </c>
      <c r="O29" s="106">
        <f>IF(F29="","",F29*'Tabela de BDI'!$C$8)</f>
        <v>2269.2000000000003</v>
      </c>
      <c r="P29" s="109">
        <f t="shared" si="3"/>
        <v>0.35035238017850523</v>
      </c>
      <c r="Q29" s="110">
        <f t="shared" si="4"/>
        <v>3.782</v>
      </c>
      <c r="R29" s="111">
        <f>+'Tabela de BDI'!$F$9*C29</f>
        <v>1440</v>
      </c>
      <c r="S29" s="114"/>
      <c r="U29" s="273">
        <f t="shared" si="8"/>
        <v>1680.4502538071069</v>
      </c>
      <c r="V29" s="273">
        <f t="shared" si="9"/>
        <v>7555.4502538071065</v>
      </c>
      <c r="W29" s="273">
        <f t="shared" si="10"/>
        <v>2256.8228030852388</v>
      </c>
      <c r="X29" s="273">
        <f t="shared" si="11"/>
        <v>9812.2730568923453</v>
      </c>
      <c r="Y29" s="273">
        <f t="shared" si="6"/>
        <v>43421.278133034481</v>
      </c>
      <c r="AA29" s="278">
        <f t="shared" si="7"/>
        <v>4.3247000417889994E-2</v>
      </c>
    </row>
    <row r="30" spans="1:27" x14ac:dyDescent="0.25">
      <c r="A30" s="240"/>
      <c r="B30" s="103" t="s">
        <v>85</v>
      </c>
      <c r="C30" s="202">
        <f t="shared" si="0"/>
        <v>12.8</v>
      </c>
      <c r="D30" s="204" t="e">
        <f>ABS('Preço SFCR-GROWATT BYD 400Wp'!$G$43-C30)</f>
        <v>#DIV/0!</v>
      </c>
      <c r="E30" s="105">
        <f>+'FRONIUS-BYD 335Wp'!E32</f>
        <v>32</v>
      </c>
      <c r="F30" s="112">
        <f>+IF(K30=0,"",ROUND(M30/(1-'Tabela de BDI'!$C$3),0))</f>
        <v>47476</v>
      </c>
      <c r="G30" s="230" t="s">
        <v>255</v>
      </c>
      <c r="H30" s="106"/>
      <c r="I30" s="157">
        <v>34651.32</v>
      </c>
      <c r="J30" s="149">
        <f t="shared" si="5"/>
        <v>35179.00507614213</v>
      </c>
      <c r="K30" s="106">
        <f t="shared" si="1"/>
        <v>35179.00507614213</v>
      </c>
      <c r="L30" s="106">
        <f>+'FRONIUS-BYD 335Wp'!L32</f>
        <v>6125</v>
      </c>
      <c r="M30" s="106">
        <f t="shared" si="2"/>
        <v>41304.00507614213</v>
      </c>
      <c r="N30" s="106">
        <f>+IF(F30="","",F30*'Tabela de BDI'!$C$7)</f>
        <v>3798.08</v>
      </c>
      <c r="O30" s="106">
        <f>IF(F30="","",F30*'Tabela de BDI'!$C$8)</f>
        <v>2373.8000000000002</v>
      </c>
      <c r="P30" s="109">
        <f t="shared" si="3"/>
        <v>0.3495549375896792</v>
      </c>
      <c r="Q30" s="110">
        <f t="shared" si="4"/>
        <v>3.7090624999999999</v>
      </c>
      <c r="R30" s="111">
        <f>+'Tabela de BDI'!$F$9*C30</f>
        <v>1536</v>
      </c>
      <c r="S30" s="114"/>
      <c r="U30" s="273">
        <f t="shared" si="8"/>
        <v>1758.9502538071065</v>
      </c>
      <c r="V30" s="273">
        <f t="shared" si="9"/>
        <v>7883.9502538071065</v>
      </c>
      <c r="W30" s="273">
        <f t="shared" si="10"/>
        <v>2354.9461797086151</v>
      </c>
      <c r="X30" s="273">
        <f t="shared" si="11"/>
        <v>10238.896433515722</v>
      </c>
      <c r="Y30" s="273">
        <f t="shared" si="6"/>
        <v>45417.901509657851</v>
      </c>
      <c r="AA30" s="278">
        <f t="shared" si="7"/>
        <v>4.3350292576083672E-2</v>
      </c>
    </row>
    <row r="31" spans="1:27" ht="15.75" customHeight="1" x14ac:dyDescent="0.25">
      <c r="A31" s="240"/>
      <c r="B31" s="103" t="s">
        <v>85</v>
      </c>
      <c r="C31" s="202">
        <f t="shared" si="0"/>
        <v>13.600000000000001</v>
      </c>
      <c r="D31" s="204" t="e">
        <f>ABS('Preço SFCR-GROWATT BYD 400Wp'!$G$43-C31)</f>
        <v>#DIV/0!</v>
      </c>
      <c r="E31" s="105">
        <f>+'FRONIUS-BYD 335Wp'!E33</f>
        <v>34</v>
      </c>
      <c r="F31" s="112">
        <f>+IF(K31=0,"",ROUND(M31/(1-'Tabela de BDI'!$C$3),0))</f>
        <v>50666</v>
      </c>
      <c r="G31" s="230" t="s">
        <v>255</v>
      </c>
      <c r="H31" s="106"/>
      <c r="I31" s="157">
        <v>36522.82</v>
      </c>
      <c r="J31" s="149">
        <f t="shared" si="5"/>
        <v>37079.00507614213</v>
      </c>
      <c r="K31" s="106">
        <f t="shared" si="1"/>
        <v>37079.00507614213</v>
      </c>
      <c r="L31" s="106">
        <f>+'FRONIUS-BYD 335Wp'!L33</f>
        <v>7000</v>
      </c>
      <c r="M31" s="106">
        <f t="shared" si="2"/>
        <v>44079.00507614213</v>
      </c>
      <c r="N31" s="106">
        <f>+IF(F31="","",F31*'Tabela de BDI'!$C$7)</f>
        <v>4053.28</v>
      </c>
      <c r="O31" s="106">
        <f>IF(F31="","",F31*'Tabela de BDI'!$C$8)</f>
        <v>2533.3000000000002</v>
      </c>
      <c r="P31" s="109">
        <f t="shared" si="3"/>
        <v>0.3664336434043155</v>
      </c>
      <c r="Q31" s="110">
        <f t="shared" si="4"/>
        <v>3.7254411764705879</v>
      </c>
      <c r="R31" s="111">
        <f>+'Tabela de BDI'!$F$9*C31</f>
        <v>1632.0000000000002</v>
      </c>
      <c r="S31" s="114"/>
      <c r="U31" s="273">
        <f t="shared" si="8"/>
        <v>1853.9502538071065</v>
      </c>
      <c r="V31" s="273">
        <f t="shared" si="9"/>
        <v>8853.9502538071065</v>
      </c>
      <c r="W31" s="273">
        <f t="shared" si="10"/>
        <v>2644.6864394488748</v>
      </c>
      <c r="X31" s="273">
        <f t="shared" si="11"/>
        <v>11498.636693255981</v>
      </c>
      <c r="Y31" s="273">
        <f t="shared" si="6"/>
        <v>48577.641769398113</v>
      </c>
      <c r="AA31" s="278">
        <f t="shared" si="7"/>
        <v>4.1218139000550408E-2</v>
      </c>
    </row>
    <row r="32" spans="1:27" ht="15.75" customHeight="1" x14ac:dyDescent="0.25">
      <c r="A32" s="240"/>
      <c r="B32" s="103" t="s">
        <v>85</v>
      </c>
      <c r="C32" s="202">
        <f t="shared" si="0"/>
        <v>14.4</v>
      </c>
      <c r="D32" s="204" t="e">
        <f>ABS('Preço SFCR-GROWATT BYD 400Wp'!$G$43-C32)</f>
        <v>#DIV/0!</v>
      </c>
      <c r="E32" s="105">
        <f>+'FRONIUS-BYD 335Wp'!E34</f>
        <v>36</v>
      </c>
      <c r="F32" s="112">
        <f>+IF(K32=0,"",ROUND(M32/(1-'Tabela de BDI'!$C$3),0))</f>
        <v>55756</v>
      </c>
      <c r="G32" s="156" t="s">
        <v>83</v>
      </c>
      <c r="H32" s="106"/>
      <c r="I32" s="157">
        <f>+I20*2</f>
        <v>40639.14</v>
      </c>
      <c r="J32" s="150">
        <f t="shared" si="5"/>
        <v>41258.010152284267</v>
      </c>
      <c r="K32" s="106">
        <f t="shared" si="1"/>
        <v>41258.010152284267</v>
      </c>
      <c r="L32" s="106">
        <f>+'FRONIUS-BYD 335Wp'!L34</f>
        <v>7250</v>
      </c>
      <c r="M32" s="106">
        <f t="shared" si="2"/>
        <v>48508.010152284267</v>
      </c>
      <c r="N32" s="106">
        <f>+IF(F32="","",F32*'Tabela de BDI'!$C$7)</f>
        <v>4460.4800000000005</v>
      </c>
      <c r="O32" s="106">
        <f>IF(F32="","",F32*'Tabela de BDI'!$C$8)</f>
        <v>2787.8</v>
      </c>
      <c r="P32" s="109">
        <f t="shared" si="3"/>
        <v>0.35139818411511653</v>
      </c>
      <c r="Q32" s="110">
        <f t="shared" si="4"/>
        <v>3.8719444444444444</v>
      </c>
      <c r="R32" s="111">
        <f>+'Tabela de BDI'!$F$9*C32</f>
        <v>1728</v>
      </c>
      <c r="S32" s="114"/>
      <c r="U32" s="273">
        <f t="shared" si="8"/>
        <v>2062.9005076142134</v>
      </c>
      <c r="V32" s="273">
        <f t="shared" si="9"/>
        <v>9312.900507614213</v>
      </c>
      <c r="W32" s="273">
        <f t="shared" si="10"/>
        <v>2781.7754763003486</v>
      </c>
      <c r="X32" s="273">
        <f t="shared" si="11"/>
        <v>12094.675983914562</v>
      </c>
      <c r="Y32" s="273">
        <f t="shared" si="6"/>
        <v>53352.686136198827</v>
      </c>
      <c r="AA32" s="278">
        <f t="shared" si="7"/>
        <v>4.3104129847929787E-2</v>
      </c>
    </row>
    <row r="33" spans="1:27" ht="15.75" customHeight="1" x14ac:dyDescent="0.25">
      <c r="A33" s="240"/>
      <c r="B33" s="103" t="s">
        <v>85</v>
      </c>
      <c r="C33" s="202">
        <f t="shared" si="0"/>
        <v>15.200000000000001</v>
      </c>
      <c r="D33" s="204" t="e">
        <f>ABS('Preço SFCR-GROWATT BYD 400Wp'!$G$43-C33)</f>
        <v>#DIV/0!</v>
      </c>
      <c r="E33" s="105">
        <f>+'FRONIUS-BYD 335Wp'!E35</f>
        <v>38</v>
      </c>
      <c r="F33" s="112">
        <f>+IF(K33=0,"",ROUND(M33/(1-'Tabela de BDI'!$C$3),0))</f>
        <v>59412</v>
      </c>
      <c r="G33" s="156" t="s">
        <v>227</v>
      </c>
      <c r="H33" s="106"/>
      <c r="I33" s="157">
        <f>+I25+I17</f>
        <v>43525.19</v>
      </c>
      <c r="J33" s="150">
        <f t="shared" si="5"/>
        <v>44188.010152284267</v>
      </c>
      <c r="K33" s="106">
        <f t="shared" si="1"/>
        <v>44188.010152284267</v>
      </c>
      <c r="L33" s="106">
        <f>+'FRONIUS-BYD 335Wp'!L35</f>
        <v>7500</v>
      </c>
      <c r="M33" s="106">
        <f t="shared" si="2"/>
        <v>51688.010152284267</v>
      </c>
      <c r="N33" s="106">
        <f>+IF(F33="","",F33*'Tabela de BDI'!$C$7)</f>
        <v>4752.96</v>
      </c>
      <c r="O33" s="106">
        <f>IF(F33="","",F33*'Tabela de BDI'!$C$8)</f>
        <v>2970.6000000000004</v>
      </c>
      <c r="P33" s="109">
        <f t="shared" si="3"/>
        <v>0.34452761722579489</v>
      </c>
      <c r="Q33" s="110">
        <f t="shared" si="4"/>
        <v>3.9086842105263155</v>
      </c>
      <c r="R33" s="111">
        <f>+'Tabela de BDI'!$F$9*C33</f>
        <v>1824.0000000000002</v>
      </c>
      <c r="S33" s="114"/>
      <c r="U33" s="273">
        <f t="shared" si="8"/>
        <v>2209.4005076142134</v>
      </c>
      <c r="V33" s="273">
        <f t="shared" si="9"/>
        <v>9709.400507614213</v>
      </c>
      <c r="W33" s="273">
        <f t="shared" si="10"/>
        <v>2900.210541235414</v>
      </c>
      <c r="X33" s="273">
        <f t="shared" si="11"/>
        <v>12609.611048849627</v>
      </c>
      <c r="Y33" s="273">
        <f t="shared" si="6"/>
        <v>56797.621201133894</v>
      </c>
      <c r="AA33" s="278">
        <f t="shared" si="7"/>
        <v>4.4004221350335049E-2</v>
      </c>
    </row>
    <row r="34" spans="1:27" ht="15.75" customHeight="1" x14ac:dyDescent="0.25">
      <c r="A34" s="240"/>
      <c r="B34" s="103" t="s">
        <v>85</v>
      </c>
      <c r="C34" s="202">
        <f t="shared" si="0"/>
        <v>16</v>
      </c>
      <c r="D34" s="204" t="e">
        <f>ABS('Preço SFCR-GROWATT BYD 400Wp'!$G$43-C34)</f>
        <v>#DIV/0!</v>
      </c>
      <c r="E34" s="105">
        <f>+'FRONIUS-BYD 335Wp'!E36</f>
        <v>40</v>
      </c>
      <c r="F34" s="112">
        <f>+IF(K34=0,"",ROUND(M34/(1-'Tabela de BDI'!$C$3),0))</f>
        <v>61572</v>
      </c>
      <c r="G34" s="156" t="s">
        <v>226</v>
      </c>
      <c r="H34" s="106"/>
      <c r="I34" s="157">
        <f>+I25+I19</f>
        <v>45130.74</v>
      </c>
      <c r="J34" s="150">
        <f t="shared" si="5"/>
        <v>45818.01015228426</v>
      </c>
      <c r="K34" s="106">
        <f t="shared" si="1"/>
        <v>45818.01015228426</v>
      </c>
      <c r="L34" s="106">
        <f>+'FRONIUS-BYD 335Wp'!L36</f>
        <v>7750</v>
      </c>
      <c r="M34" s="106">
        <f t="shared" si="2"/>
        <v>53568.01015228426</v>
      </c>
      <c r="N34" s="106">
        <f>+IF(F34="","",F34*'Tabela de BDI'!$C$7)</f>
        <v>4925.76</v>
      </c>
      <c r="O34" s="106">
        <f>IF(F34="","",F34*'Tabela de BDI'!$C$8)</f>
        <v>3078.6000000000004</v>
      </c>
      <c r="P34" s="109">
        <f t="shared" si="3"/>
        <v>0.3438383682607466</v>
      </c>
      <c r="Q34" s="110">
        <f t="shared" si="4"/>
        <v>3.8482500000000002</v>
      </c>
      <c r="R34" s="111">
        <f>+'Tabela de BDI'!$F$9*C34</f>
        <v>1920</v>
      </c>
      <c r="S34" s="114"/>
      <c r="U34" s="273">
        <f t="shared" si="8"/>
        <v>2290.900507614213</v>
      </c>
      <c r="V34" s="273">
        <f t="shared" si="9"/>
        <v>10040.900507614213</v>
      </c>
      <c r="W34" s="273">
        <f t="shared" si="10"/>
        <v>2999.2300217548946</v>
      </c>
      <c r="X34" s="273">
        <f t="shared" si="11"/>
        <v>13040.130529369108</v>
      </c>
      <c r="Y34" s="273">
        <f t="shared" si="6"/>
        <v>58858.140681653371</v>
      </c>
      <c r="AA34" s="278">
        <f t="shared" si="7"/>
        <v>4.4076192398275663E-2</v>
      </c>
    </row>
    <row r="35" spans="1:27" ht="15.75" customHeight="1" x14ac:dyDescent="0.25">
      <c r="A35" s="240"/>
      <c r="B35" s="103" t="s">
        <v>85</v>
      </c>
      <c r="C35" s="202">
        <f t="shared" si="0"/>
        <v>16.8</v>
      </c>
      <c r="D35" s="204" t="e">
        <f>ABS('Preço SFCR-GROWATT BYD 400Wp'!$G$43-C35)</f>
        <v>#DIV/0!</v>
      </c>
      <c r="E35" s="105">
        <f>+'FRONIUS-BYD 335Wp'!E37</f>
        <v>42</v>
      </c>
      <c r="F35" s="112">
        <f>+IF(K35=0,"",ROUND(M35/(1-'Tabela de BDI'!$C$3),0))</f>
        <v>64205</v>
      </c>
      <c r="G35" s="156" t="s">
        <v>228</v>
      </c>
      <c r="H35" s="106"/>
      <c r="I35" s="157">
        <f>+I25+I20</f>
        <v>47140.14</v>
      </c>
      <c r="J35" s="150">
        <f t="shared" si="5"/>
        <v>47858.010152284267</v>
      </c>
      <c r="K35" s="106">
        <f t="shared" si="1"/>
        <v>47858.010152284267</v>
      </c>
      <c r="L35" s="106">
        <f>+'FRONIUS-BYD 335Wp'!L37</f>
        <v>8000</v>
      </c>
      <c r="M35" s="106">
        <f t="shared" si="2"/>
        <v>55858.010152284267</v>
      </c>
      <c r="N35" s="106">
        <f>+IF(F35="","",F35*'Tabela de BDI'!$C$7)</f>
        <v>5136.4000000000005</v>
      </c>
      <c r="O35" s="106">
        <f>IF(F35="","",F35*'Tabela de BDI'!$C$8)</f>
        <v>3210.25</v>
      </c>
      <c r="P35" s="109">
        <f t="shared" si="3"/>
        <v>0.34157270215998503</v>
      </c>
      <c r="Q35" s="110">
        <f t="shared" si="4"/>
        <v>3.8217261904761903</v>
      </c>
      <c r="R35" s="111">
        <f>+'Tabela de BDI'!$F$9*C35</f>
        <v>2016</v>
      </c>
      <c r="S35" s="114"/>
      <c r="U35" s="273">
        <f t="shared" si="8"/>
        <v>2392.9005076142134</v>
      </c>
      <c r="V35" s="273">
        <f t="shared" si="9"/>
        <v>10392.900507614213</v>
      </c>
      <c r="W35" s="273">
        <f t="shared" si="10"/>
        <v>3104.3728788977514</v>
      </c>
      <c r="X35" s="273">
        <f t="shared" si="11"/>
        <v>13497.273386511964</v>
      </c>
      <c r="Y35" s="273">
        <f t="shared" si="6"/>
        <v>61355.283538796233</v>
      </c>
      <c r="AA35" s="278">
        <f t="shared" si="7"/>
        <v>4.4384650123880799E-2</v>
      </c>
    </row>
    <row r="36" spans="1:27" ht="15.75" customHeight="1" x14ac:dyDescent="0.25">
      <c r="A36" s="240"/>
      <c r="B36" s="103" t="s">
        <v>85</v>
      </c>
      <c r="C36" s="202">
        <f t="shared" si="0"/>
        <v>17.600000000000001</v>
      </c>
      <c r="D36" s="204" t="e">
        <f>ABS('Preço SFCR-GROWATT BYD 400Wp'!$G$43-C36)</f>
        <v>#DIV/0!</v>
      </c>
      <c r="E36" s="105">
        <f>+'FRONIUS-BYD 335Wp'!E38</f>
        <v>44</v>
      </c>
      <c r="F36" s="112">
        <f>+IF(K36=0,"",ROUND(M36/(1-'Tabela de BDI'!$C$3),0))</f>
        <v>67952</v>
      </c>
      <c r="G36" s="209" t="s">
        <v>203</v>
      </c>
      <c r="H36" s="106"/>
      <c r="I36" s="157">
        <f>+I25+I22</f>
        <v>50104.99</v>
      </c>
      <c r="J36" s="150">
        <f t="shared" si="5"/>
        <v>50868.01015228426</v>
      </c>
      <c r="K36" s="106">
        <f t="shared" si="1"/>
        <v>50868.01015228426</v>
      </c>
      <c r="L36" s="106">
        <f>+'FRONIUS-BYD 335Wp'!L38</f>
        <v>8250</v>
      </c>
      <c r="M36" s="106">
        <f t="shared" si="2"/>
        <v>59118.01015228426</v>
      </c>
      <c r="N36" s="106">
        <f>+IF(F36="","",F36*'Tabela de BDI'!$C$7)</f>
        <v>5436.16</v>
      </c>
      <c r="O36" s="106">
        <f>IF(F36="","",F36*'Tabela de BDI'!$C$8)</f>
        <v>3397.6000000000004</v>
      </c>
      <c r="P36" s="109">
        <f t="shared" si="3"/>
        <v>0.33584938346460114</v>
      </c>
      <c r="Q36" s="110">
        <f t="shared" si="4"/>
        <v>3.8609090909090904</v>
      </c>
      <c r="R36" s="111">
        <f>+'Tabela de BDI'!$F$9*C36</f>
        <v>2112</v>
      </c>
      <c r="S36" s="114"/>
      <c r="U36" s="273">
        <f t="shared" si="8"/>
        <v>2543.400507614213</v>
      </c>
      <c r="V36" s="273">
        <f t="shared" si="9"/>
        <v>10793.400507614213</v>
      </c>
      <c r="W36" s="273">
        <f t="shared" si="10"/>
        <v>3224.0027490276225</v>
      </c>
      <c r="X36" s="273">
        <f t="shared" si="11"/>
        <v>14017.403256641835</v>
      </c>
      <c r="Y36" s="273">
        <f t="shared" si="6"/>
        <v>64885.413408926092</v>
      </c>
      <c r="AA36" s="278">
        <f t="shared" si="7"/>
        <v>4.5128717198521143E-2</v>
      </c>
    </row>
    <row r="37" spans="1:27" ht="15.75" customHeight="1" x14ac:dyDescent="0.25">
      <c r="A37" s="240"/>
      <c r="B37" s="103" t="s">
        <v>85</v>
      </c>
      <c r="C37" s="202">
        <f t="shared" si="0"/>
        <v>18.400000000000002</v>
      </c>
      <c r="D37" s="204" t="e">
        <f>ABS('Preço SFCR-GROWATT BYD 400Wp'!$G$43-C37)</f>
        <v>#DIV/0!</v>
      </c>
      <c r="E37" s="105">
        <f>+'FRONIUS-BYD 335Wp'!E39</f>
        <v>46</v>
      </c>
      <c r="F37" s="112">
        <f>+IF(K37=0,"",ROUND(M37/(1-'Tabela de BDI'!$C$3),0))</f>
        <v>70492</v>
      </c>
      <c r="G37" s="209" t="s">
        <v>203</v>
      </c>
      <c r="H37" s="106"/>
      <c r="I37" s="157">
        <f>+I25+I23</f>
        <v>52035.59</v>
      </c>
      <c r="J37" s="150">
        <f t="shared" si="5"/>
        <v>52828.01015228426</v>
      </c>
      <c r="K37" s="106">
        <f t="shared" si="1"/>
        <v>52828.01015228426</v>
      </c>
      <c r="L37" s="106">
        <f>+'FRONIUS-BYD 335Wp'!L39</f>
        <v>8500</v>
      </c>
      <c r="M37" s="106">
        <f t="shared" si="2"/>
        <v>61328.01015228426</v>
      </c>
      <c r="N37" s="106">
        <f>+IF(F37="","",F37*'Tabela de BDI'!$C$7)</f>
        <v>5639.36</v>
      </c>
      <c r="O37" s="106">
        <f>IF(F37="","",F37*'Tabela de BDI'!$C$8)</f>
        <v>3524.6000000000004</v>
      </c>
      <c r="P37" s="109">
        <f t="shared" si="3"/>
        <v>0.33436788167483072</v>
      </c>
      <c r="Q37" s="110">
        <f t="shared" si="4"/>
        <v>3.8310869565217387</v>
      </c>
      <c r="R37" s="111">
        <f>+'Tabela de BDI'!$F$9*C37</f>
        <v>2208.0000000000005</v>
      </c>
      <c r="S37" s="114"/>
      <c r="U37" s="273">
        <f t="shared" si="8"/>
        <v>2641.400507614213</v>
      </c>
      <c r="V37" s="273">
        <f t="shared" si="9"/>
        <v>11141.400507614213</v>
      </c>
      <c r="W37" s="273">
        <f t="shared" si="10"/>
        <v>3327.9508009756737</v>
      </c>
      <c r="X37" s="273">
        <f t="shared" si="11"/>
        <v>14469.351308589887</v>
      </c>
      <c r="Y37" s="273">
        <f t="shared" si="6"/>
        <v>67297.361460874148</v>
      </c>
      <c r="AA37" s="278">
        <f t="shared" si="7"/>
        <v>4.5319164431791577E-2</v>
      </c>
    </row>
    <row r="38" spans="1:27" ht="15.75" customHeight="1" x14ac:dyDescent="0.25">
      <c r="A38" s="240"/>
      <c r="B38" s="103" t="s">
        <v>85</v>
      </c>
      <c r="C38" s="202">
        <f t="shared" si="0"/>
        <v>19.200000000000003</v>
      </c>
      <c r="D38" s="204" t="e">
        <f>ABS('Preço SFCR-GROWATT BYD 400Wp'!$G$43-C38)</f>
        <v>#DIV/0!</v>
      </c>
      <c r="E38" s="105">
        <f>+'FRONIUS-BYD 335Wp'!E40</f>
        <v>48</v>
      </c>
      <c r="F38" s="112">
        <f>+IF(K38=0,"",ROUND(M38/(1-'Tabela de BDI'!$C$3),0))</f>
        <v>72653</v>
      </c>
      <c r="G38" s="209" t="s">
        <v>203</v>
      </c>
      <c r="H38" s="106"/>
      <c r="I38" s="157">
        <f>+I25*2</f>
        <v>53641.14</v>
      </c>
      <c r="J38" s="150">
        <f t="shared" si="5"/>
        <v>54458.010152284267</v>
      </c>
      <c r="K38" s="106">
        <f t="shared" si="1"/>
        <v>54458.010152284267</v>
      </c>
      <c r="L38" s="106">
        <f>+'FRONIUS-BYD 335Wp'!L40</f>
        <v>8750</v>
      </c>
      <c r="M38" s="106">
        <f t="shared" si="2"/>
        <v>63208.010152284267</v>
      </c>
      <c r="N38" s="106">
        <f>+IF(F38="","",F38*'Tabela de BDI'!$C$7)</f>
        <v>5812.24</v>
      </c>
      <c r="O38" s="106">
        <f>IF(F38="","",F38*'Tabela de BDI'!$C$8)</f>
        <v>3632.65</v>
      </c>
      <c r="P38" s="109">
        <f t="shared" si="3"/>
        <v>0.33411044209724095</v>
      </c>
      <c r="Q38" s="110">
        <f t="shared" si="4"/>
        <v>3.7840104166666659</v>
      </c>
      <c r="R38" s="111">
        <f>+'Tabela de BDI'!$F$9*C38</f>
        <v>2304.0000000000005</v>
      </c>
      <c r="S38" s="114"/>
      <c r="U38" s="273">
        <f t="shared" si="8"/>
        <v>2722.9005076142134</v>
      </c>
      <c r="V38" s="273">
        <f t="shared" si="9"/>
        <v>11472.900507614213</v>
      </c>
      <c r="W38" s="273">
        <f t="shared" si="10"/>
        <v>3426.9702814951543</v>
      </c>
      <c r="X38" s="273">
        <f t="shared" si="11"/>
        <v>14899.870789109367</v>
      </c>
      <c r="Y38" s="273">
        <f t="shared" si="6"/>
        <v>69357.88094139364</v>
      </c>
      <c r="AA38" s="278">
        <f t="shared" si="7"/>
        <v>4.5354205037732236E-2</v>
      </c>
    </row>
    <row r="39" spans="1:27" ht="15.75" customHeight="1" x14ac:dyDescent="0.25">
      <c r="A39" s="240"/>
      <c r="B39" s="103" t="s">
        <v>85</v>
      </c>
      <c r="C39" s="202">
        <f t="shared" si="0"/>
        <v>20</v>
      </c>
      <c r="D39" s="204" t="e">
        <f>ABS('Preço SFCR-GROWATT BYD 400Wp'!$G$43-C39)</f>
        <v>#DIV/0!</v>
      </c>
      <c r="E39" s="105">
        <f>+'FRONIUS-BYD 335Wp'!E41</f>
        <v>50</v>
      </c>
      <c r="F39" s="112" t="str">
        <f>+IF(K39=0,"",ROUND(M39/(1-'Tabela de BDI'!$C$3),0))</f>
        <v/>
      </c>
      <c r="G39" s="211" t="s">
        <v>203</v>
      </c>
      <c r="H39" s="106"/>
      <c r="I39" s="157">
        <f>+I26*2</f>
        <v>0</v>
      </c>
      <c r="J39" s="150">
        <f t="shared" si="5"/>
        <v>0</v>
      </c>
      <c r="K39" s="106">
        <f t="shared" si="1"/>
        <v>0</v>
      </c>
      <c r="L39" s="106">
        <f>+'FRONIUS-BYD 335Wp'!L41</f>
        <v>9000</v>
      </c>
      <c r="M39" s="106">
        <f t="shared" si="2"/>
        <v>9000</v>
      </c>
      <c r="N39" s="106" t="str">
        <f>+IF(F39="","",F39*'Tabela de BDI'!$C$7)</f>
        <v/>
      </c>
      <c r="O39" s="106" t="str">
        <f>IF(F39="","",F39*'Tabela de BDI'!$C$8)</f>
        <v/>
      </c>
      <c r="P39" s="109" t="str">
        <f t="shared" si="3"/>
        <v/>
      </c>
      <c r="Q39" s="110" t="str">
        <f t="shared" si="4"/>
        <v/>
      </c>
      <c r="R39" s="111">
        <f>+'Tabela de BDI'!$F$9*C39</f>
        <v>2400</v>
      </c>
      <c r="S39" s="114"/>
      <c r="U39" s="273">
        <f t="shared" si="8"/>
        <v>0</v>
      </c>
      <c r="V39" s="273">
        <f t="shared" si="9"/>
        <v>9000</v>
      </c>
      <c r="W39" s="273">
        <f t="shared" si="10"/>
        <v>2688.3116883116872</v>
      </c>
      <c r="X39" s="273">
        <f t="shared" si="11"/>
        <v>11688.311688311687</v>
      </c>
      <c r="Y39" s="273" t="str">
        <f t="shared" si="6"/>
        <v/>
      </c>
      <c r="AA39" s="278" t="str">
        <f t="shared" si="7"/>
        <v/>
      </c>
    </row>
    <row r="40" spans="1:27" ht="15.75" customHeight="1" x14ac:dyDescent="0.25">
      <c r="A40" s="240"/>
      <c r="B40" s="103" t="s">
        <v>85</v>
      </c>
      <c r="C40" s="202">
        <f t="shared" si="0"/>
        <v>20.8</v>
      </c>
      <c r="D40" s="204" t="e">
        <f>ABS('Preço SFCR-GROWATT BYD 400Wp'!$G$43-C40)</f>
        <v>#DIV/0!</v>
      </c>
      <c r="E40" s="105">
        <f>+'FRONIUS-BYD 335Wp'!E42</f>
        <v>52</v>
      </c>
      <c r="F40" s="112">
        <f>+IF(K40=0,"",ROUND(M40/(1-'Tabela de BDI'!$C$3),0))</f>
        <v>80916</v>
      </c>
      <c r="G40" s="211" t="s">
        <v>229</v>
      </c>
      <c r="H40" s="106"/>
      <c r="I40" s="157">
        <f>+I25+2*I17</f>
        <v>60229.81</v>
      </c>
      <c r="J40" s="150">
        <f t="shared" si="5"/>
        <v>61147.015228426397</v>
      </c>
      <c r="K40" s="106">
        <f t="shared" si="1"/>
        <v>61147.015228426397</v>
      </c>
      <c r="L40" s="106">
        <f>+'FRONIUS-BYD 335Wp'!L42</f>
        <v>9250</v>
      </c>
      <c r="M40" s="106">
        <f t="shared" si="2"/>
        <v>70397.015228426404</v>
      </c>
      <c r="N40" s="106">
        <f>+IF(F40="","",F40*'Tabela de BDI'!$C$7)</f>
        <v>6473.28</v>
      </c>
      <c r="O40" s="106">
        <f>IF(F40="","",F40*'Tabela de BDI'!$C$8)</f>
        <v>4045.8</v>
      </c>
      <c r="P40" s="109">
        <f t="shared" si="3"/>
        <v>0.32330253075677973</v>
      </c>
      <c r="Q40" s="110">
        <f t="shared" si="4"/>
        <v>3.8901923076923075</v>
      </c>
      <c r="R40" s="111">
        <f>+'Tabela de BDI'!$F$9*C40</f>
        <v>2496</v>
      </c>
      <c r="S40" s="114"/>
      <c r="U40" s="273">
        <f t="shared" si="8"/>
        <v>3057.3507614213199</v>
      </c>
      <c r="V40" s="273">
        <f t="shared" si="9"/>
        <v>12307.350761421319</v>
      </c>
      <c r="W40" s="273">
        <f t="shared" si="10"/>
        <v>3676.2216560089655</v>
      </c>
      <c r="X40" s="273">
        <f t="shared" si="11"/>
        <v>15983.572417430285</v>
      </c>
      <c r="Y40" s="273">
        <f t="shared" si="6"/>
        <v>77130.587645856678</v>
      </c>
      <c r="AA40" s="278">
        <f t="shared" si="7"/>
        <v>4.6782000520828045E-2</v>
      </c>
    </row>
    <row r="41" spans="1:27" ht="15.75" customHeight="1" x14ac:dyDescent="0.25">
      <c r="A41" s="240"/>
      <c r="B41" s="103" t="s">
        <v>85</v>
      </c>
      <c r="C41" s="202">
        <f t="shared" si="0"/>
        <v>21.6</v>
      </c>
      <c r="D41" s="204" t="e">
        <f>ABS('Preço SFCR-GROWATT BYD 400Wp'!$G$43-C41)</f>
        <v>#DIV/0!</v>
      </c>
      <c r="E41" s="105">
        <f>+'FRONIUS-BYD 335Wp'!E43</f>
        <v>54</v>
      </c>
      <c r="F41" s="112">
        <f>+IF(K41=0,"",ROUND(M41/(1-'Tabela de BDI'!$C$3),0))</f>
        <v>83089</v>
      </c>
      <c r="G41" s="211" t="s">
        <v>229</v>
      </c>
      <c r="H41" s="106"/>
      <c r="I41" s="157">
        <f>+I25+2*I18</f>
        <v>61845.21</v>
      </c>
      <c r="J41" s="150">
        <f t="shared" si="5"/>
        <v>62787.015228426397</v>
      </c>
      <c r="K41" s="106">
        <f t="shared" si="1"/>
        <v>62787.015228426397</v>
      </c>
      <c r="L41" s="106">
        <f>+'FRONIUS-BYD 335Wp'!L43</f>
        <v>9500</v>
      </c>
      <c r="M41" s="106">
        <f t="shared" si="2"/>
        <v>72287.015228426404</v>
      </c>
      <c r="N41" s="106">
        <f>+IF(F41="","",F41*'Tabela de BDI'!$C$7)</f>
        <v>6647.12</v>
      </c>
      <c r="O41" s="106">
        <f>IF(F41="","",F41*'Tabela de BDI'!$C$8)</f>
        <v>4154.45</v>
      </c>
      <c r="P41" s="109">
        <f t="shared" si="3"/>
        <v>0.32334686873890472</v>
      </c>
      <c r="Q41" s="110">
        <f t="shared" si="4"/>
        <v>3.8467129629629624</v>
      </c>
      <c r="R41" s="111">
        <f>+'Tabela de BDI'!$F$9*C41</f>
        <v>2592</v>
      </c>
      <c r="S41" s="114"/>
      <c r="U41" s="273">
        <f t="shared" si="8"/>
        <v>3139.3507614213199</v>
      </c>
      <c r="V41" s="273">
        <f t="shared" si="9"/>
        <v>12639.350761421319</v>
      </c>
      <c r="W41" s="273">
        <f t="shared" si="10"/>
        <v>3775.3904871777959</v>
      </c>
      <c r="X41" s="273">
        <f t="shared" si="11"/>
        <v>16414.741248599115</v>
      </c>
      <c r="Y41" s="273">
        <f t="shared" si="6"/>
        <v>79201.756477025512</v>
      </c>
      <c r="AA41" s="278">
        <f t="shared" si="7"/>
        <v>4.6784093237064929E-2</v>
      </c>
    </row>
    <row r="42" spans="1:27" ht="15.75" customHeight="1" x14ac:dyDescent="0.25">
      <c r="A42" s="240"/>
      <c r="B42" s="103" t="s">
        <v>85</v>
      </c>
      <c r="C42" s="202">
        <f t="shared" si="0"/>
        <v>22.400000000000002</v>
      </c>
      <c r="D42" s="204" t="e">
        <f>ABS('Preço SFCR-GROWATT BYD 400Wp'!$G$43-C42)</f>
        <v>#DIV/0!</v>
      </c>
      <c r="E42" s="105">
        <f>+'FRONIUS-BYD 335Wp'!E44</f>
        <v>56</v>
      </c>
      <c r="F42" s="112">
        <f>+IF(K42=0,"",ROUND(M42/(1-'Tabela de BDI'!$C$3),0))</f>
        <v>85801</v>
      </c>
      <c r="G42" s="211" t="s">
        <v>229</v>
      </c>
      <c r="H42" s="106"/>
      <c r="I42" s="206">
        <f>+I22+2*I20</f>
        <v>63923.56</v>
      </c>
      <c r="J42" s="150">
        <f t="shared" si="5"/>
        <v>64897.015228426397</v>
      </c>
      <c r="K42" s="106">
        <f t="shared" si="1"/>
        <v>64897.015228426397</v>
      </c>
      <c r="L42" s="106">
        <f>+'FRONIUS-BYD 335Wp'!L44</f>
        <v>9750</v>
      </c>
      <c r="M42" s="106">
        <f t="shared" si="2"/>
        <v>74647.015228426404</v>
      </c>
      <c r="N42" s="106">
        <f>+IF(F42="","",F42*'Tabela de BDI'!$C$7)</f>
        <v>6864.08</v>
      </c>
      <c r="O42" s="106">
        <f>IF(F42="","",F42*'Tabela de BDI'!$C$8)</f>
        <v>4290.05</v>
      </c>
      <c r="P42" s="109">
        <f t="shared" si="3"/>
        <v>0.32211011088869268</v>
      </c>
      <c r="Q42" s="110">
        <f t="shared" si="4"/>
        <v>3.8304017857142854</v>
      </c>
      <c r="R42" s="111">
        <f>+'Tabela de BDI'!$F$9*C42</f>
        <v>2688.0000000000005</v>
      </c>
      <c r="S42" s="114"/>
      <c r="U42" s="273">
        <f t="shared" si="8"/>
        <v>3244.8507614213199</v>
      </c>
      <c r="V42" s="273">
        <f t="shared" si="9"/>
        <v>12994.850761421319</v>
      </c>
      <c r="W42" s="273">
        <f t="shared" si="10"/>
        <v>3881.5787988661068</v>
      </c>
      <c r="X42" s="273">
        <f t="shared" si="11"/>
        <v>16876.429560287426</v>
      </c>
      <c r="Y42" s="273">
        <f t="shared" si="6"/>
        <v>81773.444788713823</v>
      </c>
      <c r="AA42" s="278">
        <f t="shared" si="7"/>
        <v>4.694065583485247E-2</v>
      </c>
    </row>
    <row r="43" spans="1:27" ht="15.75" customHeight="1" x14ac:dyDescent="0.25">
      <c r="A43" s="240"/>
      <c r="B43" s="103" t="s">
        <v>85</v>
      </c>
      <c r="C43" s="202">
        <f t="shared" si="0"/>
        <v>23.200000000000003</v>
      </c>
      <c r="D43" s="204" t="e">
        <f>ABS('Preço SFCR-GROWATT BYD 400Wp'!$G$43-C43)</f>
        <v>#DIV/0!</v>
      </c>
      <c r="E43" s="105">
        <f>+'FRONIUS-BYD 335Wp'!E45</f>
        <v>58</v>
      </c>
      <c r="F43" s="112">
        <f>+IF(K43=0,"",ROUND(M43/(1-'Tabela de BDI'!$C$3),0))</f>
        <v>88341</v>
      </c>
      <c r="G43" s="209" t="s">
        <v>206</v>
      </c>
      <c r="H43" s="106"/>
      <c r="I43" s="206">
        <f>+I23+2*I20</f>
        <v>65854.16</v>
      </c>
      <c r="J43" s="150">
        <f t="shared" si="5"/>
        <v>66857.015228426404</v>
      </c>
      <c r="K43" s="106">
        <f t="shared" si="1"/>
        <v>66857.015228426404</v>
      </c>
      <c r="L43" s="106">
        <f>+'FRONIUS-BYD 335Wp'!L45</f>
        <v>10000</v>
      </c>
      <c r="M43" s="106">
        <f t="shared" si="2"/>
        <v>76857.015228426404</v>
      </c>
      <c r="N43" s="106">
        <f>+IF(F43="","",F43*'Tabela de BDI'!$C$7)</f>
        <v>7067.28</v>
      </c>
      <c r="O43" s="106">
        <f>IF(F43="","",F43*'Tabela de BDI'!$C$8)</f>
        <v>4417.05</v>
      </c>
      <c r="P43" s="109">
        <f t="shared" si="3"/>
        <v>0.32134226600111504</v>
      </c>
      <c r="Q43" s="110">
        <f t="shared" si="4"/>
        <v>3.8078017241379305</v>
      </c>
      <c r="R43" s="111">
        <f>+'Tabela de BDI'!$F$9*C43</f>
        <v>2784.0000000000005</v>
      </c>
      <c r="S43" s="114"/>
      <c r="U43" s="273">
        <f t="shared" si="8"/>
        <v>3342.8507614213204</v>
      </c>
      <c r="V43" s="273">
        <f t="shared" si="9"/>
        <v>13342.850761421319</v>
      </c>
      <c r="W43" s="273">
        <f t="shared" si="10"/>
        <v>3985.5268508141598</v>
      </c>
      <c r="X43" s="273">
        <f t="shared" si="11"/>
        <v>17328.377612235479</v>
      </c>
      <c r="Y43" s="273">
        <f t="shared" si="6"/>
        <v>84185.39284066188</v>
      </c>
      <c r="AA43" s="278">
        <f t="shared" si="7"/>
        <v>4.7040526588312565E-2</v>
      </c>
    </row>
    <row r="44" spans="1:27" ht="15.75" customHeight="1" x14ac:dyDescent="0.25">
      <c r="A44" s="240"/>
      <c r="B44" s="103" t="s">
        <v>85</v>
      </c>
      <c r="C44" s="202">
        <f t="shared" si="0"/>
        <v>24</v>
      </c>
      <c r="D44" s="204" t="e">
        <f>ABS('Preço SFCR-GROWATT BYD 400Wp'!$G$43-C44)</f>
        <v>#DIV/0!</v>
      </c>
      <c r="E44" s="105">
        <f>+'FRONIUS-BYD 335Wp'!E46</f>
        <v>60</v>
      </c>
      <c r="F44" s="112">
        <f>+IF(K44=0,"",ROUND(M44/(1-'Tabela de BDI'!$C$3),0))</f>
        <v>90502</v>
      </c>
      <c r="G44" s="209" t="s">
        <v>206</v>
      </c>
      <c r="H44" s="106"/>
      <c r="I44" s="206">
        <f>+I25+2*I20</f>
        <v>67459.709999999992</v>
      </c>
      <c r="J44" s="150">
        <f t="shared" si="5"/>
        <v>68487.01522842639</v>
      </c>
      <c r="K44" s="106">
        <f t="shared" si="1"/>
        <v>68487.01522842639</v>
      </c>
      <c r="L44" s="106">
        <f>+'FRONIUS-BYD 335Wp'!L46</f>
        <v>10250</v>
      </c>
      <c r="M44" s="106">
        <f t="shared" si="2"/>
        <v>78737.01522842639</v>
      </c>
      <c r="N44" s="106">
        <f>+IF(F44="","",F44*'Tabela de BDI'!$C$7)</f>
        <v>7240.16</v>
      </c>
      <c r="O44" s="106">
        <f>IF(F44="","",F44*'Tabela de BDI'!$C$8)</f>
        <v>4525.1000000000004</v>
      </c>
      <c r="P44" s="109">
        <f t="shared" si="3"/>
        <v>0.3214475721879031</v>
      </c>
      <c r="Q44" s="110">
        <f t="shared" si="4"/>
        <v>3.7709166666666665</v>
      </c>
      <c r="R44" s="111">
        <f>+'Tabela de BDI'!$F$9*C44</f>
        <v>2880</v>
      </c>
      <c r="S44" s="114"/>
      <c r="U44" s="273">
        <f t="shared" si="8"/>
        <v>3424.3507614213195</v>
      </c>
      <c r="V44" s="273">
        <f t="shared" si="9"/>
        <v>13674.350761421319</v>
      </c>
      <c r="W44" s="273">
        <f t="shared" si="10"/>
        <v>4084.5463313336404</v>
      </c>
      <c r="X44" s="273">
        <f t="shared" si="11"/>
        <v>17758.89709275496</v>
      </c>
      <c r="Y44" s="273">
        <f t="shared" si="6"/>
        <v>86245.912321181357</v>
      </c>
      <c r="AA44" s="278">
        <f t="shared" si="7"/>
        <v>4.7027553853159522E-2</v>
      </c>
    </row>
    <row r="45" spans="1:27" ht="15.75" customHeight="1" x14ac:dyDescent="0.25">
      <c r="A45" s="240"/>
      <c r="B45" s="103" t="s">
        <v>85</v>
      </c>
      <c r="C45" s="202">
        <f t="shared" si="0"/>
        <v>24.8</v>
      </c>
      <c r="D45" s="204" t="e">
        <f>ABS('Preço SFCR-GROWATT BYD 400Wp'!$G$43-C45)</f>
        <v>#DIV/0!</v>
      </c>
      <c r="E45" s="105">
        <f>+'FRONIUS-BYD 335Wp'!E47</f>
        <v>62</v>
      </c>
      <c r="F45" s="112">
        <f>+IF(K45=0,"",ROUND(M45/(1-'Tabela de BDI'!$C$3),0))</f>
        <v>94157</v>
      </c>
      <c r="G45" s="209" t="s">
        <v>230</v>
      </c>
      <c r="H45" s="106"/>
      <c r="I45" s="206">
        <f>2*I25+I17</f>
        <v>70345.759999999995</v>
      </c>
      <c r="J45" s="150">
        <f t="shared" si="5"/>
        <v>71417.01522842639</v>
      </c>
      <c r="K45" s="106">
        <f t="shared" si="1"/>
        <v>71417.01522842639</v>
      </c>
      <c r="L45" s="106">
        <f>+'FRONIUS-BYD 335Wp'!L47</f>
        <v>10500</v>
      </c>
      <c r="M45" s="106">
        <f t="shared" si="2"/>
        <v>81917.01522842639</v>
      </c>
      <c r="N45" s="106">
        <f>+IF(F45="","",F45*'Tabela de BDI'!$C$7)</f>
        <v>7532.56</v>
      </c>
      <c r="O45" s="106">
        <f>IF(F45="","",F45*'Tabela de BDI'!$C$8)</f>
        <v>4707.8500000000004</v>
      </c>
      <c r="P45" s="109">
        <f t="shared" si="3"/>
        <v>0.31841130154823843</v>
      </c>
      <c r="Q45" s="110">
        <f t="shared" si="4"/>
        <v>3.7966532258064518</v>
      </c>
      <c r="R45" s="111">
        <f>+'Tabela de BDI'!$F$9*C45</f>
        <v>2976</v>
      </c>
      <c r="S45" s="114"/>
      <c r="U45" s="273">
        <f t="shared" si="8"/>
        <v>3570.8507614213195</v>
      </c>
      <c r="V45" s="273">
        <f t="shared" si="9"/>
        <v>14070.850761421319</v>
      </c>
      <c r="W45" s="273">
        <f t="shared" si="10"/>
        <v>4202.981396268704</v>
      </c>
      <c r="X45" s="273">
        <f t="shared" si="11"/>
        <v>18273.832157690023</v>
      </c>
      <c r="Y45" s="273">
        <f t="shared" si="6"/>
        <v>89690.847386116409</v>
      </c>
      <c r="AA45" s="278">
        <f t="shared" si="7"/>
        <v>4.7433038583255524E-2</v>
      </c>
    </row>
    <row r="46" spans="1:27" ht="15.75" customHeight="1" x14ac:dyDescent="0.25">
      <c r="A46" s="240"/>
      <c r="B46" s="103" t="s">
        <v>85</v>
      </c>
      <c r="C46" s="202">
        <f t="shared" si="0"/>
        <v>25.6</v>
      </c>
      <c r="D46" s="204" t="e">
        <f>ABS('Preço SFCR-GROWATT BYD 400Wp'!$G$43-C46)</f>
        <v>#DIV/0!</v>
      </c>
      <c r="E46" s="105">
        <f>+'FRONIUS-BYD 335Wp'!E48</f>
        <v>64</v>
      </c>
      <c r="F46" s="112">
        <f>+IF(K46=0,"",ROUND(M46/(1-'Tabela de BDI'!$C$3),0))</f>
        <v>96318</v>
      </c>
      <c r="G46" s="209" t="s">
        <v>230</v>
      </c>
      <c r="H46" s="106"/>
      <c r="I46" s="157">
        <f>2*I25+I19</f>
        <v>71951.31</v>
      </c>
      <c r="J46" s="150">
        <f t="shared" si="5"/>
        <v>73047.01522842639</v>
      </c>
      <c r="K46" s="106">
        <f t="shared" si="1"/>
        <v>73047.01522842639</v>
      </c>
      <c r="L46" s="106">
        <f>+'FRONIUS-BYD 335Wp'!L48</f>
        <v>10750</v>
      </c>
      <c r="M46" s="106">
        <f t="shared" si="2"/>
        <v>83797.01522842639</v>
      </c>
      <c r="N46" s="106">
        <f>+IF(F46="","",F46*'Tabela de BDI'!$C$7)</f>
        <v>7705.4400000000005</v>
      </c>
      <c r="O46" s="106">
        <f>IF(F46="","",F46*'Tabela de BDI'!$C$8)</f>
        <v>4815.9000000000005</v>
      </c>
      <c r="P46" s="109">
        <f t="shared" si="3"/>
        <v>0.31857543663902727</v>
      </c>
      <c r="Q46" s="110">
        <f t="shared" si="4"/>
        <v>3.7624218749999998</v>
      </c>
      <c r="R46" s="111">
        <f>+'Tabela de BDI'!$F$9*C46</f>
        <v>3072</v>
      </c>
      <c r="S46" s="114"/>
      <c r="U46" s="273">
        <f t="shared" si="8"/>
        <v>3652.3507614213195</v>
      </c>
      <c r="V46" s="273">
        <f t="shared" si="9"/>
        <v>14402.350761421319</v>
      </c>
      <c r="W46" s="273">
        <f t="shared" si="10"/>
        <v>4302.0008767881845</v>
      </c>
      <c r="X46" s="273">
        <f t="shared" si="11"/>
        <v>18704.351638209504</v>
      </c>
      <c r="Y46" s="273">
        <f t="shared" si="6"/>
        <v>91751.366866635886</v>
      </c>
      <c r="AA46" s="278">
        <f t="shared" si="7"/>
        <v>4.7412042747608067E-2</v>
      </c>
    </row>
    <row r="47" spans="1:27" ht="15.75" customHeight="1" x14ac:dyDescent="0.25">
      <c r="A47" s="240"/>
      <c r="B47" s="116" t="s">
        <v>89</v>
      </c>
      <c r="C47" s="202">
        <f t="shared" si="0"/>
        <v>26.400000000000002</v>
      </c>
      <c r="D47" s="204" t="e">
        <f>ABS('Preço SFCR-GROWATT BYD 400Wp'!$G$43-C47)</f>
        <v>#DIV/0!</v>
      </c>
      <c r="E47" s="181">
        <v>66</v>
      </c>
      <c r="F47" s="112">
        <f>+IF(K47=0,"",ROUND(M47/(1-'Tabela de BDI'!$C$3),0))</f>
        <v>100100</v>
      </c>
      <c r="G47" s="173" t="s">
        <v>231</v>
      </c>
      <c r="H47" s="106"/>
      <c r="I47" s="206">
        <f>2*I25+I20</f>
        <v>73960.709999999992</v>
      </c>
      <c r="J47" s="150">
        <f t="shared" si="5"/>
        <v>75087.01522842639</v>
      </c>
      <c r="K47" s="106">
        <f t="shared" si="1"/>
        <v>75087.01522842639</v>
      </c>
      <c r="L47" s="168">
        <v>12000</v>
      </c>
      <c r="M47" s="106">
        <f t="shared" si="2"/>
        <v>87087.01522842639</v>
      </c>
      <c r="N47" s="106">
        <f>+IF(F47="","",F47*'Tabela de BDI'!$C$7)</f>
        <v>8008</v>
      </c>
      <c r="O47" s="106">
        <f>IF(F47="","",F47*'Tabela de BDI'!$C$8)</f>
        <v>5005</v>
      </c>
      <c r="P47" s="109">
        <f t="shared" si="3"/>
        <v>0.33311997680930872</v>
      </c>
      <c r="Q47" s="110">
        <f t="shared" si="4"/>
        <v>3.7916666666666665</v>
      </c>
      <c r="R47" s="111">
        <f>+'Tabela de BDI'!$F$9*C47</f>
        <v>3168.0000000000005</v>
      </c>
      <c r="S47" s="114"/>
      <c r="U47" s="273">
        <f t="shared" si="8"/>
        <v>3754.3507614213195</v>
      </c>
      <c r="V47" s="273">
        <f t="shared" si="9"/>
        <v>15754.350761421319</v>
      </c>
      <c r="W47" s="273">
        <f t="shared" si="10"/>
        <v>4705.84503263234</v>
      </c>
      <c r="X47" s="273">
        <f t="shared" si="11"/>
        <v>20460.195794053659</v>
      </c>
      <c r="Y47" s="273">
        <f t="shared" si="6"/>
        <v>95547.211022480042</v>
      </c>
      <c r="AA47" s="278">
        <f t="shared" si="7"/>
        <v>4.5482407367831754E-2</v>
      </c>
    </row>
    <row r="48" spans="1:27" ht="15.75" customHeight="1" x14ac:dyDescent="0.25">
      <c r="A48" s="240"/>
      <c r="B48" s="116" t="s">
        <v>89</v>
      </c>
      <c r="C48" s="202">
        <f t="shared" si="0"/>
        <v>27.200000000000003</v>
      </c>
      <c r="D48" s="204" t="e">
        <f>ABS('Preço SFCR-GROWATT BYD 400Wp'!$G$43-C48)</f>
        <v>#DIV/0!</v>
      </c>
      <c r="E48" s="181">
        <v>68</v>
      </c>
      <c r="F48" s="112">
        <f>+IF(K48=0,"",ROUND(M48/(1-'Tabela de BDI'!$C$3),0))</f>
        <v>103847</v>
      </c>
      <c r="G48" s="156" t="s">
        <v>202</v>
      </c>
      <c r="H48" s="106"/>
      <c r="I48" s="157">
        <f>2*I25+I22</f>
        <v>76925.56</v>
      </c>
      <c r="J48" s="150">
        <f t="shared" si="5"/>
        <v>78097.01522842639</v>
      </c>
      <c r="K48" s="106">
        <f t="shared" si="1"/>
        <v>78097.01522842639</v>
      </c>
      <c r="L48" s="151">
        <f>+((L47+(E48-E47)*125))</f>
        <v>12250</v>
      </c>
      <c r="M48" s="106">
        <f t="shared" si="2"/>
        <v>90347.01522842639</v>
      </c>
      <c r="N48" s="106">
        <f>+IF(F48="","",F48*'Tabela de BDI'!$C$7)</f>
        <v>8307.76</v>
      </c>
      <c r="O48" s="106">
        <f>IF(F48="","",F48*'Tabela de BDI'!$C$8)</f>
        <v>5192.3500000000004</v>
      </c>
      <c r="P48" s="109">
        <f t="shared" si="3"/>
        <v>0.32971791170581022</v>
      </c>
      <c r="Q48" s="110">
        <f t="shared" si="4"/>
        <v>3.8179044117647054</v>
      </c>
      <c r="R48" s="111">
        <f>+'Tabela de BDI'!$F$9*C48</f>
        <v>3264.0000000000005</v>
      </c>
      <c r="S48" s="114"/>
      <c r="U48" s="273">
        <f t="shared" si="8"/>
        <v>3904.8507614213195</v>
      </c>
      <c r="V48" s="273">
        <f t="shared" si="9"/>
        <v>16154.850761421319</v>
      </c>
      <c r="W48" s="273">
        <f t="shared" si="10"/>
        <v>4825.4749027622129</v>
      </c>
      <c r="X48" s="273">
        <f t="shared" si="11"/>
        <v>20980.325664183532</v>
      </c>
      <c r="Y48" s="273">
        <f t="shared" si="6"/>
        <v>99077.340892609922</v>
      </c>
      <c r="AA48" s="278">
        <f t="shared" si="7"/>
        <v>4.5929676421948423E-2</v>
      </c>
    </row>
    <row r="49" spans="1:27" ht="15.75" customHeight="1" x14ac:dyDescent="0.25">
      <c r="A49" s="240"/>
      <c r="B49" s="116" t="s">
        <v>89</v>
      </c>
      <c r="C49" s="202">
        <f t="shared" si="0"/>
        <v>28.8</v>
      </c>
      <c r="D49" s="204" t="e">
        <f>ABS('Preço SFCR-GROWATT BYD 400Wp'!$G$43-C49)</f>
        <v>#DIV/0!</v>
      </c>
      <c r="E49" s="181">
        <v>72</v>
      </c>
      <c r="F49" s="112">
        <f>+IF(K49=0,"",ROUND(M49/(1-'Tabela de BDI'!$C$3),0))</f>
        <v>108548</v>
      </c>
      <c r="G49" s="156" t="s">
        <v>202</v>
      </c>
      <c r="H49" s="106"/>
      <c r="I49" s="157">
        <f>3*I25</f>
        <v>80461.709999999992</v>
      </c>
      <c r="J49" s="150">
        <f t="shared" si="5"/>
        <v>81687.01522842639</v>
      </c>
      <c r="K49" s="106">
        <f t="shared" si="1"/>
        <v>81687.01522842639</v>
      </c>
      <c r="L49" s="151">
        <f t="shared" ref="L49:L63" si="18">+((L48+(E49-E48)*125))</f>
        <v>12750</v>
      </c>
      <c r="M49" s="106">
        <f t="shared" si="2"/>
        <v>94437.01522842639</v>
      </c>
      <c r="N49" s="106">
        <f>+IF(F49="","",F49*'Tabela de BDI'!$C$7)</f>
        <v>8683.84</v>
      </c>
      <c r="O49" s="106">
        <f>IF(F49="","",F49*'Tabela de BDI'!$C$8)</f>
        <v>5427.4000000000005</v>
      </c>
      <c r="P49" s="109">
        <f t="shared" si="3"/>
        <v>0.32882808481201814</v>
      </c>
      <c r="Q49" s="110">
        <f t="shared" si="4"/>
        <v>3.7690277777777776</v>
      </c>
      <c r="R49" s="111">
        <f>+'Tabela de BDI'!$F$9*C49</f>
        <v>3456</v>
      </c>
      <c r="S49" s="114"/>
      <c r="U49" s="273">
        <f t="shared" si="8"/>
        <v>4084.3507614213195</v>
      </c>
      <c r="V49" s="273">
        <f t="shared" si="9"/>
        <v>16834.350761421319</v>
      </c>
      <c r="W49" s="273">
        <f t="shared" si="10"/>
        <v>5028.4424352297428</v>
      </c>
      <c r="X49" s="273">
        <f t="shared" si="11"/>
        <v>21862.793196651062</v>
      </c>
      <c r="Y49" s="273">
        <f t="shared" si="6"/>
        <v>103549.80842507746</v>
      </c>
      <c r="AA49" s="278">
        <f t="shared" si="7"/>
        <v>4.6045911255136386E-2</v>
      </c>
    </row>
    <row r="50" spans="1:27" ht="15.75" customHeight="1" x14ac:dyDescent="0.25">
      <c r="A50" s="240"/>
      <c r="B50" s="116" t="s">
        <v>89</v>
      </c>
      <c r="C50" s="202">
        <f t="shared" si="0"/>
        <v>30</v>
      </c>
      <c r="D50" s="204" t="e">
        <f>ABS('Preço SFCR-GROWATT BYD 400Wp'!$G$43-C50)</f>
        <v>#DIV/0!</v>
      </c>
      <c r="E50" s="181">
        <v>75</v>
      </c>
      <c r="F50" s="112" t="str">
        <f>+IF(K50=0,"",ROUND(M50/(1-'Tabela de BDI'!$C$3),0))</f>
        <v/>
      </c>
      <c r="G50" s="156" t="s">
        <v>202</v>
      </c>
      <c r="H50" s="106"/>
      <c r="I50" s="157">
        <f>3*I26</f>
        <v>0</v>
      </c>
      <c r="J50" s="150">
        <f t="shared" si="5"/>
        <v>0</v>
      </c>
      <c r="K50" s="106">
        <f t="shared" si="1"/>
        <v>0</v>
      </c>
      <c r="L50" s="151">
        <f t="shared" si="18"/>
        <v>13125</v>
      </c>
      <c r="M50" s="106">
        <f t="shared" si="2"/>
        <v>13125</v>
      </c>
      <c r="N50" s="106" t="str">
        <f>+IF(F50="","",F50*'Tabela de BDI'!$C$7)</f>
        <v/>
      </c>
      <c r="O50" s="106" t="str">
        <f>IF(F50="","",F50*'Tabela de BDI'!$C$8)</f>
        <v/>
      </c>
      <c r="P50" s="109" t="str">
        <f t="shared" si="3"/>
        <v/>
      </c>
      <c r="Q50" s="110" t="str">
        <f t="shared" si="4"/>
        <v/>
      </c>
      <c r="R50" s="111">
        <f>+'Tabela de BDI'!$F$9*C50</f>
        <v>3600</v>
      </c>
      <c r="S50" s="114"/>
      <c r="U50" s="273">
        <f t="shared" si="8"/>
        <v>0</v>
      </c>
      <c r="V50" s="273">
        <f t="shared" si="9"/>
        <v>13125</v>
      </c>
      <c r="W50" s="273">
        <f t="shared" si="10"/>
        <v>3920.4545454545441</v>
      </c>
      <c r="X50" s="273">
        <f t="shared" si="11"/>
        <v>17045.454545454544</v>
      </c>
      <c r="Y50" s="273" t="str">
        <f t="shared" si="6"/>
        <v/>
      </c>
      <c r="AA50" s="278" t="str">
        <f t="shared" si="7"/>
        <v/>
      </c>
    </row>
    <row r="51" spans="1:27" ht="15.75" customHeight="1" x14ac:dyDescent="0.25">
      <c r="A51" s="240"/>
      <c r="B51" s="116" t="s">
        <v>89</v>
      </c>
      <c r="C51" s="202">
        <f t="shared" si="0"/>
        <v>31.200000000000003</v>
      </c>
      <c r="D51" s="204" t="e">
        <f>ABS('Preço SFCR-GROWATT BYD 400Wp'!$G$43-C51)</f>
        <v>#DIV/0!</v>
      </c>
      <c r="E51" s="181">
        <v>78</v>
      </c>
      <c r="F51" s="112" t="str">
        <f>+IF(K51=0,"",ROUND(M51/(1-'Tabela de BDI'!$C$3),0))</f>
        <v/>
      </c>
      <c r="G51" s="156"/>
      <c r="H51" s="106"/>
      <c r="I51" s="206"/>
      <c r="J51" s="150">
        <f t="shared" si="5"/>
        <v>0</v>
      </c>
      <c r="K51" s="106">
        <f t="shared" si="1"/>
        <v>0</v>
      </c>
      <c r="L51" s="151">
        <f t="shared" si="18"/>
        <v>13500</v>
      </c>
      <c r="M51" s="106">
        <f t="shared" si="2"/>
        <v>13500</v>
      </c>
      <c r="N51" s="106" t="str">
        <f>+IF(F51="","",F51*'Tabela de BDI'!$C$7)</f>
        <v/>
      </c>
      <c r="O51" s="106" t="str">
        <f>IF(F51="","",F51*'Tabela de BDI'!$C$8)</f>
        <v/>
      </c>
      <c r="P51" s="109" t="str">
        <f t="shared" si="3"/>
        <v/>
      </c>
      <c r="Q51" s="110" t="str">
        <f t="shared" si="4"/>
        <v/>
      </c>
      <c r="R51" s="111">
        <f>+'Tabela de BDI'!$F$9*C51</f>
        <v>3744.0000000000005</v>
      </c>
      <c r="S51" s="114"/>
      <c r="U51" s="273">
        <f t="shared" si="8"/>
        <v>0</v>
      </c>
      <c r="V51" s="273">
        <f t="shared" si="9"/>
        <v>13500</v>
      </c>
      <c r="W51" s="273">
        <f t="shared" si="10"/>
        <v>4032.4675324675336</v>
      </c>
      <c r="X51" s="273">
        <f t="shared" si="11"/>
        <v>17532.467532467534</v>
      </c>
      <c r="Y51" s="273" t="str">
        <f t="shared" si="6"/>
        <v/>
      </c>
      <c r="AA51" s="278" t="str">
        <f t="shared" si="7"/>
        <v/>
      </c>
    </row>
    <row r="52" spans="1:27" ht="15.75" customHeight="1" x14ac:dyDescent="0.25">
      <c r="A52" s="240"/>
      <c r="B52" s="116" t="s">
        <v>89</v>
      </c>
      <c r="C52" s="202">
        <f t="shared" si="0"/>
        <v>32</v>
      </c>
      <c r="D52" s="204" t="e">
        <f>ABS('Preço SFCR-GROWATT BYD 400Wp'!$G$43-C52)</f>
        <v>#DIV/0!</v>
      </c>
      <c r="E52" s="181">
        <v>80</v>
      </c>
      <c r="F52" s="112" t="str">
        <f>+IF(K52=0,"",ROUND(M52/(1-'Tabela de BDI'!$C$3),0))</f>
        <v/>
      </c>
      <c r="G52" s="107"/>
      <c r="H52" s="106"/>
      <c r="I52" s="143"/>
      <c r="J52" s="121"/>
      <c r="K52" s="106">
        <f t="shared" si="1"/>
        <v>0</v>
      </c>
      <c r="L52" s="151">
        <f t="shared" si="18"/>
        <v>13750</v>
      </c>
      <c r="M52" s="106">
        <f t="shared" si="2"/>
        <v>13750</v>
      </c>
      <c r="N52" s="106" t="str">
        <f>+IF(F52="","",F52*'Tabela de BDI'!$C$7)</f>
        <v/>
      </c>
      <c r="O52" s="106" t="str">
        <f>IF(F52="","",F52*'Tabela de BDI'!$C$8)</f>
        <v/>
      </c>
      <c r="P52" s="109" t="str">
        <f t="shared" si="3"/>
        <v/>
      </c>
      <c r="Q52" s="110" t="str">
        <f t="shared" si="4"/>
        <v/>
      </c>
      <c r="R52" s="111">
        <f>+'Tabela de BDI'!$F$9*C52</f>
        <v>3840</v>
      </c>
      <c r="S52" s="114"/>
      <c r="U52" s="273">
        <f t="shared" si="8"/>
        <v>0</v>
      </c>
      <c r="V52" s="273">
        <f t="shared" si="9"/>
        <v>13750</v>
      </c>
      <c r="W52" s="273">
        <f t="shared" si="10"/>
        <v>4107.1428571428551</v>
      </c>
      <c r="X52" s="273">
        <f t="shared" si="11"/>
        <v>17857.142857142855</v>
      </c>
      <c r="Y52" s="273" t="str">
        <f t="shared" si="6"/>
        <v/>
      </c>
      <c r="AA52" s="278" t="str">
        <f t="shared" si="7"/>
        <v/>
      </c>
    </row>
    <row r="53" spans="1:27" ht="15.75" customHeight="1" x14ac:dyDescent="0.25">
      <c r="A53" s="240"/>
      <c r="B53" s="116" t="s">
        <v>89</v>
      </c>
      <c r="C53" s="202">
        <f t="shared" si="0"/>
        <v>33.6</v>
      </c>
      <c r="D53" s="204" t="e">
        <f>ABS('Preço SFCR-GROWATT BYD 400Wp'!$G$43-C53)</f>
        <v>#DIV/0!</v>
      </c>
      <c r="E53" s="181">
        <v>84</v>
      </c>
      <c r="F53" s="112" t="str">
        <f>+IF(K53=0,"",ROUND(M53/(1-'Tabela de BDI'!$C$3),0))</f>
        <v/>
      </c>
      <c r="G53" s="107"/>
      <c r="H53" s="106"/>
      <c r="I53" s="143"/>
      <c r="J53" s="121"/>
      <c r="K53" s="106">
        <f t="shared" si="1"/>
        <v>0</v>
      </c>
      <c r="L53" s="151">
        <f t="shared" si="18"/>
        <v>14250</v>
      </c>
      <c r="M53" s="106">
        <f t="shared" si="2"/>
        <v>14250</v>
      </c>
      <c r="N53" s="106" t="str">
        <f>+IF(F53="","",F53*'Tabela de BDI'!$C$7)</f>
        <v/>
      </c>
      <c r="O53" s="106" t="str">
        <f>IF(F53="","",F53*'Tabela de BDI'!$C$8)</f>
        <v/>
      </c>
      <c r="P53" s="109" t="str">
        <f t="shared" si="3"/>
        <v/>
      </c>
      <c r="Q53" s="110" t="str">
        <f t="shared" si="4"/>
        <v/>
      </c>
      <c r="R53" s="111">
        <f>+'Tabela de BDI'!$F$9*C53</f>
        <v>4032</v>
      </c>
      <c r="S53" s="114"/>
      <c r="U53" s="273">
        <f t="shared" si="8"/>
        <v>0</v>
      </c>
      <c r="V53" s="273">
        <f t="shared" si="9"/>
        <v>14250</v>
      </c>
      <c r="W53" s="273">
        <f t="shared" si="10"/>
        <v>4256.4935064935053</v>
      </c>
      <c r="X53" s="273">
        <f t="shared" si="11"/>
        <v>18506.493506493505</v>
      </c>
      <c r="Y53" s="273" t="str">
        <f t="shared" si="6"/>
        <v/>
      </c>
      <c r="AA53" s="278" t="str">
        <f t="shared" si="7"/>
        <v/>
      </c>
    </row>
    <row r="54" spans="1:27" ht="15.75" customHeight="1" x14ac:dyDescent="0.25">
      <c r="A54" s="240"/>
      <c r="B54" s="116" t="s">
        <v>89</v>
      </c>
      <c r="C54" s="202">
        <f t="shared" si="0"/>
        <v>35.200000000000003</v>
      </c>
      <c r="D54" s="204" t="e">
        <f>ABS('Preço SFCR-GROWATT BYD 400Wp'!$G$43-C54)</f>
        <v>#DIV/0!</v>
      </c>
      <c r="E54" s="181">
        <v>88</v>
      </c>
      <c r="F54" s="112" t="str">
        <f>+IF(K54=0,"",ROUND(M54/(1-'Tabela de BDI'!$C$3),0))</f>
        <v/>
      </c>
      <c r="G54" s="107"/>
      <c r="H54" s="106"/>
      <c r="I54" s="143"/>
      <c r="J54" s="121"/>
      <c r="K54" s="106">
        <f t="shared" si="1"/>
        <v>0</v>
      </c>
      <c r="L54" s="151">
        <f t="shared" si="18"/>
        <v>14750</v>
      </c>
      <c r="M54" s="106">
        <f t="shared" si="2"/>
        <v>14750</v>
      </c>
      <c r="N54" s="106" t="str">
        <f>+IF(F54="","",F54*'Tabela de BDI'!$C$7)</f>
        <v/>
      </c>
      <c r="O54" s="106" t="str">
        <f>IF(F54="","",F54*'Tabela de BDI'!$C$8)</f>
        <v/>
      </c>
      <c r="P54" s="109" t="str">
        <f t="shared" si="3"/>
        <v/>
      </c>
      <c r="Q54" s="110" t="str">
        <f t="shared" si="4"/>
        <v/>
      </c>
      <c r="R54" s="111">
        <f>+'Tabela de BDI'!$F$9*C54</f>
        <v>4224</v>
      </c>
      <c r="S54" s="114"/>
      <c r="U54" s="273">
        <f t="shared" si="8"/>
        <v>0</v>
      </c>
      <c r="V54" s="273">
        <f t="shared" si="9"/>
        <v>14750</v>
      </c>
      <c r="W54" s="273">
        <f t="shared" si="10"/>
        <v>4405.8441558441555</v>
      </c>
      <c r="X54" s="273">
        <f t="shared" si="11"/>
        <v>19155.844155844155</v>
      </c>
      <c r="Y54" s="273" t="str">
        <f t="shared" si="6"/>
        <v/>
      </c>
      <c r="AA54" s="278" t="str">
        <f t="shared" si="7"/>
        <v/>
      </c>
    </row>
    <row r="55" spans="1:27" ht="15.75" customHeight="1" x14ac:dyDescent="0.25">
      <c r="A55" s="240"/>
      <c r="B55" s="116" t="s">
        <v>89</v>
      </c>
      <c r="C55" s="202">
        <f t="shared" si="0"/>
        <v>36</v>
      </c>
      <c r="D55" s="204" t="e">
        <f>ABS('Preço SFCR-GROWATT BYD 400Wp'!$G$43-C55)</f>
        <v>#DIV/0!</v>
      </c>
      <c r="E55" s="181">
        <v>90</v>
      </c>
      <c r="F55" s="112" t="str">
        <f>+IF(K55=0,"",ROUND(M55/(1-'Tabela de BDI'!$C$3),0))</f>
        <v/>
      </c>
      <c r="G55" s="107"/>
      <c r="H55" s="106"/>
      <c r="I55" s="143"/>
      <c r="J55" s="121"/>
      <c r="K55" s="106">
        <f t="shared" si="1"/>
        <v>0</v>
      </c>
      <c r="L55" s="151">
        <f t="shared" si="18"/>
        <v>15000</v>
      </c>
      <c r="M55" s="106">
        <f t="shared" si="2"/>
        <v>15000</v>
      </c>
      <c r="N55" s="106" t="str">
        <f>+IF(F55="","",F55*'Tabela de BDI'!$C$7)</f>
        <v/>
      </c>
      <c r="O55" s="106" t="str">
        <f>IF(F55="","",F55*'Tabela de BDI'!$C$8)</f>
        <v/>
      </c>
      <c r="P55" s="109" t="str">
        <f t="shared" si="3"/>
        <v/>
      </c>
      <c r="Q55" s="110" t="str">
        <f t="shared" si="4"/>
        <v/>
      </c>
      <c r="R55" s="111">
        <f>+'Tabela de BDI'!$F$9*C55</f>
        <v>4320</v>
      </c>
      <c r="S55" s="114"/>
      <c r="U55" s="273">
        <f t="shared" si="8"/>
        <v>0</v>
      </c>
      <c r="V55" s="273">
        <f t="shared" si="9"/>
        <v>15000</v>
      </c>
      <c r="W55" s="273">
        <f t="shared" si="10"/>
        <v>4480.5194805194806</v>
      </c>
      <c r="X55" s="273">
        <f t="shared" si="11"/>
        <v>19480.519480519481</v>
      </c>
      <c r="Y55" s="273" t="str">
        <f t="shared" si="6"/>
        <v/>
      </c>
      <c r="AA55" s="278" t="str">
        <f t="shared" si="7"/>
        <v/>
      </c>
    </row>
    <row r="56" spans="1:27" ht="15.75" customHeight="1" x14ac:dyDescent="0.25">
      <c r="A56" s="240"/>
      <c r="B56" s="116" t="s">
        <v>89</v>
      </c>
      <c r="C56" s="202">
        <f t="shared" si="0"/>
        <v>36.800000000000004</v>
      </c>
      <c r="D56" s="204" t="e">
        <f>ABS('Preço SFCR-GROWATT BYD 400Wp'!$G$43-C56)</f>
        <v>#DIV/0!</v>
      </c>
      <c r="E56" s="181">
        <v>92</v>
      </c>
      <c r="F56" s="112" t="str">
        <f>+IF(K56=0,"",ROUND(M56/(1-'Tabela de BDI'!$C$3),0))</f>
        <v/>
      </c>
      <c r="G56" s="107"/>
      <c r="H56" s="106"/>
      <c r="I56" s="143"/>
      <c r="J56" s="121"/>
      <c r="K56" s="106">
        <f t="shared" si="1"/>
        <v>0</v>
      </c>
      <c r="L56" s="151">
        <f t="shared" si="18"/>
        <v>15250</v>
      </c>
      <c r="M56" s="106">
        <f t="shared" si="2"/>
        <v>15250</v>
      </c>
      <c r="N56" s="106" t="str">
        <f>+IF(F56="","",F56*'Tabela de BDI'!$C$7)</f>
        <v/>
      </c>
      <c r="O56" s="106" t="str">
        <f>IF(F56="","",F56*'Tabela de BDI'!$C$8)</f>
        <v/>
      </c>
      <c r="P56" s="109" t="str">
        <f t="shared" si="3"/>
        <v/>
      </c>
      <c r="Q56" s="110" t="str">
        <f t="shared" si="4"/>
        <v/>
      </c>
      <c r="R56" s="111">
        <f>+'Tabela de BDI'!$F$9*C56</f>
        <v>4416.0000000000009</v>
      </c>
      <c r="S56" s="114"/>
      <c r="U56" s="273">
        <f t="shared" si="8"/>
        <v>0</v>
      </c>
      <c r="V56" s="273">
        <f t="shared" si="9"/>
        <v>15250</v>
      </c>
      <c r="W56" s="273">
        <f t="shared" si="10"/>
        <v>4555.1948051948057</v>
      </c>
      <c r="X56" s="273">
        <f t="shared" si="11"/>
        <v>19805.194805194806</v>
      </c>
      <c r="Y56" s="273" t="str">
        <f t="shared" si="6"/>
        <v/>
      </c>
      <c r="AA56" s="278" t="str">
        <f t="shared" si="7"/>
        <v/>
      </c>
    </row>
    <row r="57" spans="1:27" ht="15.75" customHeight="1" x14ac:dyDescent="0.25">
      <c r="A57" s="240"/>
      <c r="B57" s="116" t="s">
        <v>89</v>
      </c>
      <c r="C57" s="202">
        <f t="shared" si="0"/>
        <v>38</v>
      </c>
      <c r="D57" s="204" t="e">
        <f>ABS('Preço SFCR-GROWATT BYD 400Wp'!$G$43-C57)</f>
        <v>#DIV/0!</v>
      </c>
      <c r="E57" s="181">
        <v>95</v>
      </c>
      <c r="F57" s="112" t="str">
        <f>+IF(K57=0,"",ROUND(M57/(1-'Tabela de BDI'!$C$3),0))</f>
        <v/>
      </c>
      <c r="G57" s="107"/>
      <c r="H57" s="106"/>
      <c r="I57" s="143"/>
      <c r="J57" s="121"/>
      <c r="K57" s="106">
        <f t="shared" si="1"/>
        <v>0</v>
      </c>
      <c r="L57" s="151">
        <f t="shared" si="18"/>
        <v>15625</v>
      </c>
      <c r="M57" s="106">
        <f t="shared" si="2"/>
        <v>15625</v>
      </c>
      <c r="N57" s="106" t="str">
        <f>+IF(F57="","",F57*'Tabela de BDI'!$C$7)</f>
        <v/>
      </c>
      <c r="O57" s="106" t="str">
        <f>IF(F57="","",F57*'Tabela de BDI'!$C$8)</f>
        <v/>
      </c>
      <c r="P57" s="109" t="str">
        <f t="shared" si="3"/>
        <v/>
      </c>
      <c r="Q57" s="110" t="str">
        <f t="shared" si="4"/>
        <v/>
      </c>
      <c r="R57" s="111">
        <f>+'Tabela de BDI'!$F$9*C57</f>
        <v>4560</v>
      </c>
      <c r="S57" s="114"/>
      <c r="U57" s="273">
        <f t="shared" si="8"/>
        <v>0</v>
      </c>
      <c r="V57" s="273">
        <f t="shared" si="9"/>
        <v>15625</v>
      </c>
      <c r="W57" s="273">
        <f t="shared" si="10"/>
        <v>4667.2077922077915</v>
      </c>
      <c r="X57" s="273">
        <f t="shared" si="11"/>
        <v>20292.207792207791</v>
      </c>
      <c r="Y57" s="273" t="str">
        <f t="shared" si="6"/>
        <v/>
      </c>
      <c r="AA57" s="278" t="str">
        <f t="shared" si="7"/>
        <v/>
      </c>
    </row>
    <row r="58" spans="1:27" ht="15.75" customHeight="1" x14ac:dyDescent="0.25">
      <c r="A58" s="240"/>
      <c r="B58" s="116" t="s">
        <v>89</v>
      </c>
      <c r="C58" s="202">
        <f t="shared" si="0"/>
        <v>38.400000000000006</v>
      </c>
      <c r="D58" s="204" t="e">
        <f>ABS('Preço SFCR-GROWATT BYD 400Wp'!$G$43-C58)</f>
        <v>#DIV/0!</v>
      </c>
      <c r="E58" s="181">
        <v>96</v>
      </c>
      <c r="F58" s="112" t="str">
        <f>+IF(K58=0,"",ROUND(M58/(1-'Tabela de BDI'!$C$3),0))</f>
        <v/>
      </c>
      <c r="G58" s="107"/>
      <c r="H58" s="106"/>
      <c r="I58" s="143"/>
      <c r="J58" s="121"/>
      <c r="K58" s="106">
        <f t="shared" si="1"/>
        <v>0</v>
      </c>
      <c r="L58" s="151">
        <f t="shared" si="18"/>
        <v>15750</v>
      </c>
      <c r="M58" s="106">
        <f t="shared" si="2"/>
        <v>15750</v>
      </c>
      <c r="N58" s="106" t="str">
        <f>+IF(F58="","",F58*'Tabela de BDI'!$C$7)</f>
        <v/>
      </c>
      <c r="O58" s="106" t="str">
        <f>IF(F58="","",F58*'Tabela de BDI'!$C$8)</f>
        <v/>
      </c>
      <c r="P58" s="109" t="str">
        <f t="shared" si="3"/>
        <v/>
      </c>
      <c r="Q58" s="110" t="str">
        <f t="shared" si="4"/>
        <v/>
      </c>
      <c r="R58" s="111">
        <f>+'Tabela de BDI'!$F$9*C58</f>
        <v>4608.0000000000009</v>
      </c>
      <c r="S58" s="114"/>
      <c r="U58" s="273">
        <f t="shared" si="8"/>
        <v>0</v>
      </c>
      <c r="V58" s="273">
        <f t="shared" si="9"/>
        <v>15750</v>
      </c>
      <c r="W58" s="273">
        <f t="shared" si="10"/>
        <v>4704.5454545454559</v>
      </c>
      <c r="X58" s="273">
        <f t="shared" si="11"/>
        <v>20454.545454545456</v>
      </c>
      <c r="Y58" s="273" t="str">
        <f t="shared" si="6"/>
        <v/>
      </c>
      <c r="AA58" s="278" t="str">
        <f t="shared" si="7"/>
        <v/>
      </c>
    </row>
    <row r="59" spans="1:27" ht="15.75" customHeight="1" x14ac:dyDescent="0.25">
      <c r="A59" s="240"/>
      <c r="B59" s="116" t="s">
        <v>89</v>
      </c>
      <c r="C59" s="202">
        <f t="shared" si="0"/>
        <v>39.200000000000003</v>
      </c>
      <c r="D59" s="204" t="e">
        <f>ABS('Preço SFCR-GROWATT BYD 400Wp'!$G$43-C59)</f>
        <v>#DIV/0!</v>
      </c>
      <c r="E59" s="181">
        <v>98</v>
      </c>
      <c r="F59" s="112" t="str">
        <f>+IF(K59=0,"",ROUND(M59/(1-'Tabela de BDI'!$C$3),0))</f>
        <v/>
      </c>
      <c r="G59" s="107"/>
      <c r="H59" s="106"/>
      <c r="I59" s="143"/>
      <c r="J59" s="121"/>
      <c r="K59" s="106">
        <f t="shared" si="1"/>
        <v>0</v>
      </c>
      <c r="L59" s="151">
        <f t="shared" si="18"/>
        <v>16000</v>
      </c>
      <c r="M59" s="106">
        <f t="shared" si="2"/>
        <v>16000</v>
      </c>
      <c r="N59" s="106" t="str">
        <f>+IF(F59="","",F59*'Tabela de BDI'!$C$7)</f>
        <v/>
      </c>
      <c r="O59" s="106" t="str">
        <f>IF(F59="","",F59*'Tabela de BDI'!$C$8)</f>
        <v/>
      </c>
      <c r="P59" s="109" t="str">
        <f t="shared" si="3"/>
        <v/>
      </c>
      <c r="Q59" s="110" t="str">
        <f t="shared" si="4"/>
        <v/>
      </c>
      <c r="R59" s="111">
        <f>+'Tabela de BDI'!$F$9*C59</f>
        <v>4704</v>
      </c>
      <c r="S59" s="114"/>
      <c r="U59" s="273">
        <f t="shared" si="8"/>
        <v>0</v>
      </c>
      <c r="V59" s="273">
        <f t="shared" si="9"/>
        <v>16000</v>
      </c>
      <c r="W59" s="273">
        <f t="shared" si="10"/>
        <v>4779.2207792207773</v>
      </c>
      <c r="X59" s="273">
        <f t="shared" si="11"/>
        <v>20779.220779220777</v>
      </c>
      <c r="Y59" s="273" t="str">
        <f t="shared" si="6"/>
        <v/>
      </c>
      <c r="AA59" s="278" t="str">
        <f t="shared" si="7"/>
        <v/>
      </c>
    </row>
    <row r="60" spans="1:27" ht="15.75" customHeight="1" x14ac:dyDescent="0.25">
      <c r="A60" s="240"/>
      <c r="B60" s="116" t="s">
        <v>89</v>
      </c>
      <c r="C60" s="202">
        <f t="shared" si="0"/>
        <v>40</v>
      </c>
      <c r="D60" s="204" t="e">
        <f>ABS('Preço SFCR-GROWATT BYD 400Wp'!$G$43-C60)</f>
        <v>#DIV/0!</v>
      </c>
      <c r="E60" s="181">
        <v>100</v>
      </c>
      <c r="F60" s="112" t="str">
        <f>+IF(K60=0,"",ROUND(M60/(1-'Tabela de BDI'!$C$3),0))</f>
        <v/>
      </c>
      <c r="G60" s="107"/>
      <c r="H60" s="106"/>
      <c r="I60" s="143"/>
      <c r="J60" s="121"/>
      <c r="K60" s="106">
        <f t="shared" si="1"/>
        <v>0</v>
      </c>
      <c r="L60" s="151">
        <f t="shared" si="18"/>
        <v>16250</v>
      </c>
      <c r="M60" s="106">
        <f t="shared" si="2"/>
        <v>16250</v>
      </c>
      <c r="N60" s="106" t="str">
        <f>+IF(F60="","",F60*'Tabela de BDI'!$C$7)</f>
        <v/>
      </c>
      <c r="O60" s="106" t="str">
        <f>IF(F60="","",F60*'Tabela de BDI'!$C$8)</f>
        <v/>
      </c>
      <c r="P60" s="109" t="str">
        <f t="shared" si="3"/>
        <v/>
      </c>
      <c r="Q60" s="110" t="str">
        <f t="shared" si="4"/>
        <v/>
      </c>
      <c r="R60" s="111">
        <f>+'Tabela de BDI'!$F$9*C60</f>
        <v>4800</v>
      </c>
      <c r="S60" s="114"/>
      <c r="U60" s="273">
        <f t="shared" si="8"/>
        <v>0</v>
      </c>
      <c r="V60" s="273">
        <f t="shared" si="9"/>
        <v>16250</v>
      </c>
      <c r="W60" s="273">
        <f t="shared" si="10"/>
        <v>4853.8961038961024</v>
      </c>
      <c r="X60" s="273">
        <f t="shared" si="11"/>
        <v>21103.896103896102</v>
      </c>
      <c r="Y60" s="273" t="str">
        <f t="shared" si="6"/>
        <v/>
      </c>
      <c r="AA60" s="278" t="str">
        <f t="shared" si="7"/>
        <v/>
      </c>
    </row>
    <row r="61" spans="1:27" ht="15.75" customHeight="1" x14ac:dyDescent="0.25">
      <c r="A61" s="240"/>
      <c r="B61" s="116" t="s">
        <v>89</v>
      </c>
      <c r="C61" s="202">
        <f t="shared" si="0"/>
        <v>40.800000000000004</v>
      </c>
      <c r="D61" s="204" t="e">
        <f>ABS('Preço SFCR-GROWATT BYD 400Wp'!$G$43-C61)</f>
        <v>#DIV/0!</v>
      </c>
      <c r="E61" s="181">
        <v>102</v>
      </c>
      <c r="F61" s="112" t="str">
        <f>+IF(K61=0,"",ROUND(M61/(1-'Tabela de BDI'!$C$3),0))</f>
        <v/>
      </c>
      <c r="G61" s="107"/>
      <c r="H61" s="106"/>
      <c r="I61" s="143"/>
      <c r="J61" s="121"/>
      <c r="K61" s="106">
        <f t="shared" si="1"/>
        <v>0</v>
      </c>
      <c r="L61" s="151">
        <f t="shared" si="18"/>
        <v>16500</v>
      </c>
      <c r="M61" s="106">
        <f t="shared" si="2"/>
        <v>16500</v>
      </c>
      <c r="N61" s="106" t="str">
        <f>+IF(F61="","",F61*'Tabela de BDI'!$C$7)</f>
        <v/>
      </c>
      <c r="O61" s="106" t="str">
        <f>IF(F61="","",F61*'Tabela de BDI'!$C$8)</f>
        <v/>
      </c>
      <c r="P61" s="109" t="str">
        <f t="shared" si="3"/>
        <v/>
      </c>
      <c r="Q61" s="110" t="str">
        <f t="shared" si="4"/>
        <v/>
      </c>
      <c r="R61" s="111">
        <f>+'Tabela de BDI'!$F$9*C61</f>
        <v>4896.0000000000009</v>
      </c>
      <c r="S61" s="114"/>
      <c r="U61" s="273">
        <f t="shared" si="8"/>
        <v>0</v>
      </c>
      <c r="V61" s="273">
        <f t="shared" si="9"/>
        <v>16500</v>
      </c>
      <c r="W61" s="273">
        <f t="shared" si="10"/>
        <v>4928.5714285714275</v>
      </c>
      <c r="X61" s="273">
        <f t="shared" si="11"/>
        <v>21428.571428571428</v>
      </c>
      <c r="Y61" s="273" t="str">
        <f t="shared" si="6"/>
        <v/>
      </c>
      <c r="AA61" s="278" t="str">
        <f t="shared" si="7"/>
        <v/>
      </c>
    </row>
    <row r="62" spans="1:27" ht="15.75" customHeight="1" x14ac:dyDescent="0.25">
      <c r="A62" s="240"/>
      <c r="B62" s="116" t="s">
        <v>89</v>
      </c>
      <c r="C62" s="202">
        <f t="shared" si="0"/>
        <v>41.6</v>
      </c>
      <c r="D62" s="204" t="e">
        <f>ABS('Preço SFCR-GROWATT BYD 400Wp'!$G$43-C62)</f>
        <v>#DIV/0!</v>
      </c>
      <c r="E62" s="181">
        <v>104</v>
      </c>
      <c r="F62" s="112" t="str">
        <f>+IF(K62=0,"",ROUND(M62/(1-'Tabela de BDI'!$C$3),0))</f>
        <v/>
      </c>
      <c r="G62" s="107"/>
      <c r="H62" s="106"/>
      <c r="I62" s="143"/>
      <c r="J62" s="121"/>
      <c r="K62" s="106">
        <f t="shared" si="1"/>
        <v>0</v>
      </c>
      <c r="L62" s="151">
        <f t="shared" si="18"/>
        <v>16750</v>
      </c>
      <c r="M62" s="106">
        <f t="shared" si="2"/>
        <v>16750</v>
      </c>
      <c r="N62" s="106" t="str">
        <f>+IF(F62="","",F62*'Tabela de BDI'!$C$7)</f>
        <v/>
      </c>
      <c r="O62" s="106" t="str">
        <f>IF(F62="","",F62*'Tabela de BDI'!$C$8)</f>
        <v/>
      </c>
      <c r="P62" s="109" t="str">
        <f t="shared" si="3"/>
        <v/>
      </c>
      <c r="Q62" s="110" t="str">
        <f t="shared" si="4"/>
        <v/>
      </c>
      <c r="R62" s="111">
        <f>+'Tabela de BDI'!$F$9*C62</f>
        <v>4992</v>
      </c>
      <c r="S62" s="114"/>
      <c r="U62" s="273">
        <f t="shared" si="8"/>
        <v>0</v>
      </c>
      <c r="V62" s="273">
        <f t="shared" si="9"/>
        <v>16750</v>
      </c>
      <c r="W62" s="273">
        <f t="shared" si="10"/>
        <v>5003.2467532467526</v>
      </c>
      <c r="X62" s="273">
        <f t="shared" si="11"/>
        <v>21753.246753246753</v>
      </c>
      <c r="Y62" s="273" t="str">
        <f t="shared" si="6"/>
        <v/>
      </c>
      <c r="AA62" s="278" t="str">
        <f t="shared" si="7"/>
        <v/>
      </c>
    </row>
    <row r="63" spans="1:27" ht="15.75" customHeight="1" x14ac:dyDescent="0.25">
      <c r="A63" s="240"/>
      <c r="B63" s="116" t="s">
        <v>89</v>
      </c>
      <c r="C63" s="202">
        <f t="shared" si="0"/>
        <v>43.2</v>
      </c>
      <c r="D63" s="204" t="e">
        <f>ABS('Preço SFCR-GROWATT BYD 400Wp'!$G$43-C63)</f>
        <v>#DIV/0!</v>
      </c>
      <c r="E63" s="181">
        <v>108</v>
      </c>
      <c r="F63" s="112" t="str">
        <f>+IF(K63=0,"",ROUND(M63/(1-'Tabela de BDI'!$C$3),0))</f>
        <v/>
      </c>
      <c r="G63" s="107"/>
      <c r="H63" s="106"/>
      <c r="I63" s="143"/>
      <c r="J63" s="121"/>
      <c r="K63" s="106">
        <f t="shared" si="1"/>
        <v>0</v>
      </c>
      <c r="L63" s="151">
        <f t="shared" si="18"/>
        <v>17250</v>
      </c>
      <c r="M63" s="106">
        <f t="shared" si="2"/>
        <v>17250</v>
      </c>
      <c r="N63" s="106" t="str">
        <f>+IF(F63="","",F63*'Tabela de BDI'!$C$7)</f>
        <v/>
      </c>
      <c r="O63" s="106" t="str">
        <f>IF(F63="","",F63*'Tabela de BDI'!$C$8)</f>
        <v/>
      </c>
      <c r="P63" s="109" t="str">
        <f t="shared" si="3"/>
        <v/>
      </c>
      <c r="Q63" s="110" t="str">
        <f t="shared" si="4"/>
        <v/>
      </c>
      <c r="R63" s="111">
        <f>+'Tabela de BDI'!$F$9*C63</f>
        <v>5184</v>
      </c>
      <c r="S63" s="114"/>
      <c r="U63" s="273">
        <f t="shared" si="8"/>
        <v>0</v>
      </c>
      <c r="V63" s="273">
        <f t="shared" si="9"/>
        <v>17250</v>
      </c>
      <c r="W63" s="273">
        <f t="shared" si="10"/>
        <v>5152.5974025974028</v>
      </c>
      <c r="X63" s="273">
        <f t="shared" si="11"/>
        <v>22402.597402597403</v>
      </c>
      <c r="Y63" s="273" t="str">
        <f t="shared" si="6"/>
        <v/>
      </c>
      <c r="AA63" s="278" t="str">
        <f t="shared" si="7"/>
        <v/>
      </c>
    </row>
    <row r="64" spans="1:27" ht="15.75" customHeight="1" x14ac:dyDescent="0.25">
      <c r="A64" s="240"/>
      <c r="B64" s="117"/>
      <c r="C64" s="104"/>
      <c r="D64" s="203"/>
      <c r="E64" s="105"/>
      <c r="F64" s="106"/>
      <c r="G64" s="107"/>
      <c r="H64" s="106"/>
      <c r="I64" s="143"/>
      <c r="J64" s="106"/>
      <c r="K64" s="106"/>
      <c r="L64" s="106"/>
      <c r="M64" s="106"/>
      <c r="N64" s="106"/>
      <c r="O64" s="106"/>
      <c r="P64" s="106"/>
      <c r="Q64" s="110" t="str">
        <f t="shared" si="4"/>
        <v/>
      </c>
      <c r="R64" s="111"/>
      <c r="S64" s="114"/>
      <c r="U64" s="273">
        <f t="shared" si="8"/>
        <v>0</v>
      </c>
      <c r="V64" s="273">
        <f t="shared" si="9"/>
        <v>0</v>
      </c>
      <c r="W64" s="273">
        <f t="shared" si="10"/>
        <v>0</v>
      </c>
      <c r="X64" s="273">
        <f t="shared" si="11"/>
        <v>0</v>
      </c>
      <c r="Y64" s="273" t="str">
        <f t="shared" si="6"/>
        <v/>
      </c>
      <c r="AA64" s="278" t="str">
        <f t="shared" si="7"/>
        <v/>
      </c>
    </row>
    <row r="65" spans="1:27" ht="15.75" customHeight="1" x14ac:dyDescent="0.25">
      <c r="A65" s="240"/>
      <c r="B65" s="117"/>
      <c r="C65" s="104"/>
      <c r="D65" s="201"/>
      <c r="E65" s="105"/>
      <c r="F65" s="106"/>
      <c r="G65" s="107"/>
      <c r="H65" s="106"/>
      <c r="I65" s="143"/>
      <c r="J65" s="106"/>
      <c r="K65" s="106"/>
      <c r="L65" s="106"/>
      <c r="M65" s="106"/>
      <c r="N65" s="106"/>
      <c r="O65" s="106"/>
      <c r="P65" s="106"/>
      <c r="Q65" s="110" t="str">
        <f t="shared" si="4"/>
        <v/>
      </c>
      <c r="R65" s="111"/>
      <c r="S65" s="114"/>
      <c r="U65" s="273">
        <f t="shared" si="8"/>
        <v>0</v>
      </c>
      <c r="V65" s="273">
        <f t="shared" si="9"/>
        <v>0</v>
      </c>
      <c r="W65" s="273">
        <f t="shared" si="10"/>
        <v>0</v>
      </c>
      <c r="X65" s="273">
        <f t="shared" si="11"/>
        <v>0</v>
      </c>
      <c r="Y65" s="273" t="str">
        <f t="shared" si="6"/>
        <v/>
      </c>
      <c r="AA65" s="278" t="str">
        <f t="shared" si="7"/>
        <v/>
      </c>
    </row>
    <row r="66" spans="1:27" ht="15.75" customHeight="1" x14ac:dyDescent="0.25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118"/>
      <c r="L66" s="118"/>
      <c r="M66" s="118"/>
      <c r="N66" s="118"/>
      <c r="O66" s="118"/>
      <c r="P66" s="118"/>
      <c r="Q66" s="118"/>
      <c r="R66" s="240"/>
      <c r="S66" s="240"/>
    </row>
    <row r="67" spans="1:27" ht="15.75" customHeight="1" x14ac:dyDescent="0.25">
      <c r="A67" s="240"/>
      <c r="B67" s="337" t="s">
        <v>79</v>
      </c>
      <c r="C67" s="338"/>
      <c r="D67" s="239"/>
      <c r="E67" s="240"/>
      <c r="F67" s="119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</row>
    <row r="68" spans="1:27" ht="15.75" customHeight="1" x14ac:dyDescent="0.25">
      <c r="A68" s="240"/>
      <c r="B68" s="119">
        <v>44332</v>
      </c>
      <c r="C68" s="240"/>
      <c r="D68" s="240"/>
      <c r="E68" s="240"/>
      <c r="F68" s="240"/>
      <c r="G68" s="240"/>
      <c r="H68" s="240"/>
      <c r="I68" s="240"/>
      <c r="J68" s="240"/>
      <c r="R68" s="240"/>
      <c r="S68" s="240"/>
    </row>
    <row r="69" spans="1:27" ht="15.75" customHeight="1" x14ac:dyDescent="0.25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</row>
    <row r="70" spans="1:27" ht="15.75" customHeight="1" x14ac:dyDescent="0.25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</row>
    <row r="71" spans="1:27" ht="15.75" customHeight="1" x14ac:dyDescent="0.25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</row>
    <row r="72" spans="1:27" ht="15.75" customHeight="1" x14ac:dyDescent="0.25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</row>
    <row r="73" spans="1:27" ht="15.75" customHeight="1" x14ac:dyDescent="0.25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</row>
    <row r="74" spans="1:27" ht="15.75" customHeight="1" x14ac:dyDescent="0.25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</row>
    <row r="75" spans="1:27" ht="15.75" customHeight="1" x14ac:dyDescent="0.25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</row>
    <row r="76" spans="1:27" ht="15.75" customHeight="1" x14ac:dyDescent="0.25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</row>
    <row r="77" spans="1:27" ht="15.75" customHeight="1" x14ac:dyDescent="0.25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</row>
    <row r="78" spans="1:27" ht="15.75" customHeight="1" x14ac:dyDescent="0.25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</row>
    <row r="79" spans="1:27" ht="15.75" customHeight="1" x14ac:dyDescent="0.25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</row>
    <row r="80" spans="1:27" ht="15.75" customHeight="1" x14ac:dyDescent="0.25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</row>
    <row r="81" spans="1:19" ht="15.75" customHeight="1" x14ac:dyDescent="0.25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</row>
    <row r="82" spans="1:19" ht="15.75" customHeight="1" x14ac:dyDescent="0.25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</row>
    <row r="83" spans="1:19" ht="15.75" customHeight="1" x14ac:dyDescent="0.25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</row>
    <row r="84" spans="1:19" ht="15.75" customHeight="1" x14ac:dyDescent="0.25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</row>
    <row r="85" spans="1:19" ht="15.75" customHeight="1" x14ac:dyDescent="0.25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</row>
    <row r="86" spans="1:19" ht="15.75" customHeight="1" x14ac:dyDescent="0.25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</row>
    <row r="87" spans="1:19" ht="15.75" customHeight="1" x14ac:dyDescent="0.25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</row>
    <row r="88" spans="1:19" ht="15.75" customHeight="1" x14ac:dyDescent="0.25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</row>
    <row r="89" spans="1:19" ht="15.75" customHeight="1" x14ac:dyDescent="0.25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</row>
    <row r="90" spans="1:19" ht="15.75" customHeight="1" x14ac:dyDescent="0.25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</row>
    <row r="91" spans="1:19" ht="15.75" customHeight="1" x14ac:dyDescent="0.25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</row>
    <row r="92" spans="1:19" ht="15.75" customHeight="1" x14ac:dyDescent="0.25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</row>
    <row r="93" spans="1:19" ht="15.75" customHeight="1" x14ac:dyDescent="0.25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</row>
    <row r="94" spans="1:19" ht="15.75" customHeight="1" x14ac:dyDescent="0.25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</row>
    <row r="95" spans="1:19" ht="15.75" customHeight="1" x14ac:dyDescent="0.25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</row>
    <row r="96" spans="1:19" ht="15.75" customHeight="1" x14ac:dyDescent="0.25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</row>
    <row r="97" spans="1:19" ht="15.75" customHeight="1" x14ac:dyDescent="0.25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</row>
    <row r="98" spans="1:19" ht="15.75" customHeight="1" x14ac:dyDescent="0.25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</row>
    <row r="99" spans="1:19" ht="15.75" customHeight="1" x14ac:dyDescent="0.25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</row>
    <row r="100" spans="1:19" ht="15.75" customHeight="1" x14ac:dyDescent="0.25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</row>
    <row r="101" spans="1:19" ht="15.75" customHeight="1" x14ac:dyDescent="0.25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</row>
    <row r="102" spans="1:19" ht="15.75" customHeight="1" x14ac:dyDescent="0.25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</row>
    <row r="103" spans="1:19" ht="15.75" customHeight="1" x14ac:dyDescent="0.25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</row>
    <row r="104" spans="1:19" ht="15.75" customHeight="1" x14ac:dyDescent="0.25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</row>
    <row r="105" spans="1:19" ht="15.75" customHeight="1" x14ac:dyDescent="0.25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</row>
    <row r="106" spans="1:19" ht="15.75" customHeight="1" x14ac:dyDescent="0.25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</row>
    <row r="107" spans="1:19" ht="15.75" customHeight="1" x14ac:dyDescent="0.25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</row>
    <row r="108" spans="1:19" ht="15.75" customHeight="1" x14ac:dyDescent="0.25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</row>
    <row r="109" spans="1:19" ht="15.75" customHeight="1" x14ac:dyDescent="0.25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</row>
    <row r="110" spans="1:19" ht="15.75" customHeight="1" x14ac:dyDescent="0.25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</row>
  </sheetData>
  <mergeCells count="26">
    <mergeCell ref="V4:V5"/>
    <mergeCell ref="X4:X5"/>
    <mergeCell ref="Y4:Y5"/>
    <mergeCell ref="U2:Y3"/>
    <mergeCell ref="AA4:AA5"/>
    <mergeCell ref="B67:C67"/>
    <mergeCell ref="H4:H5"/>
    <mergeCell ref="J4:J5"/>
    <mergeCell ref="K4:K5"/>
    <mergeCell ref="L4:L5"/>
    <mergeCell ref="B2:D2"/>
    <mergeCell ref="E2:R2"/>
    <mergeCell ref="B3:D3"/>
    <mergeCell ref="E3:R3"/>
    <mergeCell ref="B4:B5"/>
    <mergeCell ref="C4:C5"/>
    <mergeCell ref="D4:D5"/>
    <mergeCell ref="E4:E5"/>
    <mergeCell ref="F4:F5"/>
    <mergeCell ref="G4:G5"/>
    <mergeCell ref="O4:O5"/>
    <mergeCell ref="P4:P5"/>
    <mergeCell ref="Q4:Q5"/>
    <mergeCell ref="R4:R5"/>
    <mergeCell ref="M4:M5"/>
    <mergeCell ref="N4:N5"/>
  </mergeCells>
  <pageMargins left="0.51181102362204722" right="0.51181102362204722" top="0.78740157480314965" bottom="0.7874015748031496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1"/>
  <sheetViews>
    <sheetView showGridLines="0" zoomScale="70" zoomScaleNormal="70" workbookViewId="0">
      <pane ySplit="9" topLeftCell="A10" activePane="bottomLeft" state="frozen"/>
      <selection activeCell="D11" sqref="D11:E11"/>
      <selection pane="bottomLeft" activeCell="D11" sqref="D11:E11"/>
    </sheetView>
  </sheetViews>
  <sheetFormatPr defaultColWidth="14.42578125" defaultRowHeight="15" customHeight="1" x14ac:dyDescent="0.25"/>
  <cols>
    <col min="1" max="1" width="8.7109375" customWidth="1"/>
    <col min="2" max="2" width="2.42578125" customWidth="1"/>
    <col min="3" max="3" width="35.140625" customWidth="1"/>
    <col min="4" max="4" width="18.85546875" customWidth="1"/>
    <col min="5" max="5" width="11.5703125" customWidth="1"/>
    <col min="6" max="6" width="16" customWidth="1"/>
    <col min="7" max="7" width="10" customWidth="1"/>
    <col min="8" max="8" width="12.28515625" bestFit="1" customWidth="1"/>
    <col min="9" max="9" width="10" customWidth="1"/>
    <col min="10" max="10" width="18.85546875" customWidth="1"/>
    <col min="11" max="11" width="9.28515625" bestFit="1" customWidth="1"/>
    <col min="12" max="12" width="18.85546875" customWidth="1"/>
    <col min="13" max="13" width="8" bestFit="1" customWidth="1"/>
    <col min="14" max="14" width="26" customWidth="1"/>
    <col min="15" max="15" width="14.425781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customHeight="1" x14ac:dyDescent="0.25">
      <c r="A2" s="1"/>
      <c r="B2" s="1"/>
      <c r="C2" s="10" t="str">
        <f>+'Preço SFCR-FRONIUS-BYD'!C2</f>
        <v>Versão: Maio/2020</v>
      </c>
      <c r="D2" s="7"/>
      <c r="E2" s="7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customHeight="1" x14ac:dyDescent="0.25">
      <c r="A3" s="1"/>
      <c r="B3" s="1"/>
      <c r="C3" s="10"/>
      <c r="D3" s="346" t="s">
        <v>12</v>
      </c>
      <c r="E3" s="347"/>
      <c r="F3" s="347"/>
      <c r="G3" s="347"/>
      <c r="H3" s="347"/>
      <c r="I3" s="347"/>
      <c r="J3" s="1"/>
      <c r="K3" s="1"/>
      <c r="L3" s="1"/>
      <c r="M3" s="1"/>
      <c r="N3" s="1"/>
      <c r="O3" s="1"/>
    </row>
    <row r="4" spans="1:15" ht="15" customHeight="1" x14ac:dyDescent="0.25">
      <c r="A4" s="1"/>
      <c r="B4" s="1"/>
      <c r="C4" s="10"/>
      <c r="D4" s="347"/>
      <c r="E4" s="347"/>
      <c r="F4" s="347"/>
      <c r="G4" s="347"/>
      <c r="H4" s="347"/>
      <c r="I4" s="347"/>
      <c r="J4" s="1"/>
      <c r="K4" s="1"/>
      <c r="L4" s="1"/>
      <c r="M4" s="1"/>
      <c r="N4" s="1"/>
      <c r="O4" s="1"/>
    </row>
    <row r="5" spans="1:15" ht="15" customHeight="1" x14ac:dyDescent="0.25">
      <c r="A5" s="1"/>
      <c r="B5" s="1"/>
      <c r="C5" s="10"/>
      <c r="D5" s="346" t="s">
        <v>47</v>
      </c>
      <c r="E5" s="347"/>
      <c r="F5" s="347"/>
      <c r="G5" s="347"/>
      <c r="H5" s="347"/>
      <c r="I5" s="347"/>
      <c r="J5" s="1"/>
      <c r="K5" s="1"/>
      <c r="L5" s="1"/>
      <c r="M5" s="1"/>
      <c r="N5" s="1"/>
      <c r="O5" s="1"/>
    </row>
    <row r="6" spans="1:15" ht="15" customHeight="1" x14ac:dyDescent="0.25">
      <c r="A6" s="1"/>
      <c r="B6" s="1"/>
      <c r="C6" s="10"/>
      <c r="D6" s="347"/>
      <c r="E6" s="347"/>
      <c r="F6" s="347"/>
      <c r="G6" s="347"/>
      <c r="H6" s="347"/>
      <c r="I6" s="347"/>
      <c r="J6" s="1"/>
      <c r="K6" s="1"/>
      <c r="L6" s="1"/>
      <c r="M6" s="1"/>
      <c r="N6" s="1"/>
      <c r="O6" s="1"/>
    </row>
    <row r="7" spans="1:15" ht="15" customHeight="1" x14ac:dyDescent="0.25">
      <c r="A7" s="1"/>
      <c r="B7" s="1"/>
      <c r="C7" s="503"/>
      <c r="D7" s="504"/>
      <c r="E7" s="504"/>
      <c r="F7" s="504"/>
      <c r="G7" s="99"/>
      <c r="H7" s="1"/>
      <c r="I7" s="1"/>
      <c r="J7" s="100"/>
      <c r="K7" s="100"/>
      <c r="L7" s="100"/>
      <c r="M7" s="100"/>
      <c r="N7" s="100"/>
      <c r="O7" s="1"/>
    </row>
    <row r="8" spans="1:15" ht="18.75" x14ac:dyDescent="0.3">
      <c r="A8" s="1"/>
      <c r="B8" s="1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1"/>
      <c r="O8" s="1"/>
    </row>
    <row r="9" spans="1:15" ht="21" customHeight="1" x14ac:dyDescent="0.3">
      <c r="A9" s="1"/>
      <c r="B9" s="1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0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1"/>
    </row>
    <row r="10" spans="1:15" ht="15.75" customHeight="1" x14ac:dyDescent="0.25">
      <c r="A10" s="1"/>
      <c r="B10" s="1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1"/>
    </row>
    <row r="11" spans="1:15" ht="15.75" customHeight="1" x14ac:dyDescent="0.25">
      <c r="A11" s="1"/>
      <c r="B11" s="1"/>
      <c r="C11" s="24" t="s">
        <v>18</v>
      </c>
      <c r="D11" s="374" t="e">
        <f>+VLOOKUP(MIN('GROWATT-BYD 335Wp'!D:D),'GROWATT-BYD 335Wp'!D:E,2,0)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1"/>
    </row>
    <row r="12" spans="1:15" ht="15.75" customHeight="1" x14ac:dyDescent="0.25">
      <c r="A12" s="1"/>
      <c r="B12" s="1"/>
      <c r="C12" s="25" t="s">
        <v>19</v>
      </c>
      <c r="D12" s="367" t="s">
        <v>20</v>
      </c>
      <c r="E12" s="338"/>
      <c r="F12" s="368" t="str">
        <f t="shared" ref="F12:F13" si="0">+D12</f>
        <v>BYD HALF CELL</v>
      </c>
      <c r="G12" s="338"/>
      <c r="H12" s="369" t="str">
        <f>+F12</f>
        <v>BYD HALF CELL</v>
      </c>
      <c r="I12" s="338"/>
      <c r="J12" s="370" t="str">
        <f>+H12</f>
        <v>BYD HALF CELL</v>
      </c>
      <c r="K12" s="338"/>
      <c r="L12" s="363" t="str">
        <f>+J12</f>
        <v>BYD HALF CELL</v>
      </c>
      <c r="M12" s="354"/>
      <c r="N12" s="2"/>
      <c r="O12" s="1"/>
    </row>
    <row r="13" spans="1:15" ht="15.75" customHeight="1" x14ac:dyDescent="0.25">
      <c r="A13" s="1"/>
      <c r="B13" s="1"/>
      <c r="C13" s="24" t="s">
        <v>21</v>
      </c>
      <c r="D13" s="372">
        <v>335</v>
      </c>
      <c r="E13" s="338"/>
      <c r="F13" s="375">
        <f t="shared" si="0"/>
        <v>335</v>
      </c>
      <c r="G13" s="338"/>
      <c r="H13" s="376">
        <f>+D13</f>
        <v>335</v>
      </c>
      <c r="I13" s="338"/>
      <c r="J13" s="352">
        <f>+D13</f>
        <v>335</v>
      </c>
      <c r="K13" s="338"/>
      <c r="L13" s="364">
        <f>+D13</f>
        <v>335</v>
      </c>
      <c r="M13" s="354"/>
      <c r="N13" s="2"/>
      <c r="O13" s="1"/>
    </row>
    <row r="14" spans="1:15" ht="15.75" customHeight="1" x14ac:dyDescent="0.25">
      <c r="A14" s="1"/>
      <c r="B14" s="1"/>
      <c r="C14" s="25" t="s">
        <v>48</v>
      </c>
      <c r="D14" s="26" t="e">
        <f>+IF(D11="","",VLOOKUP(D11,'GROWATT-BYD 335Wp'!$E$7:$G$69,3,0))</f>
        <v>#DIV/0!</v>
      </c>
      <c r="E14" s="27">
        <v>1</v>
      </c>
      <c r="F14" s="28" t="str">
        <f>+IF(F11="","",VLOOKUP(F11,'GROWATT-BYD 335Wp'!$E$7:$G$69,3,0))</f>
        <v/>
      </c>
      <c r="G14" s="29">
        <v>1</v>
      </c>
      <c r="H14" s="30" t="str">
        <f>+IF(H11="","",VLOOKUP(H11,'GROWATT-BYD 335Wp'!$E$7:$G$69,3,0))</f>
        <v/>
      </c>
      <c r="I14" s="31">
        <v>1</v>
      </c>
      <c r="J14" s="32" t="str">
        <f>+IF(J11="","",VLOOKUP(J11,'GROWATT-BYD 335Wp'!$E$7:$G$69,3,0))</f>
        <v/>
      </c>
      <c r="K14" s="33">
        <v>1</v>
      </c>
      <c r="L14" s="34" t="str">
        <f>+IF(L11="","",VLOOKUP(L11,'GROWATT-BYD 335Wp'!$E$7:$G$69,3,0))</f>
        <v/>
      </c>
      <c r="M14" s="35">
        <v>1</v>
      </c>
      <c r="N14" s="2"/>
      <c r="O14" s="1"/>
    </row>
    <row r="15" spans="1:15" ht="15.75" hidden="1" customHeight="1" x14ac:dyDescent="0.25">
      <c r="A15" s="1"/>
      <c r="B15" s="1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1"/>
    </row>
    <row r="16" spans="1:15" ht="15.75" customHeight="1" x14ac:dyDescent="0.25">
      <c r="A16" s="1"/>
      <c r="B16" s="1"/>
      <c r="C16" s="24" t="s">
        <v>25</v>
      </c>
      <c r="D16" s="373" t="e">
        <f>+D11*1.94236</f>
        <v>#DIV/0!</v>
      </c>
      <c r="E16" s="338"/>
      <c r="F16" s="355">
        <f>+F11*1.94236</f>
        <v>0</v>
      </c>
      <c r="G16" s="338"/>
      <c r="H16" s="356">
        <f>+H11*1.94236</f>
        <v>0</v>
      </c>
      <c r="I16" s="338"/>
      <c r="J16" s="365">
        <f>+J11*1.94236</f>
        <v>0</v>
      </c>
      <c r="K16" s="338"/>
      <c r="L16" s="366">
        <f>+L11*1.94236</f>
        <v>0</v>
      </c>
      <c r="M16" s="354"/>
      <c r="N16" s="2"/>
      <c r="O16" s="1"/>
    </row>
    <row r="17" spans="1:15" ht="15.75" customHeight="1" x14ac:dyDescent="0.25">
      <c r="A17" s="1"/>
      <c r="B17" s="1"/>
      <c r="C17" s="48" t="s">
        <v>26</v>
      </c>
      <c r="D17" s="371" t="e">
        <f>+D11*D13*$D$45/1000</f>
        <v>#DIV/0!</v>
      </c>
      <c r="E17" s="349"/>
      <c r="F17" s="357">
        <f>+F11*F13*$D$45/1000</f>
        <v>0</v>
      </c>
      <c r="G17" s="349"/>
      <c r="H17" s="358">
        <f>+H11*H13*$D$45/1000</f>
        <v>0</v>
      </c>
      <c r="I17" s="349"/>
      <c r="J17" s="359">
        <f>+J11*J13*$D$45/1000</f>
        <v>0</v>
      </c>
      <c r="K17" s="360"/>
      <c r="L17" s="361">
        <f>+L11*L13*$D$45/1000</f>
        <v>0</v>
      </c>
      <c r="M17" s="362"/>
      <c r="N17" s="2"/>
      <c r="O17" s="1"/>
    </row>
    <row r="18" spans="1:15" ht="15.75" customHeight="1" x14ac:dyDescent="0.25">
      <c r="A18" s="1"/>
      <c r="B18" s="1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1"/>
    </row>
    <row r="19" spans="1:15" ht="15.75" customHeight="1" thickBot="1" x14ac:dyDescent="0.3">
      <c r="A19" s="1"/>
      <c r="B19" s="1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1"/>
    </row>
    <row r="20" spans="1:15" ht="18.75" customHeight="1" thickBot="1" x14ac:dyDescent="0.4">
      <c r="A20" s="1"/>
      <c r="B20" s="1"/>
      <c r="C20" s="51"/>
      <c r="D20" s="52"/>
      <c r="E20" s="53"/>
      <c r="F20" s="54"/>
      <c r="G20" s="2"/>
      <c r="H20" s="54"/>
      <c r="I20" s="2"/>
      <c r="J20" s="55"/>
      <c r="K20" s="1"/>
      <c r="L20" s="54"/>
      <c r="M20" s="2"/>
      <c r="N20" s="2"/>
      <c r="O20" s="1"/>
    </row>
    <row r="21" spans="1:15" ht="43.5" hidden="1" customHeight="1" thickBot="1" x14ac:dyDescent="0.3">
      <c r="A21" s="1"/>
      <c r="B21" s="1"/>
      <c r="C21" s="188" t="s">
        <v>220</v>
      </c>
      <c r="D21" s="452" t="e">
        <f>+IF(D11="","",VLOOKUP(D11,'GROWATT-BYD 335Wp'!$E$7:$F$69,2,0))</f>
        <v>#DIV/0!</v>
      </c>
      <c r="E21" s="398"/>
      <c r="F21" s="397" t="str">
        <f>+IF(F11="","",VLOOKUP(F11,'GROWATT-BYD 335Wp'!$E$7:$F$69,2,0))</f>
        <v/>
      </c>
      <c r="G21" s="398"/>
      <c r="H21" s="399" t="str">
        <f>+IF(H11="","",VLOOKUP(H11,'GROWATT-BYD 335Wp'!$E$7:$F$69,2,0))</f>
        <v/>
      </c>
      <c r="I21" s="398"/>
      <c r="J21" s="400" t="str">
        <f>+IF(J11="","",VLOOKUP(J11,'GROWATT-BYD 335Wp'!$E$7:$F$69,2,0))</f>
        <v/>
      </c>
      <c r="K21" s="398"/>
      <c r="L21" s="401" t="str">
        <f>+IF(L11="","",VLOOKUP(L11,'GROWATT-BYD 335Wp'!$E$7:$F$69,2,0))</f>
        <v/>
      </c>
      <c r="M21" s="381"/>
      <c r="N21" s="2"/>
      <c r="O21" s="1"/>
    </row>
    <row r="22" spans="1:15" s="174" customFormat="1" ht="43.5" customHeight="1" thickBot="1" x14ac:dyDescent="0.3">
      <c r="A22" s="175"/>
      <c r="B22" s="175"/>
      <c r="C22" s="189" t="s">
        <v>29</v>
      </c>
      <c r="D22" s="452" t="e">
        <f>+ROUND(D21+(D21*$H$44),0)</f>
        <v>#DIV/0!</v>
      </c>
      <c r="E22" s="398"/>
      <c r="F22" s="397" t="e">
        <f>+ROUND(F21+(F21*$H$44),0)</f>
        <v>#VALUE!</v>
      </c>
      <c r="G22" s="398"/>
      <c r="H22" s="399" t="e">
        <f>+ROUND(H21+(H21*$H$44),0)</f>
        <v>#VALUE!</v>
      </c>
      <c r="I22" s="398"/>
      <c r="J22" s="400" t="e">
        <f>+ROUND(J21+(J21*$H$44),0)</f>
        <v>#VALUE!</v>
      </c>
      <c r="K22" s="398"/>
      <c r="L22" s="401" t="e">
        <f>+ROUND(L21+(L21*$H$44),0)</f>
        <v>#VALUE!</v>
      </c>
      <c r="M22" s="381"/>
      <c r="N22" s="2"/>
      <c r="O22" s="175"/>
    </row>
    <row r="23" spans="1:15" ht="12.75" customHeight="1" x14ac:dyDescent="0.35">
      <c r="A23" s="1"/>
      <c r="B23" s="1"/>
      <c r="C23" s="51"/>
      <c r="D23" s="56"/>
      <c r="E23" s="57"/>
      <c r="F23" s="56"/>
      <c r="G23" s="57"/>
      <c r="H23" s="56"/>
      <c r="I23" s="57"/>
      <c r="J23" s="54"/>
      <c r="K23" s="58"/>
      <c r="L23" s="54"/>
      <c r="M23" s="58"/>
      <c r="N23" s="2"/>
      <c r="O23" s="1"/>
    </row>
    <row r="24" spans="1:15" ht="15.75" customHeight="1" thickBot="1" x14ac:dyDescent="0.4">
      <c r="A24" s="1"/>
      <c r="B24" s="1"/>
      <c r="C24" s="444" t="s">
        <v>30</v>
      </c>
      <c r="D24" s="347"/>
      <c r="E24" s="347"/>
      <c r="F24" s="347"/>
      <c r="G24" s="347"/>
      <c r="H24" s="347"/>
      <c r="I24" s="57"/>
      <c r="J24" s="54"/>
      <c r="K24" s="58"/>
      <c r="L24" s="54"/>
      <c r="M24" s="58"/>
      <c r="N24" s="2"/>
      <c r="O24" s="1"/>
    </row>
    <row r="25" spans="1:15" ht="15" customHeight="1" x14ac:dyDescent="0.25">
      <c r="A25" s="1"/>
      <c r="B25" s="1"/>
      <c r="C25" s="59" t="s">
        <v>31</v>
      </c>
      <c r="D25" s="389" t="e">
        <f>+$D$42*D22</f>
        <v>#DIV/0!</v>
      </c>
      <c r="E25" s="338"/>
      <c r="F25" s="404" t="e">
        <f t="shared" ref="F25" si="1">+$D$42*F22</f>
        <v>#VALUE!</v>
      </c>
      <c r="G25" s="403"/>
      <c r="H25" s="405" t="e">
        <f t="shared" ref="H25" si="2">+$D$42*H22</f>
        <v>#VALUE!</v>
      </c>
      <c r="I25" s="403"/>
      <c r="J25" s="406" t="e">
        <f t="shared" ref="J25" si="3">+$D$42*J22</f>
        <v>#VALUE!</v>
      </c>
      <c r="K25" s="403"/>
      <c r="L25" s="407" t="e">
        <f t="shared" ref="L25" si="4">+$D$42*L22</f>
        <v>#VALUE!</v>
      </c>
      <c r="M25" s="408"/>
      <c r="N25" s="60" t="s">
        <v>32</v>
      </c>
      <c r="O25" s="1"/>
    </row>
    <row r="26" spans="1:15" ht="15" hidden="1" customHeight="1" x14ac:dyDescent="0.25">
      <c r="A26" s="1"/>
      <c r="B26" s="1"/>
      <c r="C26" s="61"/>
      <c r="D26" s="389" t="e">
        <f>+D22-D25</f>
        <v>#DIV/0!</v>
      </c>
      <c r="E26" s="338"/>
      <c r="F26" s="388" t="e">
        <f t="shared" ref="F26" si="5">+F22-F25</f>
        <v>#VALUE!</v>
      </c>
      <c r="G26" s="338"/>
      <c r="H26" s="385" t="e">
        <f t="shared" ref="H26" si="6">+H22-H25</f>
        <v>#VALUE!</v>
      </c>
      <c r="I26" s="338"/>
      <c r="J26" s="386" t="e">
        <f t="shared" ref="J26" si="7">+J22-J25</f>
        <v>#VALUE!</v>
      </c>
      <c r="K26" s="338"/>
      <c r="L26" s="387" t="e">
        <f t="shared" ref="L26" si="8">+L22-L25</f>
        <v>#VALUE!</v>
      </c>
      <c r="M26" s="354"/>
      <c r="N26" s="62"/>
      <c r="O26" s="1"/>
    </row>
    <row r="27" spans="1:15" ht="15" customHeight="1" x14ac:dyDescent="0.25">
      <c r="A27" s="1"/>
      <c r="B27" s="1"/>
      <c r="C27" s="216">
        <f>+'Preço SFCR-FRONIUS-BYD'!C27</f>
        <v>12</v>
      </c>
      <c r="D27" s="389" t="e">
        <f>+PMT(N27,C27,-$D$26)</f>
        <v>#DIV/0!</v>
      </c>
      <c r="E27" s="338"/>
      <c r="F27" s="388" t="e">
        <f>+PMT(N27,C27,-$F$26)</f>
        <v>#VALUE!</v>
      </c>
      <c r="G27" s="338"/>
      <c r="H27" s="385" t="e">
        <f>+PMT(N27,C27,-$H$26)</f>
        <v>#VALUE!</v>
      </c>
      <c r="I27" s="338"/>
      <c r="J27" s="386" t="e">
        <f>+PMT(N27,C27,-$J$26)</f>
        <v>#VALUE!</v>
      </c>
      <c r="K27" s="338"/>
      <c r="L27" s="387" t="e">
        <f>+PMT(N27,C27,-$L$26)</f>
        <v>#VALUE!</v>
      </c>
      <c r="M27" s="354"/>
      <c r="N27" s="90">
        <f>+'Preço SFCR-FRONIUS-BYD'!N27</f>
        <v>1.6799999999999999E-2</v>
      </c>
      <c r="O27" s="1"/>
    </row>
    <row r="28" spans="1:15" ht="15" customHeight="1" x14ac:dyDescent="0.25">
      <c r="A28" s="1"/>
      <c r="B28" s="1"/>
      <c r="C28" s="218">
        <f>+'Preço SFCR-FRONIUS-BYD'!C28</f>
        <v>24</v>
      </c>
      <c r="D28" s="389" t="e">
        <f t="shared" ref="D28:D31" si="9">+PMT(N28,C28,-$D$26)</f>
        <v>#DIV/0!</v>
      </c>
      <c r="E28" s="338"/>
      <c r="F28" s="388" t="e">
        <f t="shared" ref="F28:F31" si="10">+PMT(N28,C28,-$F$26)</f>
        <v>#VALUE!</v>
      </c>
      <c r="G28" s="338"/>
      <c r="H28" s="385" t="e">
        <f t="shared" ref="H28:H31" si="11">+PMT(N28,C28,-$H$26)</f>
        <v>#VALUE!</v>
      </c>
      <c r="I28" s="338"/>
      <c r="J28" s="386" t="e">
        <f t="shared" ref="J28:J31" si="12">+PMT(N28,C28,-$J$26)</f>
        <v>#VALUE!</v>
      </c>
      <c r="K28" s="338"/>
      <c r="L28" s="387" t="e">
        <f t="shared" ref="L28:L31" si="13">+PMT(N28,C28,-$L$26)</f>
        <v>#VALUE!</v>
      </c>
      <c r="M28" s="354"/>
      <c r="N28" s="90">
        <f>+'Preço SFCR-FRONIUS-BYD'!N28</f>
        <v>1.55E-2</v>
      </c>
      <c r="O28" s="175"/>
    </row>
    <row r="29" spans="1:15" ht="15" customHeight="1" x14ac:dyDescent="0.25">
      <c r="A29" s="1"/>
      <c r="B29" s="1"/>
      <c r="C29" s="216">
        <f>+'Preço SFCR-FRONIUS-BYD'!C29</f>
        <v>36</v>
      </c>
      <c r="D29" s="389" t="e">
        <f t="shared" si="9"/>
        <v>#DIV/0!</v>
      </c>
      <c r="E29" s="338"/>
      <c r="F29" s="388" t="e">
        <f t="shared" si="10"/>
        <v>#VALUE!</v>
      </c>
      <c r="G29" s="338"/>
      <c r="H29" s="385" t="e">
        <f t="shared" si="11"/>
        <v>#VALUE!</v>
      </c>
      <c r="I29" s="338"/>
      <c r="J29" s="386" t="e">
        <f t="shared" si="12"/>
        <v>#VALUE!</v>
      </c>
      <c r="K29" s="338"/>
      <c r="L29" s="387" t="e">
        <f t="shared" si="13"/>
        <v>#VALUE!</v>
      </c>
      <c r="M29" s="354"/>
      <c r="N29" s="90">
        <f>+'Preço SFCR-FRONIUS-BYD'!N29</f>
        <v>1.5800000000000002E-2</v>
      </c>
      <c r="O29" s="175"/>
    </row>
    <row r="30" spans="1:15" ht="15" customHeight="1" x14ac:dyDescent="0.25">
      <c r="A30" s="1"/>
      <c r="B30" s="1"/>
      <c r="C30" s="218">
        <f>+'Preço SFCR-FRONIUS-BYD'!C30</f>
        <v>48</v>
      </c>
      <c r="D30" s="389" t="e">
        <f t="shared" si="9"/>
        <v>#DIV/0!</v>
      </c>
      <c r="E30" s="338"/>
      <c r="F30" s="388" t="e">
        <f t="shared" si="10"/>
        <v>#VALUE!</v>
      </c>
      <c r="G30" s="338"/>
      <c r="H30" s="385" t="e">
        <f t="shared" si="11"/>
        <v>#VALUE!</v>
      </c>
      <c r="I30" s="338"/>
      <c r="J30" s="386" t="e">
        <f t="shared" si="12"/>
        <v>#VALUE!</v>
      </c>
      <c r="K30" s="338"/>
      <c r="L30" s="387" t="e">
        <f t="shared" si="13"/>
        <v>#VALUE!</v>
      </c>
      <c r="M30" s="354"/>
      <c r="N30" s="90">
        <f>+'Preço SFCR-FRONIUS-BYD'!N30</f>
        <v>1.61E-2</v>
      </c>
      <c r="O30" s="175"/>
    </row>
    <row r="31" spans="1:15" ht="15" customHeight="1" x14ac:dyDescent="0.25">
      <c r="A31" s="1"/>
      <c r="B31" s="1"/>
      <c r="C31" s="219">
        <f>+'Preço SFCR-FRONIUS-BYD'!C31</f>
        <v>60</v>
      </c>
      <c r="D31" s="418" t="e">
        <f t="shared" si="9"/>
        <v>#DIV/0!</v>
      </c>
      <c r="E31" s="391"/>
      <c r="F31" s="421" t="e">
        <f t="shared" si="10"/>
        <v>#VALUE!</v>
      </c>
      <c r="G31" s="391"/>
      <c r="H31" s="414" t="e">
        <f t="shared" si="11"/>
        <v>#VALUE!</v>
      </c>
      <c r="I31" s="391"/>
      <c r="J31" s="415" t="e">
        <f t="shared" si="12"/>
        <v>#VALUE!</v>
      </c>
      <c r="K31" s="391"/>
      <c r="L31" s="419" t="e">
        <f t="shared" si="13"/>
        <v>#VALUE!</v>
      </c>
      <c r="M31" s="420"/>
      <c r="N31" s="90">
        <f>+'Preço SFCR-FRONIUS-BYD'!N31</f>
        <v>1.6400000000000001E-2</v>
      </c>
      <c r="O31" s="175"/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1"/>
    </row>
    <row r="33" spans="1:15" ht="14.25" customHeight="1" x14ac:dyDescent="0.25">
      <c r="A33" s="65"/>
      <c r="B33" s="65"/>
      <c r="C33" s="65" t="str">
        <f>+'Preço SFCR-FRONIUS-BYD'!C33</f>
        <v>Observação: Proposta apenas orientativa, caso tenha interesse formalizamos uma proposta.</v>
      </c>
      <c r="D33" s="65"/>
      <c r="E33" s="65"/>
      <c r="F33" s="65"/>
      <c r="G33" s="65"/>
      <c r="H33" s="54"/>
      <c r="I33" s="54"/>
      <c r="J33" s="65"/>
      <c r="K33" s="65"/>
      <c r="L33" s="65"/>
      <c r="M33" s="65"/>
      <c r="N33" s="65"/>
      <c r="O33" s="1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54"/>
      <c r="I34" s="54"/>
      <c r="J34" s="65"/>
      <c r="K34" s="65"/>
      <c r="L34" s="65"/>
      <c r="M34" s="65"/>
      <c r="N34" s="65"/>
      <c r="O34" s="1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1"/>
    </row>
    <row r="36" spans="1:15" ht="14.25" customHeight="1" x14ac:dyDescent="0.25">
      <c r="A36" s="1"/>
      <c r="B36" s="1"/>
      <c r="C36" s="73" t="s">
        <v>34</v>
      </c>
      <c r="D36" s="416" t="e">
        <f>+D22/(D10*1000)</f>
        <v>#DIV/0!</v>
      </c>
      <c r="E36" s="417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1"/>
    </row>
    <row r="37" spans="1:15" ht="14.25" customHeight="1" x14ac:dyDescent="0.25">
      <c r="A37" s="1"/>
      <c r="B37" s="1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1"/>
    </row>
    <row r="38" spans="1:15" ht="14.25" customHeight="1" x14ac:dyDescent="0.25">
      <c r="A38" s="1"/>
      <c r="B38" s="1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1"/>
    </row>
    <row r="39" spans="1:15" ht="14.25" customHeight="1" x14ac:dyDescent="0.25">
      <c r="A39" s="1"/>
      <c r="B39" s="1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1"/>
      <c r="O39" s="1"/>
    </row>
    <row r="40" spans="1:1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 customHeight="1" x14ac:dyDescent="0.25">
      <c r="A42" s="1"/>
      <c r="B42" s="1"/>
      <c r="C42" s="77" t="s">
        <v>38</v>
      </c>
      <c r="D42" s="91">
        <f>+'Preço SFCR-FRONIUS-BYD'!D42</f>
        <v>0</v>
      </c>
      <c r="E42" s="65"/>
      <c r="F42" s="79"/>
      <c r="G42" s="79"/>
      <c r="H42" s="1"/>
      <c r="I42" s="1"/>
      <c r="J42" s="1"/>
      <c r="K42" s="1"/>
      <c r="L42" s="1"/>
      <c r="M42" s="1"/>
      <c r="N42" s="1"/>
      <c r="O42" s="1"/>
    </row>
    <row r="43" spans="1:15" ht="14.25" customHeight="1" x14ac:dyDescent="0.25">
      <c r="A43" s="1"/>
      <c r="B43" s="1"/>
      <c r="C43" s="80" t="s">
        <v>39</v>
      </c>
      <c r="D43" s="81" t="e">
        <f>+'Preço SFCR-FRONIUS-BYD'!D43</f>
        <v>#DIV/0!</v>
      </c>
      <c r="E43" s="82"/>
      <c r="F43" s="83" t="s">
        <v>40</v>
      </c>
      <c r="G43" s="71" t="e">
        <f>+D43/D45</f>
        <v>#DIV/0!</v>
      </c>
      <c r="H43" s="1"/>
      <c r="I43" s="1"/>
      <c r="J43" s="1"/>
      <c r="K43" s="1"/>
      <c r="L43" s="1"/>
      <c r="M43" s="1"/>
      <c r="N43" s="1"/>
      <c r="O43" s="1"/>
    </row>
    <row r="44" spans="1:15" ht="14.25" customHeight="1" x14ac:dyDescent="0.25">
      <c r="A44" s="1"/>
      <c r="B44" s="1"/>
      <c r="C44" s="84" t="s">
        <v>41</v>
      </c>
      <c r="D44" s="97">
        <f>+'Preço SFCR-FRONIUS-BYD'!D44</f>
        <v>0.85</v>
      </c>
      <c r="E44" s="70"/>
      <c r="F44" s="429" t="s">
        <v>42</v>
      </c>
      <c r="G44" s="412"/>
      <c r="H44" s="98">
        <v>0.03</v>
      </c>
      <c r="I44" s="1"/>
      <c r="J44" s="1"/>
      <c r="K44" s="1"/>
      <c r="L44" s="1"/>
      <c r="M44" s="1"/>
      <c r="N44" s="1"/>
      <c r="O44" s="1"/>
    </row>
    <row r="45" spans="1:15" ht="14.25" customHeight="1" x14ac:dyDescent="0.25">
      <c r="A45" s="1"/>
      <c r="B45" s="1"/>
      <c r="C45" s="87" t="s">
        <v>43</v>
      </c>
      <c r="D45" s="97">
        <f>+'Preço SFCR-FRONIUS-BYD'!D45</f>
        <v>120</v>
      </c>
      <c r="E45" s="70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</sheetData>
  <mergeCells count="113">
    <mergeCell ref="L38:M38"/>
    <mergeCell ref="D39:E39"/>
    <mergeCell ref="H31:I31"/>
    <mergeCell ref="J31:K31"/>
    <mergeCell ref="F39:G39"/>
    <mergeCell ref="H39:I39"/>
    <mergeCell ref="J39:K39"/>
    <mergeCell ref="L39:M39"/>
    <mergeCell ref="D37:E37"/>
    <mergeCell ref="F37:G37"/>
    <mergeCell ref="H37:I37"/>
    <mergeCell ref="J37:K37"/>
    <mergeCell ref="L37:M37"/>
    <mergeCell ref="D36:E36"/>
    <mergeCell ref="F36:G36"/>
    <mergeCell ref="H36:I36"/>
    <mergeCell ref="J36:K36"/>
    <mergeCell ref="L36:M36"/>
    <mergeCell ref="D31:E31"/>
    <mergeCell ref="L31:M31"/>
    <mergeCell ref="D26:E26"/>
    <mergeCell ref="F26:G26"/>
    <mergeCell ref="D30:E30"/>
    <mergeCell ref="F30:G30"/>
    <mergeCell ref="H30:I30"/>
    <mergeCell ref="J30:K30"/>
    <mergeCell ref="H26:I26"/>
    <mergeCell ref="J26:K26"/>
    <mergeCell ref="F44:G44"/>
    <mergeCell ref="D38:E38"/>
    <mergeCell ref="F38:G38"/>
    <mergeCell ref="H38:I38"/>
    <mergeCell ref="J38:K38"/>
    <mergeCell ref="F31:G31"/>
    <mergeCell ref="H32:I32"/>
    <mergeCell ref="D29:E29"/>
    <mergeCell ref="D27:E27"/>
    <mergeCell ref="F27:G27"/>
    <mergeCell ref="H27:I27"/>
    <mergeCell ref="J27:K27"/>
    <mergeCell ref="L27:M27"/>
    <mergeCell ref="D28:E28"/>
    <mergeCell ref="F29:G29"/>
    <mergeCell ref="H29:I29"/>
    <mergeCell ref="J29:K29"/>
    <mergeCell ref="L29:M29"/>
    <mergeCell ref="L30:M30"/>
    <mergeCell ref="F28:G28"/>
    <mergeCell ref="H28:I28"/>
    <mergeCell ref="J28:K28"/>
    <mergeCell ref="L28:M28"/>
    <mergeCell ref="D19:E19"/>
    <mergeCell ref="F19:G19"/>
    <mergeCell ref="H19:I19"/>
    <mergeCell ref="J19:K19"/>
    <mergeCell ref="H21:I21"/>
    <mergeCell ref="J21:K21"/>
    <mergeCell ref="L25:M25"/>
    <mergeCell ref="D21:E21"/>
    <mergeCell ref="F21:G21"/>
    <mergeCell ref="L21:M21"/>
    <mergeCell ref="F25:G25"/>
    <mergeCell ref="C24:H24"/>
    <mergeCell ref="D25:E25"/>
    <mergeCell ref="D22:E22"/>
    <mergeCell ref="F22:G22"/>
    <mergeCell ref="H22:I22"/>
    <mergeCell ref="J22:K22"/>
    <mergeCell ref="L22:M22"/>
    <mergeCell ref="D3:I4"/>
    <mergeCell ref="D5:I6"/>
    <mergeCell ref="F11:G11"/>
    <mergeCell ref="H11:I11"/>
    <mergeCell ref="D8:I8"/>
    <mergeCell ref="H13:I13"/>
    <mergeCell ref="C7:F7"/>
    <mergeCell ref="C8:C9"/>
    <mergeCell ref="L26:M26"/>
    <mergeCell ref="H25:I25"/>
    <mergeCell ref="J25:K25"/>
    <mergeCell ref="F18:G18"/>
    <mergeCell ref="H18:I18"/>
    <mergeCell ref="J18:K18"/>
    <mergeCell ref="L18:M18"/>
    <mergeCell ref="L19:M19"/>
    <mergeCell ref="J17:K17"/>
    <mergeCell ref="L17:M17"/>
    <mergeCell ref="D18:E18"/>
    <mergeCell ref="D16:E16"/>
    <mergeCell ref="F16:G16"/>
    <mergeCell ref="H16:I16"/>
    <mergeCell ref="J16:K16"/>
    <mergeCell ref="L16:M16"/>
    <mergeCell ref="D17:E17"/>
    <mergeCell ref="J13:K13"/>
    <mergeCell ref="J10:K10"/>
    <mergeCell ref="L10:M10"/>
    <mergeCell ref="J11:K11"/>
    <mergeCell ref="L11:M11"/>
    <mergeCell ref="F17:G17"/>
    <mergeCell ref="H17:I17"/>
    <mergeCell ref="D12:E12"/>
    <mergeCell ref="F12:G12"/>
    <mergeCell ref="H12:I12"/>
    <mergeCell ref="J12:K12"/>
    <mergeCell ref="L12:M12"/>
    <mergeCell ref="L13:M13"/>
    <mergeCell ref="D11:E11"/>
    <mergeCell ref="D10:E10"/>
    <mergeCell ref="F10:G10"/>
    <mergeCell ref="H10:I10"/>
    <mergeCell ref="D13:E13"/>
    <mergeCell ref="F13:G13"/>
  </mergeCells>
  <dataValidations disablePrompts="1" count="2">
    <dataValidation type="list" allowBlank="1" showErrorMessage="1" sqref="D15" xr:uid="{00000000-0002-0000-0600-000000000000}">
      <formula1>#REF!</formula1>
    </dataValidation>
    <dataValidation type="list" allowBlank="1" showErrorMessage="1" sqref="F15 L15 J15 H15" xr:uid="{00000000-0002-0000-0600-000001000000}">
      <formula1>$C$8:$C$26</formula1>
    </dataValidation>
  </dataValidations>
  <pageMargins left="0.511811024" right="0.511811024" top="0.78740157499999996" bottom="0.78740157499999996" header="0" footer="0"/>
  <pageSetup paperSize="9" fitToHeight="0" orientation="portrait" r:id="rId1"/>
  <ignoredErrors>
    <ignoredError sqref="C10:N10 C12:N21 C11:D11 N11 C23:N40 C22 N22" evalError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10"/>
  <sheetViews>
    <sheetView zoomScale="85" zoomScaleNormal="85" workbookViewId="0">
      <selection activeCell="I10" sqref="I10"/>
    </sheetView>
  </sheetViews>
  <sheetFormatPr defaultColWidth="14.42578125" defaultRowHeight="15" customHeight="1" x14ac:dyDescent="0.25"/>
  <cols>
    <col min="1" max="1" width="4" customWidth="1"/>
    <col min="2" max="2" width="12.42578125" customWidth="1"/>
    <col min="3" max="3" width="8.28515625" bestFit="1" customWidth="1"/>
    <col min="4" max="4" width="8.28515625" style="197" customWidth="1"/>
    <col min="5" max="5" width="9" customWidth="1"/>
    <col min="6" max="6" width="15.85546875" customWidth="1"/>
    <col min="7" max="7" width="28" customWidth="1"/>
    <col min="8" max="8" width="15.140625" customWidth="1"/>
    <col min="9" max="9" width="15.140625" style="141" customWidth="1"/>
    <col min="10" max="10" width="15" bestFit="1" customWidth="1"/>
    <col min="11" max="17" width="15.7109375" customWidth="1"/>
    <col min="18" max="18" width="15" customWidth="1"/>
    <col min="19" max="19" width="1.42578125" customWidth="1"/>
  </cols>
  <sheetData>
    <row r="1" spans="1:19" ht="15.75" thickBot="1" x14ac:dyDescent="0.3">
      <c r="A1" s="1"/>
      <c r="B1" s="1"/>
      <c r="C1" s="1"/>
      <c r="D1" s="199"/>
      <c r="E1" s="1"/>
      <c r="F1" s="1"/>
      <c r="G1" s="1"/>
      <c r="H1" s="1"/>
      <c r="I1" s="142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.75" customHeight="1" x14ac:dyDescent="0.25">
      <c r="A2" s="1"/>
      <c r="B2" s="340" t="s">
        <v>49</v>
      </c>
      <c r="C2" s="341"/>
      <c r="D2" s="342"/>
      <c r="E2" s="328" t="s">
        <v>50</v>
      </c>
      <c r="F2" s="329"/>
      <c r="G2" s="329"/>
      <c r="H2" s="329"/>
      <c r="I2" s="330"/>
      <c r="J2" s="329"/>
      <c r="K2" s="329"/>
      <c r="L2" s="329"/>
      <c r="M2" s="329"/>
      <c r="N2" s="329"/>
      <c r="O2" s="329"/>
      <c r="P2" s="329"/>
      <c r="Q2" s="329"/>
      <c r="R2" s="330"/>
      <c r="S2" s="1"/>
    </row>
    <row r="3" spans="1:19" ht="18.75" customHeight="1" thickBot="1" x14ac:dyDescent="0.3">
      <c r="A3" s="1"/>
      <c r="B3" s="343">
        <v>0.33500000000000002</v>
      </c>
      <c r="C3" s="344"/>
      <c r="D3" s="345"/>
      <c r="E3" s="331" t="s">
        <v>51</v>
      </c>
      <c r="F3" s="332"/>
      <c r="G3" s="332"/>
      <c r="H3" s="332"/>
      <c r="I3" s="333"/>
      <c r="J3" s="332"/>
      <c r="K3" s="332"/>
      <c r="L3" s="332"/>
      <c r="M3" s="332"/>
      <c r="N3" s="332"/>
      <c r="O3" s="332"/>
      <c r="P3" s="332"/>
      <c r="Q3" s="332"/>
      <c r="R3" s="333"/>
      <c r="S3" s="101"/>
    </row>
    <row r="4" spans="1:19" ht="30" customHeight="1" x14ac:dyDescent="0.25">
      <c r="A4" s="1"/>
      <c r="B4" s="339" t="s">
        <v>52</v>
      </c>
      <c r="C4" s="326" t="s">
        <v>53</v>
      </c>
      <c r="D4" s="326" t="s">
        <v>225</v>
      </c>
      <c r="E4" s="326" t="s">
        <v>54</v>
      </c>
      <c r="F4" s="334" t="s">
        <v>55</v>
      </c>
      <c r="G4" s="326" t="s">
        <v>56</v>
      </c>
      <c r="H4" s="326" t="s">
        <v>57</v>
      </c>
      <c r="I4" s="225" t="s">
        <v>233</v>
      </c>
      <c r="J4" s="326" t="s">
        <v>58</v>
      </c>
      <c r="K4" s="326" t="s">
        <v>59</v>
      </c>
      <c r="L4" s="326" t="s">
        <v>60</v>
      </c>
      <c r="M4" s="326" t="s">
        <v>61</v>
      </c>
      <c r="N4" s="326" t="s">
        <v>62</v>
      </c>
      <c r="O4" s="326" t="s">
        <v>63</v>
      </c>
      <c r="P4" s="326" t="s">
        <v>64</v>
      </c>
      <c r="Q4" s="326" t="s">
        <v>65</v>
      </c>
      <c r="R4" s="326" t="s">
        <v>66</v>
      </c>
      <c r="S4" s="102"/>
    </row>
    <row r="5" spans="1:19" x14ac:dyDescent="0.25">
      <c r="A5" s="1"/>
      <c r="B5" s="327"/>
      <c r="C5" s="327"/>
      <c r="D5" s="336"/>
      <c r="E5" s="327"/>
      <c r="F5" s="335"/>
      <c r="G5" s="327"/>
      <c r="H5" s="327"/>
      <c r="I5" s="226">
        <v>1.4999999999999999E-2</v>
      </c>
      <c r="J5" s="327"/>
      <c r="K5" s="327"/>
      <c r="L5" s="335"/>
      <c r="M5" s="335"/>
      <c r="N5" s="335"/>
      <c r="O5" s="335"/>
      <c r="P5" s="327"/>
      <c r="Q5" s="327"/>
      <c r="R5" s="327"/>
      <c r="S5" s="102"/>
    </row>
    <row r="6" spans="1:19" s="174" customFormat="1" x14ac:dyDescent="0.25">
      <c r="A6" s="175"/>
      <c r="B6" s="103" t="s">
        <v>67</v>
      </c>
      <c r="C6" s="104">
        <f t="shared" ref="C6" si="0">+E6*$B$3</f>
        <v>1.0050000000000001</v>
      </c>
      <c r="D6" s="205" t="e">
        <f>ABS('Preço SFCR-GROWATT BYD'!$G$43-C6)</f>
        <v>#DIV/0!</v>
      </c>
      <c r="E6" s="105">
        <f>+'FRONIUS-BYD 335Wp'!E6</f>
        <v>3</v>
      </c>
      <c r="F6" s="112" t="str">
        <f>+IF(K6=0,"",ROUND(M6/(1-'Tabela de BDI'!$C$3),0))</f>
        <v/>
      </c>
      <c r="G6" s="107"/>
      <c r="H6" s="106"/>
      <c r="I6" s="146"/>
      <c r="J6" s="138">
        <f>+I6/(1-$I$5)</f>
        <v>0</v>
      </c>
      <c r="K6" s="106">
        <f t="shared" ref="K6" si="1">IF(J6="",0,H6+J6)</f>
        <v>0</v>
      </c>
      <c r="L6" s="106">
        <f>+'FRONIUS-BYD 335Wp'!L6</f>
        <v>2500</v>
      </c>
      <c r="M6" s="106">
        <f t="shared" ref="M6" si="2">+K6+L6</f>
        <v>2500</v>
      </c>
      <c r="N6" s="106" t="str">
        <f>IF(F6="","",F6*'Tabela de BDI'!$C$7)</f>
        <v/>
      </c>
      <c r="O6" s="106" t="str">
        <f>IF(F6="","",F6*'Tabela de BDI'!$C$8)</f>
        <v/>
      </c>
      <c r="P6" s="109" t="str">
        <f t="shared" ref="P6" si="3">IF(F6="","",(F6-K6)/K6)</f>
        <v/>
      </c>
      <c r="Q6" s="110" t="str">
        <f t="shared" ref="Q6" si="4">IF(F6="","",(F6/C6)/1000)</f>
        <v/>
      </c>
      <c r="R6" s="111">
        <f>+'Tabela de BDI'!$F$9*C6</f>
        <v>120.60000000000001</v>
      </c>
      <c r="S6" s="102"/>
    </row>
    <row r="7" spans="1:19" x14ac:dyDescent="0.25">
      <c r="A7" s="1"/>
      <c r="B7" s="103" t="s">
        <v>67</v>
      </c>
      <c r="C7" s="104">
        <f t="shared" ref="C7:C63" si="5">+E7*$B$3</f>
        <v>1.34</v>
      </c>
      <c r="D7" s="205" t="e">
        <f>ABS('Preço SFCR-GROWATT BYD'!$G$43-C7)</f>
        <v>#DIV/0!</v>
      </c>
      <c r="E7" s="105">
        <f>+'FRONIUS-BYD 335Wp'!E7</f>
        <v>4</v>
      </c>
      <c r="F7" s="112" t="str">
        <f>+IF(K7=0,"",ROUND(M7/(1-'Tabela de BDI'!$C$3),0))</f>
        <v/>
      </c>
      <c r="G7" s="107" t="s">
        <v>194</v>
      </c>
      <c r="H7" s="106"/>
      <c r="I7" s="146"/>
      <c r="J7" s="138">
        <f t="shared" ref="J7:J63" si="6">+I7/(1-$I$5)</f>
        <v>0</v>
      </c>
      <c r="K7" s="106">
        <f t="shared" ref="K7:K69" si="7">IF(J7="",0,H7+J7)</f>
        <v>0</v>
      </c>
      <c r="L7" s="106">
        <f>+'FRONIUS-BYD 335Wp'!L7</f>
        <v>2625</v>
      </c>
      <c r="M7" s="106">
        <f t="shared" ref="M7:M63" si="8">+K7+L7</f>
        <v>2625</v>
      </c>
      <c r="N7" s="106" t="str">
        <f>IF(F7="","",F7*'Tabela de BDI'!$C$7)</f>
        <v/>
      </c>
      <c r="O7" s="106" t="str">
        <f>IF(F7="","",F7*'Tabela de BDI'!$C$8)</f>
        <v/>
      </c>
      <c r="P7" s="109" t="str">
        <f t="shared" ref="P7:P69" si="9">IF(F7="","",(F7-K7)/K7)</f>
        <v/>
      </c>
      <c r="Q7" s="110" t="str">
        <f t="shared" ref="Q7:Q69" si="10">IF(F7="","",(F7/C7)/1000)</f>
        <v/>
      </c>
      <c r="R7" s="111">
        <f>+'Tabela de BDI'!$F$9*C7</f>
        <v>160.80000000000001</v>
      </c>
      <c r="S7" s="102"/>
    </row>
    <row r="8" spans="1:19" s="174" customFormat="1" x14ac:dyDescent="0.25">
      <c r="A8" s="175"/>
      <c r="B8" s="103" t="s">
        <v>67</v>
      </c>
      <c r="C8" s="104">
        <f t="shared" ref="C8" si="11">+E8*$B$3</f>
        <v>1.675</v>
      </c>
      <c r="D8" s="205" t="e">
        <f>ABS('Preço SFCR-GROWATT BYD'!$G$43-C8)</f>
        <v>#DIV/0!</v>
      </c>
      <c r="E8" s="105">
        <f>+'FRONIUS-BYD 335Wp'!E8</f>
        <v>5</v>
      </c>
      <c r="F8" s="112" t="str">
        <f>+IF(K8=0,"",ROUND(M8/(1-'Tabela de BDI'!$C$3),0))</f>
        <v/>
      </c>
      <c r="G8" s="107"/>
      <c r="H8" s="106"/>
      <c r="I8" s="146"/>
      <c r="J8" s="138">
        <f t="shared" si="6"/>
        <v>0</v>
      </c>
      <c r="K8" s="106">
        <f t="shared" ref="K8" si="12">IF(J8="",0,H8+J8)</f>
        <v>0</v>
      </c>
      <c r="L8" s="106">
        <f>+'FRONIUS-BYD 335Wp'!L8</f>
        <v>2750</v>
      </c>
      <c r="M8" s="106">
        <f t="shared" ref="M8" si="13">+K8+L8</f>
        <v>2750</v>
      </c>
      <c r="N8" s="106" t="str">
        <f>IF(F8="","",F8*'Tabela de BDI'!$C$7)</f>
        <v/>
      </c>
      <c r="O8" s="106" t="str">
        <f>IF(F8="","",F8*'Tabela de BDI'!$C$8)</f>
        <v/>
      </c>
      <c r="P8" s="109" t="str">
        <f t="shared" ref="P8" si="14">IF(F8="","",(F8-K8)/K8)</f>
        <v/>
      </c>
      <c r="Q8" s="110" t="str">
        <f t="shared" ref="Q8" si="15">IF(F8="","",(F8/C8)/1000)</f>
        <v/>
      </c>
      <c r="R8" s="111">
        <f>+'Tabela de BDI'!$F$9*C8</f>
        <v>201</v>
      </c>
      <c r="S8" s="102"/>
    </row>
    <row r="9" spans="1:19" x14ac:dyDescent="0.25">
      <c r="A9" s="1"/>
      <c r="B9" s="103" t="s">
        <v>67</v>
      </c>
      <c r="C9" s="104">
        <f t="shared" si="5"/>
        <v>2.0100000000000002</v>
      </c>
      <c r="D9" s="205" t="e">
        <f>ABS('Preço SFCR-GROWATT BYD'!$G$43-C9)</f>
        <v>#DIV/0!</v>
      </c>
      <c r="E9" s="105">
        <f>+'FRONIUS-BYD 335Wp'!E9</f>
        <v>6</v>
      </c>
      <c r="F9" s="112">
        <f>+IF(K9=0,"",ROUND(M9/(1-'Tabela de BDI'!$C$3),0))</f>
        <v>10625</v>
      </c>
      <c r="G9" s="107" t="s">
        <v>196</v>
      </c>
      <c r="H9" s="106"/>
      <c r="I9" s="143">
        <v>6273.47</v>
      </c>
      <c r="J9" s="138">
        <f t="shared" si="6"/>
        <v>6369.0050761421326</v>
      </c>
      <c r="K9" s="106">
        <f t="shared" si="7"/>
        <v>6369.0050761421326</v>
      </c>
      <c r="L9" s="106">
        <f>+'FRONIUS-BYD 335Wp'!L9</f>
        <v>2875</v>
      </c>
      <c r="M9" s="106">
        <f t="shared" si="8"/>
        <v>9244.0050761421335</v>
      </c>
      <c r="N9" s="106">
        <f>IF(F9="","",F9*'Tabela de BDI'!$C$7)</f>
        <v>850</v>
      </c>
      <c r="O9" s="106">
        <f>IF(F9="","",F9*'Tabela de BDI'!$C$8)</f>
        <v>531.25</v>
      </c>
      <c r="P9" s="109">
        <f t="shared" si="9"/>
        <v>0.66823544226719811</v>
      </c>
      <c r="Q9" s="110">
        <f t="shared" si="10"/>
        <v>5.2860696517412924</v>
      </c>
      <c r="R9" s="111">
        <f>+'Tabela de BDI'!$F$9*C9</f>
        <v>241.20000000000002</v>
      </c>
      <c r="S9" s="102"/>
    </row>
    <row r="10" spans="1:19" s="174" customFormat="1" x14ac:dyDescent="0.25">
      <c r="A10" s="175"/>
      <c r="B10" s="103" t="s">
        <v>67</v>
      </c>
      <c r="C10" s="104">
        <f t="shared" ref="C10" si="16">+E10*$B$3</f>
        <v>2.3450000000000002</v>
      </c>
      <c r="D10" s="205" t="e">
        <f>ABS('Preço SFCR-GROWATT BYD'!$G$43-C10)</f>
        <v>#DIV/0!</v>
      </c>
      <c r="E10" s="105">
        <f>+'FRONIUS-BYD 335Wp'!E10</f>
        <v>7</v>
      </c>
      <c r="F10" s="112" t="str">
        <f>+IF(K10=0,"",ROUND(M10/(1-'Tabela de BDI'!$C$3),0))</f>
        <v/>
      </c>
      <c r="G10" s="107"/>
      <c r="H10" s="106"/>
      <c r="I10" s="146"/>
      <c r="J10" s="138">
        <f t="shared" si="6"/>
        <v>0</v>
      </c>
      <c r="K10" s="106">
        <f t="shared" ref="K10" si="17">IF(J10="",0,H10+J10)</f>
        <v>0</v>
      </c>
      <c r="L10" s="106">
        <f>+'FRONIUS-BYD 335Wp'!L10</f>
        <v>3000</v>
      </c>
      <c r="M10" s="106">
        <f t="shared" ref="M10" si="18">+K10+L10</f>
        <v>3000</v>
      </c>
      <c r="N10" s="106" t="str">
        <f>IF(F10="","",F10*'Tabela de BDI'!$C$7)</f>
        <v/>
      </c>
      <c r="O10" s="106" t="str">
        <f>IF(F10="","",F10*'Tabela de BDI'!$C$8)</f>
        <v/>
      </c>
      <c r="P10" s="109" t="str">
        <f t="shared" ref="P10" si="19">IF(F10="","",(F10-K10)/K10)</f>
        <v/>
      </c>
      <c r="Q10" s="110" t="str">
        <f t="shared" ref="Q10" si="20">IF(F10="","",(F10/C10)/1000)</f>
        <v/>
      </c>
      <c r="R10" s="111">
        <f>+'Tabela de BDI'!$F$9*C10</f>
        <v>281.40000000000003</v>
      </c>
      <c r="S10" s="102"/>
    </row>
    <row r="11" spans="1:19" x14ac:dyDescent="0.25">
      <c r="A11" s="1"/>
      <c r="B11" s="103" t="s">
        <v>67</v>
      </c>
      <c r="C11" s="104">
        <f t="shared" si="5"/>
        <v>2.68</v>
      </c>
      <c r="D11" s="205" t="e">
        <f>ABS('Preço SFCR-GROWATT BYD'!$G$43-C11)</f>
        <v>#DIV/0!</v>
      </c>
      <c r="E11" s="105">
        <f>+'FRONIUS-BYD 335Wp'!E11</f>
        <v>8</v>
      </c>
      <c r="F11" s="112">
        <f>+IF(K11=0,"",ROUND(M11/(1-'Tabela de BDI'!$C$3),0))</f>
        <v>12855</v>
      </c>
      <c r="G11" s="107" t="s">
        <v>223</v>
      </c>
      <c r="H11" s="106"/>
      <c r="I11" s="143">
        <v>7938.12</v>
      </c>
      <c r="J11" s="138">
        <f t="shared" si="6"/>
        <v>8059.0050761421317</v>
      </c>
      <c r="K11" s="106">
        <f t="shared" si="7"/>
        <v>8059.0050761421317</v>
      </c>
      <c r="L11" s="106">
        <f>+'FRONIUS-BYD 335Wp'!L11</f>
        <v>3125</v>
      </c>
      <c r="M11" s="106">
        <f t="shared" si="8"/>
        <v>11184.005076142132</v>
      </c>
      <c r="N11" s="106">
        <f>IF(F11="","",F11*'Tabela de BDI'!$C$7)</f>
        <v>1028.4000000000001</v>
      </c>
      <c r="O11" s="106">
        <f>IF(F11="","",F11*'Tabela de BDI'!$C$8)</f>
        <v>642.75</v>
      </c>
      <c r="P11" s="109">
        <f t="shared" si="9"/>
        <v>0.59511005124639094</v>
      </c>
      <c r="Q11" s="110">
        <f t="shared" si="10"/>
        <v>4.7966417910447765</v>
      </c>
      <c r="R11" s="111">
        <f>+'Tabela de BDI'!$F$9*C11</f>
        <v>321.60000000000002</v>
      </c>
      <c r="S11" s="102"/>
    </row>
    <row r="12" spans="1:19" s="174" customFormat="1" x14ac:dyDescent="0.25">
      <c r="A12" s="175"/>
      <c r="B12" s="103" t="s">
        <v>67</v>
      </c>
      <c r="C12" s="104">
        <f t="shared" ref="C12" si="21">+E12*$B$3</f>
        <v>3.0150000000000001</v>
      </c>
      <c r="D12" s="205" t="e">
        <f>ABS('Preço SFCR-GROWATT BYD'!$G$43-C12)</f>
        <v>#DIV/0!</v>
      </c>
      <c r="E12" s="105">
        <f>+'FRONIUS-BYD 335Wp'!E12</f>
        <v>9</v>
      </c>
      <c r="F12" s="112" t="str">
        <f>+IF(K12=0,"",ROUND(M12/(1-'Tabela de BDI'!$C$3),0))</f>
        <v/>
      </c>
      <c r="G12" s="107"/>
      <c r="H12" s="106"/>
      <c r="I12" s="146"/>
      <c r="J12" s="138">
        <f t="shared" si="6"/>
        <v>0</v>
      </c>
      <c r="K12" s="106">
        <f t="shared" ref="K12" si="22">IF(J12="",0,H12+J12)</f>
        <v>0</v>
      </c>
      <c r="L12" s="106">
        <f>+'FRONIUS-BYD 335Wp'!L12</f>
        <v>3250</v>
      </c>
      <c r="M12" s="106">
        <f t="shared" ref="M12" si="23">+K12+L12</f>
        <v>3250</v>
      </c>
      <c r="N12" s="106" t="str">
        <f>IF(F12="","",F12*'Tabela de BDI'!$C$7)</f>
        <v/>
      </c>
      <c r="O12" s="106" t="str">
        <f>IF(F12="","",F12*'Tabela de BDI'!$C$8)</f>
        <v/>
      </c>
      <c r="P12" s="109" t="str">
        <f t="shared" ref="P12" si="24">IF(F12="","",(F12-K12)/K12)</f>
        <v/>
      </c>
      <c r="Q12" s="110" t="str">
        <f t="shared" ref="Q12" si="25">IF(F12="","",(F12/C12)/1000)</f>
        <v/>
      </c>
      <c r="R12" s="111">
        <f>+'Tabela de BDI'!$F$9*C12</f>
        <v>361.8</v>
      </c>
      <c r="S12" s="102"/>
    </row>
    <row r="13" spans="1:19" x14ac:dyDescent="0.25">
      <c r="A13" s="1"/>
      <c r="B13" s="103" t="s">
        <v>67</v>
      </c>
      <c r="C13" s="104">
        <f t="shared" si="5"/>
        <v>3.35</v>
      </c>
      <c r="D13" s="205" t="e">
        <f>ABS('Preço SFCR-GROWATT BYD'!$G$43-C13)</f>
        <v>#DIV/0!</v>
      </c>
      <c r="E13" s="105">
        <f>+'FRONIUS-BYD 335Wp'!E13</f>
        <v>10</v>
      </c>
      <c r="F13" s="112">
        <f>+IF(K13=0,"",ROUND(M13/(1-'Tabela de BDI'!$C$3),0))</f>
        <v>15177</v>
      </c>
      <c r="G13" s="230" t="s">
        <v>271</v>
      </c>
      <c r="H13" s="106"/>
      <c r="I13" s="146">
        <v>9681.57</v>
      </c>
      <c r="J13" s="138">
        <f t="shared" si="6"/>
        <v>9829.0050761421317</v>
      </c>
      <c r="K13" s="106">
        <f t="shared" si="7"/>
        <v>9829.0050761421317</v>
      </c>
      <c r="L13" s="106">
        <f>+'FRONIUS-BYD 335Wp'!L13</f>
        <v>3375</v>
      </c>
      <c r="M13" s="106">
        <f t="shared" si="8"/>
        <v>13204.005076142132</v>
      </c>
      <c r="N13" s="106">
        <f>IF(F13="","",F13*'Tabela de BDI'!$C$7)</f>
        <v>1214.1600000000001</v>
      </c>
      <c r="O13" s="106">
        <f>IF(F13="","",F13*'Tabela de BDI'!$C$8)</f>
        <v>758.85</v>
      </c>
      <c r="P13" s="109">
        <f t="shared" si="9"/>
        <v>0.54410338405857728</v>
      </c>
      <c r="Q13" s="110">
        <f t="shared" si="10"/>
        <v>4.5304477611940301</v>
      </c>
      <c r="R13" s="111">
        <f>+'Tabela de BDI'!$F$9*C13</f>
        <v>402</v>
      </c>
      <c r="S13" s="114"/>
    </row>
    <row r="14" spans="1:19" s="139" customFormat="1" x14ac:dyDescent="0.25">
      <c r="A14" s="140"/>
      <c r="B14" s="103" t="s">
        <v>67</v>
      </c>
      <c r="C14" s="104">
        <f t="shared" ref="C14:C15" si="26">+E14*$B$3</f>
        <v>3.6850000000000001</v>
      </c>
      <c r="D14" s="205" t="e">
        <f>ABS('Preço SFCR-GROWATT BYD'!$G$43-C14)</f>
        <v>#DIV/0!</v>
      </c>
      <c r="E14" s="105">
        <f>+'FRONIUS-BYD 335Wp'!E14</f>
        <v>11</v>
      </c>
      <c r="F14" s="112">
        <f>+IF(K14=0,"",ROUND(M14/(1-'Tabela de BDI'!$C$3),0))</f>
        <v>17620</v>
      </c>
      <c r="G14" s="107" t="s">
        <v>195</v>
      </c>
      <c r="H14" s="106"/>
      <c r="I14" s="146">
        <v>11651.57</v>
      </c>
      <c r="J14" s="138">
        <f t="shared" si="6"/>
        <v>11829.005076142132</v>
      </c>
      <c r="K14" s="106">
        <f t="shared" ref="K14" si="27">IF(J14="",0,H14+J14)</f>
        <v>11829.005076142132</v>
      </c>
      <c r="L14" s="106">
        <f>+'FRONIUS-BYD 335Wp'!L14</f>
        <v>3500</v>
      </c>
      <c r="M14" s="106">
        <f t="shared" ref="M14" si="28">+K14+L14</f>
        <v>15329.005076142132</v>
      </c>
      <c r="N14" s="106">
        <f>IF(F14="","",F14*'Tabela de BDI'!$C$7)</f>
        <v>1409.6000000000001</v>
      </c>
      <c r="O14" s="106">
        <f>IF(F14="","",F14*'Tabela de BDI'!$C$8)</f>
        <v>881</v>
      </c>
      <c r="P14" s="109">
        <f t="shared" ref="P14" si="29">IF(F14="","",(F14-K14)/K14)</f>
        <v>0.48955891781107613</v>
      </c>
      <c r="Q14" s="110">
        <f t="shared" ref="Q14" si="30">IF(F14="","",(F14/C14)/1000)</f>
        <v>4.7815468113975577</v>
      </c>
      <c r="R14" s="111">
        <f>+'Tabela de BDI'!$F$9*C14</f>
        <v>442.2</v>
      </c>
      <c r="S14" s="114"/>
    </row>
    <row r="15" spans="1:19" x14ac:dyDescent="0.25">
      <c r="A15" s="1"/>
      <c r="B15" s="103" t="s">
        <v>67</v>
      </c>
      <c r="C15" s="104">
        <f t="shared" si="26"/>
        <v>4.0200000000000005</v>
      </c>
      <c r="D15" s="205" t="e">
        <f>ABS('Preço SFCR-GROWATT BYD'!$G$43-C15)</f>
        <v>#DIV/0!</v>
      </c>
      <c r="E15" s="105">
        <f>+'FRONIUS-BYD 335Wp'!E15</f>
        <v>12</v>
      </c>
      <c r="F15" s="112">
        <f>+IF(K15=0,"",ROUND(M15/(1-'Tabela de BDI'!$C$3),0))</f>
        <v>18510</v>
      </c>
      <c r="G15" s="107" t="s">
        <v>195</v>
      </c>
      <c r="H15" s="106"/>
      <c r="I15" s="146">
        <v>12291.82</v>
      </c>
      <c r="J15" s="138">
        <f t="shared" si="6"/>
        <v>12479.005076142132</v>
      </c>
      <c r="K15" s="106">
        <f t="shared" si="7"/>
        <v>12479.005076142132</v>
      </c>
      <c r="L15" s="106">
        <f>+'FRONIUS-BYD 335Wp'!L15</f>
        <v>3625</v>
      </c>
      <c r="M15" s="106">
        <f t="shared" si="8"/>
        <v>16104.005076142132</v>
      </c>
      <c r="N15" s="106">
        <f>IF(F15="","",F15*'Tabela de BDI'!$C$7)</f>
        <v>1480.8</v>
      </c>
      <c r="O15" s="106">
        <f>IF(F15="","",F15*'Tabela de BDI'!$C$8)</f>
        <v>925.5</v>
      </c>
      <c r="P15" s="109">
        <f t="shared" si="9"/>
        <v>0.48329132707768258</v>
      </c>
      <c r="Q15" s="110">
        <f t="shared" si="10"/>
        <v>4.6044776119402977</v>
      </c>
      <c r="R15" s="111">
        <f>+'Tabela de BDI'!$F$9*C15</f>
        <v>482.40000000000003</v>
      </c>
      <c r="S15" s="114"/>
    </row>
    <row r="16" spans="1:19" s="286" customFormat="1" x14ac:dyDescent="0.25">
      <c r="A16" s="288"/>
      <c r="B16" s="103" t="s">
        <v>67</v>
      </c>
      <c r="C16" s="104">
        <f t="shared" ref="C16" si="31">+E16*$B$3</f>
        <v>4.3550000000000004</v>
      </c>
      <c r="D16" s="205" t="e">
        <f>ABS('Preço SFCR-GROWATT BYD'!$G$43-C16)</f>
        <v>#DIV/0!</v>
      </c>
      <c r="E16" s="105">
        <f>+'FRONIUS-BYD 335Wp'!E16</f>
        <v>13</v>
      </c>
      <c r="F16" s="112" t="str">
        <f>+IF(K16=0,"",ROUND(M16/(1-'Tabela de BDI'!$C$3),0))</f>
        <v/>
      </c>
      <c r="G16" s="107"/>
      <c r="H16" s="106"/>
      <c r="I16" s="146"/>
      <c r="J16" s="138">
        <f t="shared" ref="J16" si="32">+I16/(1-$I$5)</f>
        <v>0</v>
      </c>
      <c r="K16" s="106">
        <f t="shared" ref="K16" si="33">IF(J16="",0,H16+J16)</f>
        <v>0</v>
      </c>
      <c r="L16" s="106">
        <f>+'FRONIUS-BYD 335Wp'!L16</f>
        <v>3750</v>
      </c>
      <c r="M16" s="106">
        <f t="shared" ref="M16" si="34">+K16+L16</f>
        <v>3750</v>
      </c>
      <c r="N16" s="106" t="str">
        <f>IF(F16="","",F16*'Tabela de BDI'!$C$7)</f>
        <v/>
      </c>
      <c r="O16" s="106" t="str">
        <f>IF(F16="","",F16*'Tabela de BDI'!$C$8)</f>
        <v/>
      </c>
      <c r="P16" s="109" t="str">
        <f t="shared" ref="P16" si="35">IF(F16="","",(F16-K16)/K16)</f>
        <v/>
      </c>
      <c r="Q16" s="110" t="str">
        <f t="shared" ref="Q16" si="36">IF(F16="","",(F16/C16)/1000)</f>
        <v/>
      </c>
      <c r="R16" s="111">
        <f>+'Tabela de BDI'!$F$9*C16</f>
        <v>522.6</v>
      </c>
      <c r="S16" s="114"/>
    </row>
    <row r="17" spans="1:19" x14ac:dyDescent="0.25">
      <c r="A17" s="1"/>
      <c r="B17" s="103" t="s">
        <v>67</v>
      </c>
      <c r="C17" s="104">
        <f t="shared" si="5"/>
        <v>4.6900000000000004</v>
      </c>
      <c r="D17" s="205" t="e">
        <f>ABS('Preço SFCR-GROWATT BYD'!$G$43-C17)</f>
        <v>#DIV/0!</v>
      </c>
      <c r="E17" s="105">
        <f>+'FRONIUS-BYD 335Wp'!E17</f>
        <v>14</v>
      </c>
      <c r="F17" s="112">
        <f>+IF(K17=0,"",ROUND(M17/(1-'Tabela de BDI'!$C$3),0))</f>
        <v>21223</v>
      </c>
      <c r="G17" s="107" t="s">
        <v>80</v>
      </c>
      <c r="H17" s="106"/>
      <c r="I17" s="143">
        <v>14370.17</v>
      </c>
      <c r="J17" s="138">
        <f t="shared" si="6"/>
        <v>14589.005076142132</v>
      </c>
      <c r="K17" s="106">
        <f t="shared" si="7"/>
        <v>14589.005076142132</v>
      </c>
      <c r="L17" s="106">
        <f>+'FRONIUS-BYD 335Wp'!L17</f>
        <v>3875</v>
      </c>
      <c r="M17" s="106">
        <f t="shared" si="8"/>
        <v>18464.00507614213</v>
      </c>
      <c r="N17" s="106">
        <f>IF(F17="","",F17*'Tabela de BDI'!$C$7)</f>
        <v>1697.8400000000001</v>
      </c>
      <c r="O17" s="106">
        <f>IF(F17="","",F17*'Tabela de BDI'!$C$8)</f>
        <v>1061.1500000000001</v>
      </c>
      <c r="P17" s="109">
        <f t="shared" si="9"/>
        <v>0.45472565738609916</v>
      </c>
      <c r="Q17" s="110">
        <f t="shared" si="10"/>
        <v>4.5251599147121535</v>
      </c>
      <c r="R17" s="111">
        <f>+'Tabela de BDI'!$F$9*C17</f>
        <v>562.80000000000007</v>
      </c>
      <c r="S17" s="114"/>
    </row>
    <row r="18" spans="1:19" s="207" customFormat="1" x14ac:dyDescent="0.25">
      <c r="A18" s="208"/>
      <c r="B18" s="103" t="s">
        <v>67</v>
      </c>
      <c r="C18" s="104">
        <f t="shared" ref="C18" si="37">+E18*$B$3</f>
        <v>5.0250000000000004</v>
      </c>
      <c r="D18" s="205" t="e">
        <f>ABS('Preço SFCR-GROWATT BYD'!$G$43-C18)</f>
        <v>#DIV/0!</v>
      </c>
      <c r="E18" s="105">
        <f>+'FRONIUS-BYD 335Wp'!E18</f>
        <v>15</v>
      </c>
      <c r="F18" s="112" t="str">
        <f>+IF(K18=0,"",ROUND(M18/(1-'Tabela de BDI'!$C$3),0))</f>
        <v/>
      </c>
      <c r="G18" s="107"/>
      <c r="H18" s="106"/>
      <c r="I18" s="143"/>
      <c r="J18" s="138">
        <f t="shared" si="6"/>
        <v>0</v>
      </c>
      <c r="K18" s="106">
        <f t="shared" ref="K18" si="38">IF(J18="",0,H18+J18)</f>
        <v>0</v>
      </c>
      <c r="L18" s="106">
        <f>+'FRONIUS-BYD 335Wp'!L18</f>
        <v>4000</v>
      </c>
      <c r="M18" s="106">
        <f t="shared" ref="M18" si="39">+K18+L18</f>
        <v>4000</v>
      </c>
      <c r="N18" s="106" t="str">
        <f>IF(F18="","",F18*'Tabela de BDI'!$C$7)</f>
        <v/>
      </c>
      <c r="O18" s="106" t="str">
        <f>IF(F18="","",F18*'Tabela de BDI'!$C$8)</f>
        <v/>
      </c>
      <c r="P18" s="109" t="str">
        <f t="shared" ref="P18" si="40">IF(F18="","",(F18-K18)/K18)</f>
        <v/>
      </c>
      <c r="Q18" s="110" t="str">
        <f t="shared" ref="Q18" si="41">IF(F18="","",(F18/C18)/1000)</f>
        <v/>
      </c>
      <c r="R18" s="111">
        <f>+'Tabela de BDI'!$F$9*C18</f>
        <v>603</v>
      </c>
      <c r="S18" s="114"/>
    </row>
    <row r="19" spans="1:19" x14ac:dyDescent="0.25">
      <c r="A19" s="1"/>
      <c r="B19" s="103" t="s">
        <v>67</v>
      </c>
      <c r="C19" s="104">
        <f t="shared" si="5"/>
        <v>5.36</v>
      </c>
      <c r="D19" s="205" t="e">
        <f>ABS('Preço SFCR-GROWATT BYD'!$G$43-C19)</f>
        <v>#DIV/0!</v>
      </c>
      <c r="E19" s="105">
        <f>+'FRONIUS-BYD 335Wp'!E19</f>
        <v>16</v>
      </c>
      <c r="F19" s="112">
        <f>+IF(K19=0,"",ROUND(M19/(1-'Tabela de BDI'!$C$3),0))</f>
        <v>22982</v>
      </c>
      <c r="G19" s="107" t="s">
        <v>80</v>
      </c>
      <c r="H19" s="106"/>
      <c r="I19" s="143">
        <v>15630.97</v>
      </c>
      <c r="J19" s="138">
        <f t="shared" si="6"/>
        <v>15869.005076142132</v>
      </c>
      <c r="K19" s="106">
        <f t="shared" si="7"/>
        <v>15869.005076142132</v>
      </c>
      <c r="L19" s="106">
        <f>+'FRONIUS-BYD 335Wp'!L19</f>
        <v>4125</v>
      </c>
      <c r="M19" s="106">
        <f t="shared" si="8"/>
        <v>19994.00507614213</v>
      </c>
      <c r="N19" s="106">
        <f>IF(F19="","",F19*'Tabela de BDI'!$C$7)</f>
        <v>1838.56</v>
      </c>
      <c r="O19" s="106">
        <f>IF(F19="","",F19*'Tabela de BDI'!$C$8)</f>
        <v>1149.1000000000001</v>
      </c>
      <c r="P19" s="109">
        <f t="shared" si="9"/>
        <v>0.44823193954054036</v>
      </c>
      <c r="Q19" s="110">
        <f t="shared" si="10"/>
        <v>4.2876865671641786</v>
      </c>
      <c r="R19" s="111">
        <f>+'Tabela de BDI'!$F$9*C19</f>
        <v>643.20000000000005</v>
      </c>
      <c r="S19" s="114"/>
    </row>
    <row r="20" spans="1:19" x14ac:dyDescent="0.25">
      <c r="A20" s="1"/>
      <c r="B20" s="103" t="s">
        <v>67</v>
      </c>
      <c r="C20" s="104">
        <f t="shared" si="5"/>
        <v>6.03</v>
      </c>
      <c r="D20" s="205" t="e">
        <f>ABS('Preço SFCR-GROWATT BYD'!$G$43-C20)</f>
        <v>#DIV/0!</v>
      </c>
      <c r="E20" s="105">
        <f>+'FRONIUS-BYD 335Wp'!E21</f>
        <v>18</v>
      </c>
      <c r="F20" s="112">
        <f>+IF(K20=0,"",ROUND(M20/(1-'Tabela de BDI'!$C$3),0))</f>
        <v>25143</v>
      </c>
      <c r="G20" s="107" t="s">
        <v>80</v>
      </c>
      <c r="H20" s="106"/>
      <c r="I20" s="143">
        <v>17236.52</v>
      </c>
      <c r="J20" s="138">
        <f t="shared" si="6"/>
        <v>17499.005076142133</v>
      </c>
      <c r="K20" s="106">
        <f t="shared" si="7"/>
        <v>17499.005076142133</v>
      </c>
      <c r="L20" s="106">
        <f>+'FRONIUS-BYD 335Wp'!L21</f>
        <v>4375</v>
      </c>
      <c r="M20" s="106">
        <f t="shared" si="8"/>
        <v>21874.005076142133</v>
      </c>
      <c r="N20" s="106">
        <f>IF(F20="","",F20*'Tabela de BDI'!$C$7)</f>
        <v>2011.44</v>
      </c>
      <c r="O20" s="106">
        <f>IF(F20="","",F20*'Tabela de BDI'!$C$8)</f>
        <v>1257.1500000000001</v>
      </c>
      <c r="P20" s="109">
        <f t="shared" si="9"/>
        <v>0.43682454462965831</v>
      </c>
      <c r="Q20" s="110">
        <f t="shared" si="10"/>
        <v>4.1696517412935314</v>
      </c>
      <c r="R20" s="111">
        <f>+'Tabela de BDI'!$F$9*C20</f>
        <v>723.6</v>
      </c>
      <c r="S20" s="114"/>
    </row>
    <row r="21" spans="1:19" s="228" customFormat="1" x14ac:dyDescent="0.25">
      <c r="A21" s="229"/>
      <c r="B21" s="103" t="s">
        <v>67</v>
      </c>
      <c r="C21" s="104">
        <f t="shared" ref="C21" si="42">+E21*$B$3</f>
        <v>6.3650000000000002</v>
      </c>
      <c r="D21" s="205" t="e">
        <f>ABS('Preço SFCR-GROWATT BYD'!$G$43-C21)</f>
        <v>#DIV/0!</v>
      </c>
      <c r="E21" s="105">
        <f>+'FRONIUS-BYD 335Wp'!E22</f>
        <v>19</v>
      </c>
      <c r="F21" s="112" t="str">
        <f>+IF(K21=0,"",ROUND(M21/(1-'Tabela de BDI'!$C$3),0))</f>
        <v/>
      </c>
      <c r="G21" s="107"/>
      <c r="H21" s="106"/>
      <c r="I21" s="143"/>
      <c r="J21" s="138">
        <f t="shared" si="6"/>
        <v>0</v>
      </c>
      <c r="K21" s="106">
        <f t="shared" ref="K21" si="43">IF(J21="",0,H21+J21)</f>
        <v>0</v>
      </c>
      <c r="L21" s="106">
        <f>+'FRONIUS-BYD 335Wp'!L22</f>
        <v>4500</v>
      </c>
      <c r="M21" s="106">
        <f t="shared" ref="M21" si="44">+K21+L21</f>
        <v>4500</v>
      </c>
      <c r="N21" s="106" t="str">
        <f>IF(F21="","",F21*'Tabela de BDI'!$C$7)</f>
        <v/>
      </c>
      <c r="O21" s="106" t="str">
        <f>IF(F21="","",F21*'Tabela de BDI'!$C$8)</f>
        <v/>
      </c>
      <c r="P21" s="109" t="str">
        <f t="shared" ref="P21" si="45">IF(F21="","",(F21-K21)/K21)</f>
        <v/>
      </c>
      <c r="Q21" s="110" t="str">
        <f t="shared" ref="Q21" si="46">IF(F21="","",(F21/C21)/1000)</f>
        <v/>
      </c>
      <c r="R21" s="111">
        <f>+'Tabela de BDI'!$F$9*C21</f>
        <v>763.80000000000007</v>
      </c>
      <c r="S21" s="114"/>
    </row>
    <row r="22" spans="1:19" x14ac:dyDescent="0.25">
      <c r="A22" s="1"/>
      <c r="B22" s="103" t="s">
        <v>67</v>
      </c>
      <c r="C22" s="104">
        <f t="shared" si="5"/>
        <v>6.7</v>
      </c>
      <c r="D22" s="205" t="e">
        <f>ABS('Preço SFCR-GROWATT BYD'!$G$43-C22)</f>
        <v>#DIV/0!</v>
      </c>
      <c r="E22" s="105">
        <f>+'FRONIUS-BYD 335Wp'!E23</f>
        <v>20</v>
      </c>
      <c r="F22" s="112">
        <f>+IF(K22=0,"",ROUND(M22/(1-'Tabela de BDI'!$C$3),0))</f>
        <v>26993</v>
      </c>
      <c r="G22" s="107" t="s">
        <v>81</v>
      </c>
      <c r="H22" s="106"/>
      <c r="I22" s="143">
        <v>18576.12</v>
      </c>
      <c r="J22" s="138">
        <f t="shared" si="6"/>
        <v>18859.00507614213</v>
      </c>
      <c r="K22" s="106">
        <f t="shared" si="7"/>
        <v>18859.00507614213</v>
      </c>
      <c r="L22" s="106">
        <f>+'FRONIUS-BYD 335Wp'!L23</f>
        <v>4625</v>
      </c>
      <c r="M22" s="106">
        <f t="shared" si="8"/>
        <v>23484.00507614213</v>
      </c>
      <c r="N22" s="106">
        <f>IF(F22="","",F22*'Tabela de BDI'!$C$7)</f>
        <v>2159.44</v>
      </c>
      <c r="O22" s="106">
        <f>IF(F22="","",F22*'Tabela de BDI'!$C$8)</f>
        <v>1349.65</v>
      </c>
      <c r="P22" s="109">
        <f t="shared" si="9"/>
        <v>0.43130562248736565</v>
      </c>
      <c r="Q22" s="110">
        <f t="shared" si="10"/>
        <v>4.0288059701492536</v>
      </c>
      <c r="R22" s="111">
        <f>+'Tabela de BDI'!$F$9*C22</f>
        <v>804</v>
      </c>
      <c r="S22" s="114"/>
    </row>
    <row r="23" spans="1:19" x14ac:dyDescent="0.25">
      <c r="A23" s="1"/>
      <c r="B23" s="103" t="s">
        <v>67</v>
      </c>
      <c r="C23" s="104">
        <f t="shared" si="5"/>
        <v>7.37</v>
      </c>
      <c r="D23" s="205" t="e">
        <f>ABS('Preço SFCR-GROWATT BYD'!$G$43-C23)</f>
        <v>#DIV/0!</v>
      </c>
      <c r="E23" s="105">
        <f>+'FRONIUS-BYD 335Wp'!E25</f>
        <v>22</v>
      </c>
      <c r="F23" s="112">
        <f>+IF(K23=0,"",ROUND(M23/(1-'Tabela de BDI'!$C$3),0))</f>
        <v>29143</v>
      </c>
      <c r="G23" s="107" t="s">
        <v>81</v>
      </c>
      <c r="H23" s="106"/>
      <c r="I23" s="143">
        <v>20171.82</v>
      </c>
      <c r="J23" s="138">
        <f t="shared" si="6"/>
        <v>20479.005076142133</v>
      </c>
      <c r="K23" s="106">
        <f t="shared" si="7"/>
        <v>20479.005076142133</v>
      </c>
      <c r="L23" s="106">
        <f>+'FRONIUS-BYD 335Wp'!L25</f>
        <v>4875</v>
      </c>
      <c r="M23" s="106">
        <f t="shared" si="8"/>
        <v>25354.005076142133</v>
      </c>
      <c r="N23" s="106">
        <f>IF(F23="","",F23*'Tabela de BDI'!$C$7)</f>
        <v>2331.44</v>
      </c>
      <c r="O23" s="106">
        <f>IF(F23="","",F23*'Tabela de BDI'!$C$8)</f>
        <v>1457.15</v>
      </c>
      <c r="P23" s="109">
        <f t="shared" si="9"/>
        <v>0.4230671798578412</v>
      </c>
      <c r="Q23" s="110">
        <f t="shared" si="10"/>
        <v>3.9542740841248305</v>
      </c>
      <c r="R23" s="111">
        <f>+'Tabela de BDI'!$F$9*C23</f>
        <v>884.4</v>
      </c>
      <c r="S23" s="114"/>
    </row>
    <row r="24" spans="1:19" s="228" customFormat="1" x14ac:dyDescent="0.25">
      <c r="A24" s="229"/>
      <c r="B24" s="103" t="s">
        <v>67</v>
      </c>
      <c r="C24" s="104">
        <f t="shared" ref="C24" si="47">+E24*$B$3</f>
        <v>7.7050000000000001</v>
      </c>
      <c r="D24" s="205" t="e">
        <f>ABS('Preço SFCR-GROWATT BYD'!$G$43-C24)</f>
        <v>#DIV/0!</v>
      </c>
      <c r="E24" s="105">
        <f>+'FRONIUS-BYD 335Wp'!E26</f>
        <v>23</v>
      </c>
      <c r="F24" s="112" t="str">
        <f>+IF(K24=0,"",ROUND(M24/(1-'Tabela de BDI'!$C$3),0))</f>
        <v/>
      </c>
      <c r="G24" s="107"/>
      <c r="H24" s="106"/>
      <c r="I24" s="143"/>
      <c r="J24" s="138">
        <f t="shared" si="6"/>
        <v>0</v>
      </c>
      <c r="K24" s="106">
        <f t="shared" ref="K24" si="48">IF(J24="",0,H24+J24)</f>
        <v>0</v>
      </c>
      <c r="L24" s="106">
        <f>+'FRONIUS-BYD 335Wp'!L26</f>
        <v>5000</v>
      </c>
      <c r="M24" s="106">
        <f t="shared" ref="M24" si="49">+K24+L24</f>
        <v>5000</v>
      </c>
      <c r="N24" s="106" t="str">
        <f>IF(F24="","",F24*'Tabela de BDI'!$C$7)</f>
        <v/>
      </c>
      <c r="O24" s="106" t="str">
        <f>IF(F24="","",F24*'Tabela de BDI'!$C$8)</f>
        <v/>
      </c>
      <c r="P24" s="109" t="str">
        <f t="shared" ref="P24" si="50">IF(F24="","",(F24-K24)/K24)</f>
        <v/>
      </c>
      <c r="Q24" s="110" t="str">
        <f t="shared" ref="Q24" si="51">IF(F24="","",(F24/C24)/1000)</f>
        <v/>
      </c>
      <c r="R24" s="111">
        <f>+'Tabela de BDI'!$F$9*C24</f>
        <v>924.6</v>
      </c>
      <c r="S24" s="114"/>
    </row>
    <row r="25" spans="1:19" x14ac:dyDescent="0.25">
      <c r="A25" s="1"/>
      <c r="B25" s="103" t="s">
        <v>67</v>
      </c>
      <c r="C25" s="104">
        <f t="shared" si="5"/>
        <v>8.0400000000000009</v>
      </c>
      <c r="D25" s="205" t="e">
        <f>ABS('Preço SFCR-GROWATT BYD'!$G$43-C25)</f>
        <v>#DIV/0!</v>
      </c>
      <c r="E25" s="105">
        <f>+'FRONIUS-BYD 335Wp'!E27</f>
        <v>24</v>
      </c>
      <c r="F25" s="112">
        <f>+IF(K25=0,"",ROUND(M25/(1-'Tabela de BDI'!$C$3),0))</f>
        <v>32510</v>
      </c>
      <c r="G25" s="147" t="s">
        <v>204</v>
      </c>
      <c r="H25" s="106"/>
      <c r="I25" s="143">
        <v>22811.62</v>
      </c>
      <c r="J25" s="138">
        <f t="shared" si="6"/>
        <v>23159.00507614213</v>
      </c>
      <c r="K25" s="106">
        <f t="shared" si="7"/>
        <v>23159.00507614213</v>
      </c>
      <c r="L25" s="106">
        <f>+'FRONIUS-BYD 335Wp'!L27</f>
        <v>5125</v>
      </c>
      <c r="M25" s="106">
        <f t="shared" si="8"/>
        <v>28284.00507614213</v>
      </c>
      <c r="N25" s="106">
        <f>IF(F25="","",F25*'Tabela de BDI'!$C$7)</f>
        <v>2600.8000000000002</v>
      </c>
      <c r="O25" s="106">
        <f>IF(F25="","",F25*'Tabela de BDI'!$C$8)</f>
        <v>1625.5</v>
      </c>
      <c r="P25" s="109">
        <f t="shared" si="9"/>
        <v>0.40377360310227872</v>
      </c>
      <c r="Q25" s="110">
        <f t="shared" si="10"/>
        <v>4.0435323383084576</v>
      </c>
      <c r="R25" s="111">
        <f>+'Tabela de BDI'!$F$9*C25</f>
        <v>964.80000000000007</v>
      </c>
      <c r="S25" s="114"/>
    </row>
    <row r="26" spans="1:19" s="207" customFormat="1" x14ac:dyDescent="0.25">
      <c r="A26" s="208"/>
      <c r="B26" s="103" t="s">
        <v>67</v>
      </c>
      <c r="C26" s="104">
        <f t="shared" ref="C26" si="52">+E26*$B$3</f>
        <v>8.375</v>
      </c>
      <c r="D26" s="205" t="e">
        <f>ABS('Preço SFCR-GROWATT BYD'!$G$43-C26)</f>
        <v>#DIV/0!</v>
      </c>
      <c r="E26" s="105">
        <f>+'FRONIUS-BYD 335Wp'!E28</f>
        <v>25</v>
      </c>
      <c r="F26" s="112" t="str">
        <f>+IF(K26=0,"",ROUND(M26/(1-'Tabela de BDI'!$C$3),0))</f>
        <v/>
      </c>
      <c r="G26" s="147"/>
      <c r="H26" s="106"/>
      <c r="I26" s="143"/>
      <c r="J26" s="138">
        <f t="shared" si="6"/>
        <v>0</v>
      </c>
      <c r="K26" s="106">
        <f t="shared" ref="K26" si="53">IF(J26="",0,H26+J26)</f>
        <v>0</v>
      </c>
      <c r="L26" s="106">
        <f>+'FRONIUS-BYD 335Wp'!L28</f>
        <v>5250</v>
      </c>
      <c r="M26" s="106">
        <f t="shared" ref="M26" si="54">+K26+L26</f>
        <v>5250</v>
      </c>
      <c r="N26" s="106" t="str">
        <f>IF(F26="","",F26*'Tabela de BDI'!$C$7)</f>
        <v/>
      </c>
      <c r="O26" s="106" t="str">
        <f>IF(F26="","",F26*'Tabela de BDI'!$C$8)</f>
        <v/>
      </c>
      <c r="P26" s="109" t="str">
        <f t="shared" ref="P26" si="55">IF(F26="","",(F26-K26)/K26)</f>
        <v/>
      </c>
      <c r="Q26" s="110" t="str">
        <f t="shared" ref="Q26" si="56">IF(F26="","",(F26/C26)/1000)</f>
        <v/>
      </c>
      <c r="R26" s="111">
        <f>+'Tabela de BDI'!$F$9*C26</f>
        <v>1005</v>
      </c>
      <c r="S26" s="114"/>
    </row>
    <row r="27" spans="1:19" x14ac:dyDescent="0.25">
      <c r="A27" s="1"/>
      <c r="B27" s="103" t="s">
        <v>67</v>
      </c>
      <c r="C27" s="104">
        <f t="shared" si="5"/>
        <v>8.7100000000000009</v>
      </c>
      <c r="D27" s="205" t="e">
        <f>ABS('Preço SFCR-GROWATT BYD'!$G$43-C27)</f>
        <v>#DIV/0!</v>
      </c>
      <c r="E27" s="105">
        <f>+'FRONIUS-BYD 335Wp'!E29</f>
        <v>26</v>
      </c>
      <c r="F27" s="112">
        <f>+IF(K27=0,"",ROUND(M27/(1-'Tabela de BDI'!$C$3),0))</f>
        <v>34660</v>
      </c>
      <c r="G27" s="147" t="s">
        <v>204</v>
      </c>
      <c r="H27" s="106"/>
      <c r="I27" s="143">
        <v>24407.32</v>
      </c>
      <c r="J27" s="138">
        <f t="shared" si="6"/>
        <v>24779.005076142133</v>
      </c>
      <c r="K27" s="106">
        <f t="shared" si="7"/>
        <v>24779.005076142133</v>
      </c>
      <c r="L27" s="106">
        <f>+'FRONIUS-BYD 335Wp'!L29</f>
        <v>5375</v>
      </c>
      <c r="M27" s="106">
        <f t="shared" si="8"/>
        <v>30154.005076142133</v>
      </c>
      <c r="N27" s="106">
        <f>IF(F27="","",F27*'Tabela de BDI'!$C$7)</f>
        <v>2772.8</v>
      </c>
      <c r="O27" s="106">
        <f>IF(F27="","",F27*'Tabela de BDI'!$C$8)</f>
        <v>1733</v>
      </c>
      <c r="P27" s="109">
        <f t="shared" si="9"/>
        <v>0.39876479679047094</v>
      </c>
      <c r="Q27" s="110">
        <f t="shared" si="10"/>
        <v>3.9793340987370835</v>
      </c>
      <c r="R27" s="111">
        <f>+'Tabela de BDI'!$F$9*C27</f>
        <v>1045.2</v>
      </c>
      <c r="S27" s="114"/>
    </row>
    <row r="28" spans="1:19" x14ac:dyDescent="0.25">
      <c r="A28" s="1"/>
      <c r="B28" s="103" t="s">
        <v>67</v>
      </c>
      <c r="C28" s="104">
        <f t="shared" si="5"/>
        <v>9.3800000000000008</v>
      </c>
      <c r="D28" s="205" t="e">
        <f>ABS('Preço SFCR-GROWATT BYD'!$G$43-C28)</f>
        <v>#DIV/0!</v>
      </c>
      <c r="E28" s="105">
        <f>+'FRONIUS-BYD 335Wp'!E30</f>
        <v>28</v>
      </c>
      <c r="F28" s="112">
        <f>+IF(K28=0,"",ROUND(M28/(1-'Tabela de BDI'!$C$3),0))</f>
        <v>36430</v>
      </c>
      <c r="G28" s="147" t="s">
        <v>204</v>
      </c>
      <c r="H28" s="106"/>
      <c r="I28" s="143">
        <v>25677.97</v>
      </c>
      <c r="J28" s="138">
        <f t="shared" si="6"/>
        <v>26069.005076142133</v>
      </c>
      <c r="K28" s="106">
        <f t="shared" si="7"/>
        <v>26069.005076142133</v>
      </c>
      <c r="L28" s="106">
        <f>+'FRONIUS-BYD 335Wp'!L30</f>
        <v>5625</v>
      </c>
      <c r="M28" s="106">
        <f t="shared" si="8"/>
        <v>31694.005076142133</v>
      </c>
      <c r="N28" s="106">
        <f>IF(F28="","",F28*'Tabela de BDI'!$C$7)</f>
        <v>2914.4</v>
      </c>
      <c r="O28" s="106">
        <f>IF(F28="","",F28*'Tabela de BDI'!$C$8)</f>
        <v>1821.5</v>
      </c>
      <c r="P28" s="109">
        <f t="shared" si="9"/>
        <v>0.39744496936479007</v>
      </c>
      <c r="Q28" s="110">
        <f t="shared" si="10"/>
        <v>3.883795309168443</v>
      </c>
      <c r="R28" s="111">
        <f>+'Tabela de BDI'!$F$9*C28</f>
        <v>1125.6000000000001</v>
      </c>
      <c r="S28" s="114"/>
    </row>
    <row r="29" spans="1:19" x14ac:dyDescent="0.25">
      <c r="A29" s="1"/>
      <c r="B29" s="103" t="s">
        <v>67</v>
      </c>
      <c r="C29" s="104">
        <f t="shared" si="5"/>
        <v>10.050000000000001</v>
      </c>
      <c r="D29" s="205" t="e">
        <f>ABS('Preço SFCR-GROWATT BYD'!$G$43-C29)</f>
        <v>#DIV/0!</v>
      </c>
      <c r="E29" s="105">
        <f>+'FRONIUS-BYD 335Wp'!E31</f>
        <v>30</v>
      </c>
      <c r="F29" s="112">
        <f>+IF(K29=0,"",ROUND(M29/(1-'Tabela de BDI'!$C$3),0))</f>
        <v>38579</v>
      </c>
      <c r="G29" s="147" t="s">
        <v>204</v>
      </c>
      <c r="H29" s="106"/>
      <c r="I29" s="143">
        <v>27273.67</v>
      </c>
      <c r="J29" s="138">
        <f t="shared" si="6"/>
        <v>27689.00507614213</v>
      </c>
      <c r="K29" s="106">
        <f t="shared" si="7"/>
        <v>27689.00507614213</v>
      </c>
      <c r="L29" s="106">
        <f>+'FRONIUS-BYD 335Wp'!L31</f>
        <v>5875</v>
      </c>
      <c r="M29" s="106">
        <f t="shared" si="8"/>
        <v>33564.00507614213</v>
      </c>
      <c r="N29" s="106">
        <f>IF(F29="","",F29*'Tabela de BDI'!$C$7)</f>
        <v>3086.32</v>
      </c>
      <c r="O29" s="106">
        <f>IF(F29="","",F29*'Tabela de BDI'!$C$8)</f>
        <v>1928.95</v>
      </c>
      <c r="P29" s="109">
        <f t="shared" si="9"/>
        <v>0.39329672170998631</v>
      </c>
      <c r="Q29" s="110">
        <f t="shared" si="10"/>
        <v>3.8387064676616913</v>
      </c>
      <c r="R29" s="111">
        <f>+'Tabela de BDI'!$F$9*C29</f>
        <v>1206</v>
      </c>
      <c r="S29" s="114"/>
    </row>
    <row r="30" spans="1:19" x14ac:dyDescent="0.25">
      <c r="A30" s="1"/>
      <c r="B30" s="103" t="s">
        <v>67</v>
      </c>
      <c r="C30" s="104">
        <f t="shared" si="5"/>
        <v>10.72</v>
      </c>
      <c r="D30" s="205" t="e">
        <f>ABS('Preço SFCR-GROWATT BYD'!$G$43-C30)</f>
        <v>#DIV/0!</v>
      </c>
      <c r="E30" s="105">
        <f>+'FRONIUS-BYD 335Wp'!E32</f>
        <v>32</v>
      </c>
      <c r="F30" s="112" t="str">
        <f>+IF(K30=0,"",ROUND(M30/(1-'Tabela de BDI'!$C$3),0))</f>
        <v/>
      </c>
      <c r="G30" s="147" t="s">
        <v>204</v>
      </c>
      <c r="H30" s="106"/>
      <c r="I30" s="143"/>
      <c r="J30" s="138">
        <f t="shared" si="6"/>
        <v>0</v>
      </c>
      <c r="K30" s="106">
        <f t="shared" si="7"/>
        <v>0</v>
      </c>
      <c r="L30" s="106">
        <f>+'FRONIUS-BYD 335Wp'!L32</f>
        <v>6125</v>
      </c>
      <c r="M30" s="106">
        <f t="shared" si="8"/>
        <v>6125</v>
      </c>
      <c r="N30" s="106" t="str">
        <f>IF(F30="","",F30*'Tabela de BDI'!$C$7)</f>
        <v/>
      </c>
      <c r="O30" s="106" t="str">
        <f>IF(F30="","",F30*'Tabela de BDI'!$C$8)</f>
        <v/>
      </c>
      <c r="P30" s="109" t="str">
        <f t="shared" si="9"/>
        <v/>
      </c>
      <c r="Q30" s="110" t="str">
        <f t="shared" si="10"/>
        <v/>
      </c>
      <c r="R30" s="111">
        <f>+'Tabela de BDI'!$F$9*C30</f>
        <v>1286.4000000000001</v>
      </c>
      <c r="S30" s="114"/>
    </row>
    <row r="31" spans="1:19" ht="15.75" customHeight="1" x14ac:dyDescent="0.25">
      <c r="A31" s="1"/>
      <c r="B31" s="103" t="s">
        <v>67</v>
      </c>
      <c r="C31" s="104">
        <f t="shared" si="5"/>
        <v>11.39</v>
      </c>
      <c r="D31" s="205" t="e">
        <f>ABS('Preço SFCR-GROWATT BYD'!$G$43-C31)</f>
        <v>#DIV/0!</v>
      </c>
      <c r="E31" s="105">
        <f>+'FRONIUS-BYD 335Wp'!E33</f>
        <v>34</v>
      </c>
      <c r="F31" s="112">
        <f>+IF(K31=0,"",ROUND(M31/(1-'Tabela de BDI'!$C$3),0))</f>
        <v>46400</v>
      </c>
      <c r="G31" s="107" t="s">
        <v>82</v>
      </c>
      <c r="H31" s="115"/>
      <c r="I31" s="143">
        <f>+I19+I20</f>
        <v>32867.49</v>
      </c>
      <c r="J31" s="145">
        <f t="shared" si="6"/>
        <v>33368.01015228426</v>
      </c>
      <c r="K31" s="106">
        <f t="shared" si="7"/>
        <v>33368.01015228426</v>
      </c>
      <c r="L31" s="106">
        <f>+'FRONIUS-BYD 335Wp'!L33</f>
        <v>7000</v>
      </c>
      <c r="M31" s="106">
        <f t="shared" si="8"/>
        <v>40368.01015228426</v>
      </c>
      <c r="N31" s="106">
        <f>IF(F31="","",F31*'Tabela de BDI'!$C$7)</f>
        <v>3712</v>
      </c>
      <c r="O31" s="106">
        <f>IF(F31="","",F31*'Tabela de BDI'!$C$8)</f>
        <v>2320</v>
      </c>
      <c r="P31" s="109">
        <f t="shared" si="9"/>
        <v>0.39055340094421587</v>
      </c>
      <c r="Q31" s="110">
        <f t="shared" si="10"/>
        <v>4.0737489025460931</v>
      </c>
      <c r="R31" s="111">
        <f>+'Tabela de BDI'!$F$9*C31</f>
        <v>1366.8000000000002</v>
      </c>
      <c r="S31" s="114"/>
    </row>
    <row r="32" spans="1:19" ht="15.75" customHeight="1" x14ac:dyDescent="0.25">
      <c r="A32" s="1"/>
      <c r="B32" s="103" t="s">
        <v>67</v>
      </c>
      <c r="C32" s="104">
        <f t="shared" si="5"/>
        <v>12.06</v>
      </c>
      <c r="D32" s="205" t="e">
        <f>ABS('Preço SFCR-GROWATT BYD'!$G$43-C32)</f>
        <v>#DIV/0!</v>
      </c>
      <c r="E32" s="105">
        <f>+'FRONIUS-BYD 335Wp'!E34</f>
        <v>36</v>
      </c>
      <c r="F32" s="112">
        <f>+IF(K32=0,"",ROUND(M32/(1-'Tabela de BDI'!$C$3),0))</f>
        <v>48561</v>
      </c>
      <c r="G32" s="107" t="s">
        <v>82</v>
      </c>
      <c r="H32" s="115"/>
      <c r="I32" s="120">
        <f>+I20*2</f>
        <v>34473.040000000001</v>
      </c>
      <c r="J32" s="145">
        <f t="shared" si="6"/>
        <v>34998.010152284267</v>
      </c>
      <c r="K32" s="106">
        <f t="shared" si="7"/>
        <v>34998.010152284267</v>
      </c>
      <c r="L32" s="106">
        <f>+'FRONIUS-BYD 335Wp'!L34</f>
        <v>7250</v>
      </c>
      <c r="M32" s="106">
        <f t="shared" si="8"/>
        <v>42248.010152284267</v>
      </c>
      <c r="N32" s="106">
        <f>IF(F32="","",F32*'Tabela de BDI'!$C$7)</f>
        <v>3884.88</v>
      </c>
      <c r="O32" s="106">
        <f>IF(F32="","",F32*'Tabela de BDI'!$C$8)</f>
        <v>2428.0500000000002</v>
      </c>
      <c r="P32" s="109">
        <f t="shared" si="9"/>
        <v>0.38753602815417487</v>
      </c>
      <c r="Q32" s="110">
        <f t="shared" si="10"/>
        <v>4.0266169154228857</v>
      </c>
      <c r="R32" s="111">
        <f>+'Tabela de BDI'!$F$9*C32</f>
        <v>1447.2</v>
      </c>
      <c r="S32" s="114"/>
    </row>
    <row r="33" spans="1:19" ht="15.75" customHeight="1" x14ac:dyDescent="0.25">
      <c r="A33" s="1"/>
      <c r="B33" s="103" t="s">
        <v>67</v>
      </c>
      <c r="C33" s="104">
        <f t="shared" si="5"/>
        <v>12.73</v>
      </c>
      <c r="D33" s="205" t="e">
        <f>ABS('Preço SFCR-GROWATT BYD'!$G$43-C33)</f>
        <v>#DIV/0!</v>
      </c>
      <c r="E33" s="105">
        <f>+'FRONIUS-BYD 335Wp'!E35</f>
        <v>38</v>
      </c>
      <c r="F33" s="112">
        <f>+IF(K33=0,"",ROUND(M33/(1-'Tabela de BDI'!$C$3),0))</f>
        <v>50412</v>
      </c>
      <c r="G33" s="147" t="s">
        <v>232</v>
      </c>
      <c r="H33" s="115"/>
      <c r="I33" s="121">
        <f>+I20+I22</f>
        <v>35812.639999999999</v>
      </c>
      <c r="J33" s="145">
        <f t="shared" si="6"/>
        <v>36358.010152284267</v>
      </c>
      <c r="K33" s="106">
        <f t="shared" si="7"/>
        <v>36358.010152284267</v>
      </c>
      <c r="L33" s="106">
        <f>+'FRONIUS-BYD 335Wp'!L35</f>
        <v>7500</v>
      </c>
      <c r="M33" s="106">
        <f t="shared" si="8"/>
        <v>43858.010152284267</v>
      </c>
      <c r="N33" s="106">
        <f>IF(F33="","",F33*'Tabela de BDI'!$C$7)</f>
        <v>4032.96</v>
      </c>
      <c r="O33" s="106">
        <f>IF(F33="","",F33*'Tabela de BDI'!$C$8)</f>
        <v>2520.6000000000004</v>
      </c>
      <c r="P33" s="109">
        <f t="shared" si="9"/>
        <v>0.38654452729539057</v>
      </c>
      <c r="Q33" s="110">
        <f t="shared" si="10"/>
        <v>3.9600942655145324</v>
      </c>
      <c r="R33" s="111">
        <f>+'Tabela de BDI'!$F$9*C33</f>
        <v>1527.6000000000001</v>
      </c>
      <c r="S33" s="114"/>
    </row>
    <row r="34" spans="1:19" ht="15.75" customHeight="1" x14ac:dyDescent="0.25">
      <c r="A34" s="1"/>
      <c r="B34" s="103" t="s">
        <v>67</v>
      </c>
      <c r="C34" s="104">
        <f t="shared" si="5"/>
        <v>13.4</v>
      </c>
      <c r="D34" s="205" t="e">
        <f>ABS('Preço SFCR-GROWATT BYD'!$G$43-C34)</f>
        <v>#DIV/0!</v>
      </c>
      <c r="E34" s="105">
        <f>+'FRONIUS-BYD 335Wp'!E36</f>
        <v>40</v>
      </c>
      <c r="F34" s="112">
        <f>+IF(K34=0,"",ROUND(M34/(1-'Tabela de BDI'!$C$3),0))</f>
        <v>52262</v>
      </c>
      <c r="G34" s="107" t="s">
        <v>83</v>
      </c>
      <c r="H34" s="75"/>
      <c r="I34" s="120">
        <f>2*I22</f>
        <v>37152.239999999998</v>
      </c>
      <c r="J34" s="145">
        <f t="shared" si="6"/>
        <v>37718.01015228426</v>
      </c>
      <c r="K34" s="106">
        <f t="shared" si="7"/>
        <v>37718.01015228426</v>
      </c>
      <c r="L34" s="106">
        <f>+'FRONIUS-BYD 335Wp'!L36</f>
        <v>7750</v>
      </c>
      <c r="M34" s="106">
        <f t="shared" si="8"/>
        <v>45468.01015228426</v>
      </c>
      <c r="N34" s="106">
        <f>IF(F34="","",F34*'Tabela de BDI'!$C$7)</f>
        <v>4180.96</v>
      </c>
      <c r="O34" s="106">
        <f>IF(F34="","",F34*'Tabela de BDI'!$C$8)</f>
        <v>2613.1000000000004</v>
      </c>
      <c r="P34" s="109">
        <f t="shared" si="9"/>
        <v>0.38559801508603536</v>
      </c>
      <c r="Q34" s="110">
        <f t="shared" si="10"/>
        <v>3.9001492537313434</v>
      </c>
      <c r="R34" s="111">
        <f>+'Tabela de BDI'!$F$9*C34</f>
        <v>1608</v>
      </c>
      <c r="S34" s="114"/>
    </row>
    <row r="35" spans="1:19" ht="15.75" customHeight="1" x14ac:dyDescent="0.25">
      <c r="A35" s="1"/>
      <c r="B35" s="103" t="s">
        <v>67</v>
      </c>
      <c r="C35" s="104">
        <f t="shared" si="5"/>
        <v>14.07</v>
      </c>
      <c r="D35" s="205" t="e">
        <f>ABS('Preço SFCR-GROWATT BYD'!$G$43-C35)</f>
        <v>#DIV/0!</v>
      </c>
      <c r="E35" s="105">
        <f>+'FRONIUS-BYD 335Wp'!E37</f>
        <v>42</v>
      </c>
      <c r="F35" s="112">
        <f>+IF(K35=0,"",ROUND(M35/(1-'Tabela de BDI'!$C$3),0))</f>
        <v>54412</v>
      </c>
      <c r="G35" s="107" t="s">
        <v>83</v>
      </c>
      <c r="H35" s="115"/>
      <c r="I35" s="121">
        <f>+I22+I23</f>
        <v>38747.94</v>
      </c>
      <c r="J35" s="145">
        <f t="shared" si="6"/>
        <v>39338.010152284267</v>
      </c>
      <c r="K35" s="106">
        <f t="shared" si="7"/>
        <v>39338.010152284267</v>
      </c>
      <c r="L35" s="106">
        <f>+'FRONIUS-BYD 335Wp'!L37</f>
        <v>8000</v>
      </c>
      <c r="M35" s="106">
        <f t="shared" si="8"/>
        <v>47338.010152284267</v>
      </c>
      <c r="N35" s="106">
        <f>IF(F35="","",F35*'Tabela de BDI'!$C$7)</f>
        <v>4352.96</v>
      </c>
      <c r="O35" s="106">
        <f>IF(F35="","",F35*'Tabela de BDI'!$C$8)</f>
        <v>2720.6000000000004</v>
      </c>
      <c r="P35" s="109">
        <f t="shared" si="9"/>
        <v>0.38319146772705842</v>
      </c>
      <c r="Q35" s="110">
        <f t="shared" si="10"/>
        <v>3.8672352523098787</v>
      </c>
      <c r="R35" s="111">
        <f>+'Tabela de BDI'!$F$9*C35</f>
        <v>1688.4</v>
      </c>
      <c r="S35" s="114"/>
    </row>
    <row r="36" spans="1:19" ht="15.75" customHeight="1" x14ac:dyDescent="0.25">
      <c r="A36" s="1"/>
      <c r="B36" s="103" t="s">
        <v>67</v>
      </c>
      <c r="C36" s="104">
        <f t="shared" si="5"/>
        <v>14.74</v>
      </c>
      <c r="D36" s="205" t="e">
        <f>ABS('Preço SFCR-GROWATT BYD'!$G$43-C36)</f>
        <v>#DIV/0!</v>
      </c>
      <c r="E36" s="105">
        <f>+'FRONIUS-BYD 335Wp'!E38</f>
        <v>44</v>
      </c>
      <c r="F36" s="112">
        <f>+IF(K36=0,"",ROUND(M36/(1-'Tabela de BDI'!$C$3),0))</f>
        <v>56561</v>
      </c>
      <c r="G36" s="107" t="s">
        <v>83</v>
      </c>
      <c r="H36" s="75"/>
      <c r="I36" s="120">
        <f>2*I23</f>
        <v>40343.64</v>
      </c>
      <c r="J36" s="145">
        <f t="shared" si="6"/>
        <v>40958.010152284267</v>
      </c>
      <c r="K36" s="106">
        <f t="shared" si="7"/>
        <v>40958.010152284267</v>
      </c>
      <c r="L36" s="106">
        <f>+'FRONIUS-BYD 335Wp'!L38</f>
        <v>8250</v>
      </c>
      <c r="M36" s="106">
        <f t="shared" si="8"/>
        <v>49208.010152284267</v>
      </c>
      <c r="N36" s="106">
        <f>IF(F36="","",F36*'Tabela de BDI'!$C$7)</f>
        <v>4524.88</v>
      </c>
      <c r="O36" s="106">
        <f>IF(F36="","",F36*'Tabela de BDI'!$C$8)</f>
        <v>2828.05</v>
      </c>
      <c r="P36" s="109">
        <f t="shared" si="9"/>
        <v>0.38095087602407707</v>
      </c>
      <c r="Q36" s="110">
        <f t="shared" si="10"/>
        <v>3.8372455902306646</v>
      </c>
      <c r="R36" s="111">
        <f>+'Tabela de BDI'!$F$9*C36</f>
        <v>1768.8</v>
      </c>
      <c r="S36" s="114"/>
    </row>
    <row r="37" spans="1:19" ht="15.75" customHeight="1" x14ac:dyDescent="0.25">
      <c r="A37" s="1"/>
      <c r="B37" s="103" t="s">
        <v>67</v>
      </c>
      <c r="C37" s="104">
        <f t="shared" si="5"/>
        <v>15.41</v>
      </c>
      <c r="D37" s="205" t="e">
        <f>ABS('Preço SFCR-GROWATT BYD'!$G$43-C37)</f>
        <v>#DIV/0!</v>
      </c>
      <c r="E37" s="105">
        <f>+'FRONIUS-BYD 335Wp'!E39</f>
        <v>46</v>
      </c>
      <c r="F37" s="112">
        <f>+IF(K37=0,"",ROUND(M37/(1-'Tabela de BDI'!$C$3),0))</f>
        <v>26539</v>
      </c>
      <c r="G37" s="147" t="s">
        <v>226</v>
      </c>
      <c r="H37" s="115"/>
      <c r="I37" s="121">
        <f>+I30+I17</f>
        <v>14370.17</v>
      </c>
      <c r="J37" s="145">
        <f t="shared" si="6"/>
        <v>14589.005076142132</v>
      </c>
      <c r="K37" s="106">
        <f t="shared" si="7"/>
        <v>14589.005076142132</v>
      </c>
      <c r="L37" s="106">
        <f>+'FRONIUS-BYD 335Wp'!L39</f>
        <v>8500</v>
      </c>
      <c r="M37" s="106">
        <f t="shared" si="8"/>
        <v>23089.00507614213</v>
      </c>
      <c r="N37" s="106">
        <f>IF(F37="","",F37*'Tabela de BDI'!$C$7)</f>
        <v>2123.12</v>
      </c>
      <c r="O37" s="106">
        <f>IF(F37="","",F37*'Tabela de BDI'!$C$8)</f>
        <v>1326.95</v>
      </c>
      <c r="P37" s="109">
        <f t="shared" si="9"/>
        <v>0.81910965562689941</v>
      </c>
      <c r="Q37" s="110">
        <f t="shared" si="10"/>
        <v>1.7221933809214796</v>
      </c>
      <c r="R37" s="111">
        <f>+'Tabela de BDI'!$F$9*C37</f>
        <v>1849.2</v>
      </c>
      <c r="S37" s="114"/>
    </row>
    <row r="38" spans="1:19" ht="15.75" customHeight="1" x14ac:dyDescent="0.25">
      <c r="A38" s="1"/>
      <c r="B38" s="103" t="s">
        <v>67</v>
      </c>
      <c r="C38" s="104">
        <f t="shared" si="5"/>
        <v>16.080000000000002</v>
      </c>
      <c r="D38" s="205" t="e">
        <f>ABS('Preço SFCR-GROWATT BYD'!$G$43-C38)</f>
        <v>#DIV/0!</v>
      </c>
      <c r="E38" s="105">
        <f>+'FRONIUS-BYD 335Wp'!E40</f>
        <v>48</v>
      </c>
      <c r="F38" s="112">
        <f>+IF(K38=0,"",ROUND(M38/(1-'Tabela de BDI'!$C$3),0))</f>
        <v>28298</v>
      </c>
      <c r="G38" s="147" t="s">
        <v>226</v>
      </c>
      <c r="H38" s="115"/>
      <c r="I38" s="120">
        <f>+I30+I19</f>
        <v>15630.97</v>
      </c>
      <c r="J38" s="145">
        <f t="shared" si="6"/>
        <v>15869.005076142132</v>
      </c>
      <c r="K38" s="106">
        <f t="shared" si="7"/>
        <v>15869.005076142132</v>
      </c>
      <c r="L38" s="106">
        <f>+'FRONIUS-BYD 335Wp'!L40</f>
        <v>8750</v>
      </c>
      <c r="M38" s="106">
        <f t="shared" si="8"/>
        <v>24619.00507614213</v>
      </c>
      <c r="N38" s="106">
        <f>IF(F38="","",F38*'Tabela de BDI'!$C$7)</f>
        <v>2263.84</v>
      </c>
      <c r="O38" s="106">
        <f>IF(F38="","",F38*'Tabela de BDI'!$C$8)</f>
        <v>1414.9</v>
      </c>
      <c r="P38" s="109">
        <f t="shared" si="9"/>
        <v>0.7832245855503529</v>
      </c>
      <c r="Q38" s="110">
        <f t="shared" si="10"/>
        <v>1.759825870646766</v>
      </c>
      <c r="R38" s="111">
        <f>+'Tabela de BDI'!$F$9*C38</f>
        <v>1929.6000000000001</v>
      </c>
      <c r="S38" s="114"/>
    </row>
    <row r="39" spans="1:19" ht="15.75" customHeight="1" x14ac:dyDescent="0.25">
      <c r="A39" s="1"/>
      <c r="B39" s="103" t="s">
        <v>67</v>
      </c>
      <c r="C39" s="104">
        <f t="shared" si="5"/>
        <v>16.75</v>
      </c>
      <c r="D39" s="205" t="e">
        <f>ABS('Preço SFCR-GROWATT BYD'!$G$43-C39)</f>
        <v>#DIV/0!</v>
      </c>
      <c r="E39" s="105">
        <f>+'FRONIUS-BYD 335Wp'!E41</f>
        <v>50</v>
      </c>
      <c r="F39" s="112">
        <f>+IF(K39=0,"",ROUND(M39/(1-'Tabela de BDI'!$C$3),0))</f>
        <v>30459</v>
      </c>
      <c r="G39" s="147" t="s">
        <v>226</v>
      </c>
      <c r="H39" s="115"/>
      <c r="I39" s="121">
        <f>+I30+I20</f>
        <v>17236.52</v>
      </c>
      <c r="J39" s="145">
        <f t="shared" si="6"/>
        <v>17499.005076142133</v>
      </c>
      <c r="K39" s="106">
        <f t="shared" si="7"/>
        <v>17499.005076142133</v>
      </c>
      <c r="L39" s="106">
        <f>+'FRONIUS-BYD 335Wp'!L41</f>
        <v>9000</v>
      </c>
      <c r="M39" s="106">
        <f t="shared" si="8"/>
        <v>26499.005076142133</v>
      </c>
      <c r="N39" s="106">
        <f>IF(F39="","",F39*'Tabela de BDI'!$C$7)</f>
        <v>2436.7200000000003</v>
      </c>
      <c r="O39" s="106">
        <f>IF(F39="","",F39*'Tabela de BDI'!$C$8)</f>
        <v>1522.95</v>
      </c>
      <c r="P39" s="109">
        <f t="shared" si="9"/>
        <v>0.74061324443681187</v>
      </c>
      <c r="Q39" s="110">
        <f t="shared" si="10"/>
        <v>1.81844776119403</v>
      </c>
      <c r="R39" s="111">
        <f>+'Tabela de BDI'!$F$9*C39</f>
        <v>2010</v>
      </c>
      <c r="S39" s="114"/>
    </row>
    <row r="40" spans="1:19" ht="15.75" customHeight="1" x14ac:dyDescent="0.25">
      <c r="A40" s="1"/>
      <c r="B40" s="103" t="s">
        <v>67</v>
      </c>
      <c r="C40" s="104">
        <f t="shared" si="5"/>
        <v>17.420000000000002</v>
      </c>
      <c r="D40" s="205" t="e">
        <f>ABS('Preço SFCR-GROWATT BYD'!$G$43-C40)</f>
        <v>#DIV/0!</v>
      </c>
      <c r="E40" s="105">
        <f>+'FRONIUS-BYD 335Wp'!E42</f>
        <v>52</v>
      </c>
      <c r="F40" s="112">
        <f>+IF(K40=0,"",ROUND(M40/(1-'Tabela de BDI'!$C$3),0))</f>
        <v>32309</v>
      </c>
      <c r="G40" s="147" t="s">
        <v>228</v>
      </c>
      <c r="H40" s="106"/>
      <c r="I40" s="120">
        <f>+I30+I22</f>
        <v>18576.12</v>
      </c>
      <c r="J40" s="145">
        <f t="shared" si="6"/>
        <v>18859.00507614213</v>
      </c>
      <c r="K40" s="106">
        <f t="shared" si="7"/>
        <v>18859.00507614213</v>
      </c>
      <c r="L40" s="106">
        <f>+'FRONIUS-BYD 335Wp'!L42</f>
        <v>9250</v>
      </c>
      <c r="M40" s="106">
        <f t="shared" si="8"/>
        <v>28109.00507614213</v>
      </c>
      <c r="N40" s="106">
        <f>IF(F40="","",F40*'Tabela de BDI'!$C$7)</f>
        <v>2584.7200000000003</v>
      </c>
      <c r="O40" s="106">
        <f>IF(F40="","",F40*'Tabela de BDI'!$C$8)</f>
        <v>1615.45</v>
      </c>
      <c r="P40" s="109">
        <f t="shared" si="9"/>
        <v>0.71318687648443291</v>
      </c>
      <c r="Q40" s="110">
        <f t="shared" si="10"/>
        <v>1.8547072330654419</v>
      </c>
      <c r="R40" s="111">
        <f>+'Tabela de BDI'!$F$9*C40</f>
        <v>2090.4</v>
      </c>
      <c r="S40" s="114"/>
    </row>
    <row r="41" spans="1:19" ht="15.75" customHeight="1" x14ac:dyDescent="0.25">
      <c r="A41" s="1"/>
      <c r="B41" s="103" t="s">
        <v>67</v>
      </c>
      <c r="C41" s="104">
        <f t="shared" si="5"/>
        <v>18.09</v>
      </c>
      <c r="D41" s="205" t="e">
        <f>ABS('Preço SFCR-GROWATT BYD'!$G$43-C41)</f>
        <v>#DIV/0!</v>
      </c>
      <c r="E41" s="105">
        <f>+'FRONIUS-BYD 335Wp'!E43</f>
        <v>54</v>
      </c>
      <c r="F41" s="112">
        <f>+IF(K41=0,"",ROUND(M41/(1-'Tabela de BDI'!$C$3),0))</f>
        <v>34459</v>
      </c>
      <c r="G41" s="147" t="s">
        <v>228</v>
      </c>
      <c r="H41" s="106"/>
      <c r="I41" s="121">
        <f>+I30+I23</f>
        <v>20171.82</v>
      </c>
      <c r="J41" s="145">
        <f t="shared" si="6"/>
        <v>20479.005076142133</v>
      </c>
      <c r="K41" s="106">
        <f t="shared" si="7"/>
        <v>20479.005076142133</v>
      </c>
      <c r="L41" s="106">
        <f>+'FRONIUS-BYD 335Wp'!L43</f>
        <v>9500</v>
      </c>
      <c r="M41" s="106">
        <f t="shared" si="8"/>
        <v>29979.005076142133</v>
      </c>
      <c r="N41" s="106">
        <f>IF(F41="","",F41*'Tabela de BDI'!$C$7)</f>
        <v>2756.7200000000003</v>
      </c>
      <c r="O41" s="106">
        <f>IF(F41="","",F41*'Tabela de BDI'!$C$8)</f>
        <v>1722.95</v>
      </c>
      <c r="P41" s="109">
        <f t="shared" si="9"/>
        <v>0.68265010296542394</v>
      </c>
      <c r="Q41" s="110">
        <f t="shared" si="10"/>
        <v>1.9048645660585959</v>
      </c>
      <c r="R41" s="111">
        <f>+'Tabela de BDI'!$F$9*C41</f>
        <v>2170.8000000000002</v>
      </c>
      <c r="S41" s="114"/>
    </row>
    <row r="42" spans="1:19" ht="15.75" customHeight="1" x14ac:dyDescent="0.25">
      <c r="A42" s="1"/>
      <c r="B42" s="103" t="s">
        <v>67</v>
      </c>
      <c r="C42" s="104">
        <f t="shared" si="5"/>
        <v>18.760000000000002</v>
      </c>
      <c r="D42" s="205" t="e">
        <f>ABS('Preço SFCR-GROWATT BYD'!$G$43-C42)</f>
        <v>#DIV/0!</v>
      </c>
      <c r="E42" s="105">
        <f>+'FRONIUS-BYD 335Wp'!E44</f>
        <v>56</v>
      </c>
      <c r="F42" s="112">
        <f>+IF(K42=0,"",ROUND(M42/(1-'Tabela de BDI'!$C$3),0))</f>
        <v>71136</v>
      </c>
      <c r="G42" s="147" t="s">
        <v>203</v>
      </c>
      <c r="H42" s="106"/>
      <c r="I42" s="120">
        <f>+I28*2</f>
        <v>51355.94</v>
      </c>
      <c r="J42" s="145">
        <f t="shared" si="6"/>
        <v>52138.010152284267</v>
      </c>
      <c r="K42" s="106">
        <f t="shared" si="7"/>
        <v>52138.010152284267</v>
      </c>
      <c r="L42" s="106">
        <f>+'FRONIUS-BYD 335Wp'!L44</f>
        <v>9750</v>
      </c>
      <c r="M42" s="106">
        <f t="shared" si="8"/>
        <v>61888.010152284267</v>
      </c>
      <c r="N42" s="106">
        <f>IF(F42="","",F42*'Tabela de BDI'!$C$7)</f>
        <v>5690.88</v>
      </c>
      <c r="O42" s="106">
        <f>IF(F42="","",F42*'Tabela de BDI'!$C$8)</f>
        <v>3556.8</v>
      </c>
      <c r="P42" s="109">
        <f t="shared" si="9"/>
        <v>0.36437888197548318</v>
      </c>
      <c r="Q42" s="110">
        <f t="shared" si="10"/>
        <v>3.7918976545842216</v>
      </c>
      <c r="R42" s="111">
        <f>+'Tabela de BDI'!$F$9*C42</f>
        <v>2251.2000000000003</v>
      </c>
      <c r="S42" s="114"/>
    </row>
    <row r="43" spans="1:19" ht="15.75" customHeight="1" x14ac:dyDescent="0.25">
      <c r="A43" s="1"/>
      <c r="B43" s="103" t="s">
        <v>67</v>
      </c>
      <c r="C43" s="104">
        <f t="shared" si="5"/>
        <v>19.43</v>
      </c>
      <c r="D43" s="205" t="e">
        <f>ABS('Preço SFCR-GROWATT BYD'!$G$43-C43)</f>
        <v>#DIV/0!</v>
      </c>
      <c r="E43" s="105">
        <f>+'FRONIUS-BYD 335Wp'!E45</f>
        <v>58</v>
      </c>
      <c r="F43" s="112">
        <f>+IF(K43=0,"",ROUND(M43/(1-'Tabela de BDI'!$C$3),0))</f>
        <v>73285</v>
      </c>
      <c r="G43" s="147" t="s">
        <v>203</v>
      </c>
      <c r="H43" s="106"/>
      <c r="I43" s="121">
        <f>+I28+I29</f>
        <v>52951.64</v>
      </c>
      <c r="J43" s="145">
        <f t="shared" si="6"/>
        <v>53758.010152284267</v>
      </c>
      <c r="K43" s="106">
        <f t="shared" si="7"/>
        <v>53758.010152284267</v>
      </c>
      <c r="L43" s="106">
        <f>+'FRONIUS-BYD 335Wp'!L45</f>
        <v>10000</v>
      </c>
      <c r="M43" s="106">
        <f t="shared" si="8"/>
        <v>63758.010152284267</v>
      </c>
      <c r="N43" s="106">
        <f>IF(F43="","",F43*'Tabela de BDI'!$C$7)</f>
        <v>5862.8</v>
      </c>
      <c r="O43" s="106">
        <f>IF(F43="","",F43*'Tabela de BDI'!$C$8)</f>
        <v>3664.25</v>
      </c>
      <c r="P43" s="109">
        <f t="shared" si="9"/>
        <v>0.36323870233292105</v>
      </c>
      <c r="Q43" s="110">
        <f t="shared" si="10"/>
        <v>3.7717447246525988</v>
      </c>
      <c r="R43" s="111">
        <f>+'Tabela de BDI'!$F$9*C43</f>
        <v>2331.6</v>
      </c>
      <c r="S43" s="114"/>
    </row>
    <row r="44" spans="1:19" ht="15.75" customHeight="1" x14ac:dyDescent="0.25">
      <c r="A44" s="1"/>
      <c r="B44" s="103" t="s">
        <v>67</v>
      </c>
      <c r="C44" s="104">
        <f t="shared" si="5"/>
        <v>20.100000000000001</v>
      </c>
      <c r="D44" s="205" t="e">
        <f>ABS('Preço SFCR-GROWATT BYD'!$G$43-C44)</f>
        <v>#DIV/0!</v>
      </c>
      <c r="E44" s="105">
        <f>+'FRONIUS-BYD 335Wp'!E46</f>
        <v>60</v>
      </c>
      <c r="F44" s="112">
        <f>+IF(K44=0,"",ROUND(M44/(1-'Tabela de BDI'!$C$3),0))</f>
        <v>75434</v>
      </c>
      <c r="G44" s="147" t="s">
        <v>203</v>
      </c>
      <c r="H44" s="106"/>
      <c r="I44" s="120">
        <f>2*I29</f>
        <v>54547.34</v>
      </c>
      <c r="J44" s="145">
        <f t="shared" si="6"/>
        <v>55378.01015228426</v>
      </c>
      <c r="K44" s="106">
        <f t="shared" si="7"/>
        <v>55378.01015228426</v>
      </c>
      <c r="L44" s="106">
        <f>+'FRONIUS-BYD 335Wp'!L46</f>
        <v>10250</v>
      </c>
      <c r="M44" s="106">
        <f t="shared" si="8"/>
        <v>65628.01015228426</v>
      </c>
      <c r="N44" s="106">
        <f>IF(F44="","",F44*'Tabela de BDI'!$C$7)</f>
        <v>6034.72</v>
      </c>
      <c r="O44" s="106">
        <f>IF(F44="","",F44*'Tabela de BDI'!$C$8)</f>
        <v>3771.7000000000003</v>
      </c>
      <c r="P44" s="109">
        <f t="shared" si="9"/>
        <v>0.36216523115517651</v>
      </c>
      <c r="Q44" s="110">
        <f t="shared" si="10"/>
        <v>3.7529353233830842</v>
      </c>
      <c r="R44" s="111">
        <f>+'Tabela de BDI'!$F$9*C44</f>
        <v>2412</v>
      </c>
      <c r="S44" s="114"/>
    </row>
    <row r="45" spans="1:19" ht="15.75" customHeight="1" x14ac:dyDescent="0.25">
      <c r="A45" s="1"/>
      <c r="B45" s="103" t="s">
        <v>67</v>
      </c>
      <c r="C45" s="104">
        <f t="shared" si="5"/>
        <v>20.77</v>
      </c>
      <c r="D45" s="205" t="e">
        <f>ABS('Preço SFCR-GROWATT BYD'!$G$43-C45)</f>
        <v>#DIV/0!</v>
      </c>
      <c r="E45" s="105">
        <f>+'FRONIUS-BYD 335Wp'!E47</f>
        <v>62</v>
      </c>
      <c r="F45" s="112">
        <f>+IF(K45=0,"",ROUND(M45/(1-'Tabela de BDI'!$C$3),0))</f>
        <v>43895</v>
      </c>
      <c r="G45" s="147" t="s">
        <v>203</v>
      </c>
      <c r="H45" s="106"/>
      <c r="I45" s="121">
        <f>+I29+I30</f>
        <v>27273.67</v>
      </c>
      <c r="J45" s="145">
        <f t="shared" si="6"/>
        <v>27689.00507614213</v>
      </c>
      <c r="K45" s="106">
        <f t="shared" si="7"/>
        <v>27689.00507614213</v>
      </c>
      <c r="L45" s="106">
        <f>+'FRONIUS-BYD 335Wp'!L47</f>
        <v>10500</v>
      </c>
      <c r="M45" s="106">
        <f t="shared" si="8"/>
        <v>38189.00507614213</v>
      </c>
      <c r="N45" s="106">
        <f>IF(F45="","",F45*'Tabela de BDI'!$C$7)</f>
        <v>3511.6</v>
      </c>
      <c r="O45" s="106">
        <f>IF(F45="","",F45*'Tabela de BDI'!$C$8)</f>
        <v>2194.75</v>
      </c>
      <c r="P45" s="109">
        <f t="shared" si="9"/>
        <v>0.58528628527073923</v>
      </c>
      <c r="Q45" s="110">
        <f t="shared" si="10"/>
        <v>2.113384689455946</v>
      </c>
      <c r="R45" s="111">
        <f>+'Tabela de BDI'!$F$9*C45</f>
        <v>2492.4</v>
      </c>
      <c r="S45" s="114"/>
    </row>
    <row r="46" spans="1:19" ht="15.75" customHeight="1" x14ac:dyDescent="0.25">
      <c r="A46" s="1"/>
      <c r="B46" s="103" t="s">
        <v>67</v>
      </c>
      <c r="C46" s="104">
        <f t="shared" si="5"/>
        <v>21.44</v>
      </c>
      <c r="D46" s="205" t="e">
        <f>ABS('Preço SFCR-GROWATT BYD'!$G$43-C46)</f>
        <v>#DIV/0!</v>
      </c>
      <c r="E46" s="105">
        <f>+'FRONIUS-BYD 335Wp'!E48</f>
        <v>64</v>
      </c>
      <c r="F46" s="112" t="str">
        <f>+IF(K46=0,"",ROUND(M46/(1-'Tabela de BDI'!$C$3),0))</f>
        <v/>
      </c>
      <c r="G46" s="147" t="s">
        <v>203</v>
      </c>
      <c r="H46" s="106"/>
      <c r="I46" s="120">
        <f>2*I30</f>
        <v>0</v>
      </c>
      <c r="J46" s="145">
        <f t="shared" si="6"/>
        <v>0</v>
      </c>
      <c r="K46" s="106">
        <f t="shared" si="7"/>
        <v>0</v>
      </c>
      <c r="L46" s="106">
        <f>+'FRONIUS-BYD 335Wp'!L48</f>
        <v>10750</v>
      </c>
      <c r="M46" s="106">
        <f t="shared" si="8"/>
        <v>10750</v>
      </c>
      <c r="N46" s="106" t="str">
        <f>IF(F46="","",F46*'Tabela de BDI'!$C$7)</f>
        <v/>
      </c>
      <c r="O46" s="106" t="str">
        <f>IF(F46="","",F46*'Tabela de BDI'!$C$8)</f>
        <v/>
      </c>
      <c r="P46" s="109" t="str">
        <f t="shared" si="9"/>
        <v/>
      </c>
      <c r="Q46" s="110" t="str">
        <f t="shared" si="10"/>
        <v/>
      </c>
      <c r="R46" s="111">
        <f>+'Tabela de BDI'!$F$9*C46</f>
        <v>2572.8000000000002</v>
      </c>
      <c r="S46" s="114"/>
    </row>
    <row r="47" spans="1:19" ht="15.75" customHeight="1" x14ac:dyDescent="0.25">
      <c r="A47" s="1"/>
      <c r="B47" s="116" t="s">
        <v>78</v>
      </c>
      <c r="C47" s="104">
        <f t="shared" si="5"/>
        <v>22.110000000000003</v>
      </c>
      <c r="D47" s="205" t="e">
        <f>ABS('Preço SFCR-GROWATT BYD'!$G$43-C47)</f>
        <v>#DIV/0!</v>
      </c>
      <c r="E47" s="181">
        <v>66</v>
      </c>
      <c r="F47" s="112">
        <f>+IF(K47=0,"",ROUND(M47/(1-'Tabela de BDI'!$C$3),0))</f>
        <v>85560</v>
      </c>
      <c r="G47" s="107" t="s">
        <v>84</v>
      </c>
      <c r="H47" s="106"/>
      <c r="I47" s="106">
        <f>3*I23</f>
        <v>60515.46</v>
      </c>
      <c r="J47" s="145">
        <f t="shared" si="6"/>
        <v>61437.015228426397</v>
      </c>
      <c r="K47" s="106">
        <f t="shared" si="7"/>
        <v>61437.015228426397</v>
      </c>
      <c r="L47" s="168">
        <v>13000</v>
      </c>
      <c r="M47" s="106">
        <f t="shared" si="8"/>
        <v>74437.015228426404</v>
      </c>
      <c r="N47" s="106">
        <f>IF(F47="","",F47*'Tabela de BDI'!$C$7)</f>
        <v>6844.8</v>
      </c>
      <c r="O47" s="106">
        <f>IF(F47="","",F47*'Tabela de BDI'!$C$8)</f>
        <v>4278</v>
      </c>
      <c r="P47" s="109">
        <f t="shared" si="9"/>
        <v>0.39264578010313395</v>
      </c>
      <c r="Q47" s="110">
        <f t="shared" si="10"/>
        <v>3.8697421981004063</v>
      </c>
      <c r="R47" s="111">
        <f>+'Tabela de BDI'!$F$9*C47</f>
        <v>2653.2000000000003</v>
      </c>
      <c r="S47" s="114"/>
    </row>
    <row r="48" spans="1:19" ht="15.75" customHeight="1" x14ac:dyDescent="0.25">
      <c r="A48" s="1"/>
      <c r="B48" s="116" t="s">
        <v>78</v>
      </c>
      <c r="C48" s="104">
        <f t="shared" si="5"/>
        <v>22.78</v>
      </c>
      <c r="D48" s="205" t="e">
        <f>ABS('Preço SFCR-GROWATT BYD'!$G$43-C48)</f>
        <v>#DIV/0!</v>
      </c>
      <c r="E48" s="181">
        <v>68</v>
      </c>
      <c r="F48" s="112">
        <f>+IF(K48=0,"",ROUND(M48/(1-'Tabela de BDI'!$C$3),0))</f>
        <v>88928</v>
      </c>
      <c r="G48" s="147" t="s">
        <v>205</v>
      </c>
      <c r="H48" s="106"/>
      <c r="I48" s="106">
        <f>2*I23+I25</f>
        <v>63155.259999999995</v>
      </c>
      <c r="J48" s="145">
        <f t="shared" si="6"/>
        <v>64117.01522842639</v>
      </c>
      <c r="K48" s="106">
        <f t="shared" si="7"/>
        <v>64117.01522842639</v>
      </c>
      <c r="L48" s="151">
        <f>+L47+((E48-E47)*125)</f>
        <v>13250</v>
      </c>
      <c r="M48" s="106">
        <f t="shared" si="8"/>
        <v>77367.01522842639</v>
      </c>
      <c r="N48" s="106">
        <f>IF(F48="","",F48*'Tabela de BDI'!$C$7)</f>
        <v>7114.24</v>
      </c>
      <c r="O48" s="106">
        <f>IF(F48="","",F48*'Tabela de BDI'!$C$8)</f>
        <v>4446.4000000000005</v>
      </c>
      <c r="P48" s="109">
        <f t="shared" si="9"/>
        <v>0.38696412618679754</v>
      </c>
      <c r="Q48" s="110">
        <f t="shared" si="10"/>
        <v>3.9037752414398592</v>
      </c>
      <c r="R48" s="111">
        <f>+'Tabela de BDI'!$F$9*C48</f>
        <v>2733.6000000000004</v>
      </c>
      <c r="S48" s="114"/>
    </row>
    <row r="49" spans="1:19" ht="15.75" customHeight="1" x14ac:dyDescent="0.25">
      <c r="A49" s="1"/>
      <c r="B49" s="116" t="s">
        <v>78</v>
      </c>
      <c r="C49" s="104">
        <f t="shared" si="5"/>
        <v>24.12</v>
      </c>
      <c r="D49" s="205" t="e">
        <f>ABS('Preço SFCR-GROWATT BYD'!$G$43-C49)</f>
        <v>#DIV/0!</v>
      </c>
      <c r="E49" s="181">
        <v>72</v>
      </c>
      <c r="F49" s="112">
        <f>+IF(K49=0,"",ROUND(M49/(1-'Tabela de BDI'!$C$3),0))</f>
        <v>95663</v>
      </c>
      <c r="G49" s="147" t="s">
        <v>202</v>
      </c>
      <c r="H49" s="106"/>
      <c r="I49" s="106">
        <f>3*I25</f>
        <v>68434.86</v>
      </c>
      <c r="J49" s="145">
        <f t="shared" si="6"/>
        <v>69477.015228426404</v>
      </c>
      <c r="K49" s="106">
        <f t="shared" si="7"/>
        <v>69477.015228426404</v>
      </c>
      <c r="L49" s="151">
        <f t="shared" ref="L49:L63" si="57">+L48+((E49-E48)*125)</f>
        <v>13750</v>
      </c>
      <c r="M49" s="106">
        <f t="shared" si="8"/>
        <v>83227.015228426404</v>
      </c>
      <c r="N49" s="106">
        <f>IF(F49="","",F49*'Tabela de BDI'!$C$7)</f>
        <v>7653.04</v>
      </c>
      <c r="O49" s="106">
        <f>IF(F49="","",F49*'Tabela de BDI'!$C$8)</f>
        <v>4783.1500000000005</v>
      </c>
      <c r="P49" s="109">
        <f t="shared" si="9"/>
        <v>0.37690140668074706</v>
      </c>
      <c r="Q49" s="110">
        <f t="shared" si="10"/>
        <v>3.966127694859038</v>
      </c>
      <c r="R49" s="111">
        <f>+'Tabela de BDI'!$F$9*C49</f>
        <v>2894.4</v>
      </c>
      <c r="S49" s="114"/>
    </row>
    <row r="50" spans="1:19" ht="15.75" customHeight="1" x14ac:dyDescent="0.25">
      <c r="A50" s="1"/>
      <c r="B50" s="116" t="s">
        <v>78</v>
      </c>
      <c r="C50" s="104">
        <f t="shared" si="5"/>
        <v>25.46</v>
      </c>
      <c r="D50" s="205" t="e">
        <f>ABS('Preço SFCR-GROWATT BYD'!$G$43-C50)</f>
        <v>#DIV/0!</v>
      </c>
      <c r="E50" s="181">
        <v>76</v>
      </c>
      <c r="F50" s="112">
        <f>+IF(K50=0,"",ROUND(M50/(1-'Tabela de BDI'!$C$3),0))</f>
        <v>99962</v>
      </c>
      <c r="G50" s="147" t="s">
        <v>202</v>
      </c>
      <c r="H50" s="106"/>
      <c r="I50" s="106">
        <f>I25+2*I27</f>
        <v>71626.259999999995</v>
      </c>
      <c r="J50" s="145">
        <f t="shared" si="6"/>
        <v>72717.01522842639</v>
      </c>
      <c r="K50" s="106">
        <f t="shared" si="7"/>
        <v>72717.01522842639</v>
      </c>
      <c r="L50" s="151">
        <f t="shared" si="57"/>
        <v>14250</v>
      </c>
      <c r="M50" s="106">
        <f t="shared" si="8"/>
        <v>86967.01522842639</v>
      </c>
      <c r="N50" s="106">
        <f>IF(F50="","",F50*'Tabela de BDI'!$C$7)</f>
        <v>7996.96</v>
      </c>
      <c r="O50" s="106">
        <f>IF(F50="","",F50*'Tabela de BDI'!$C$8)</f>
        <v>4998.1000000000004</v>
      </c>
      <c r="P50" s="109">
        <f t="shared" si="9"/>
        <v>0.37467138448943177</v>
      </c>
      <c r="Q50" s="110">
        <f t="shared" si="10"/>
        <v>3.9262372348782399</v>
      </c>
      <c r="R50" s="111">
        <f>+'Tabela de BDI'!$F$9*C50</f>
        <v>3055.2000000000003</v>
      </c>
      <c r="S50" s="114"/>
    </row>
    <row r="51" spans="1:19" ht="15.75" customHeight="1" x14ac:dyDescent="0.25">
      <c r="A51" s="1"/>
      <c r="B51" s="116" t="s">
        <v>78</v>
      </c>
      <c r="C51" s="104">
        <f t="shared" si="5"/>
        <v>26.130000000000003</v>
      </c>
      <c r="D51" s="205" t="e">
        <f>ABS('Preço SFCR-GROWATT BYD'!$G$43-C51)</f>
        <v>#DIV/0!</v>
      </c>
      <c r="E51" s="181">
        <v>78</v>
      </c>
      <c r="F51" s="112">
        <f>+IF(K51=0,"",ROUND(M51/(1-'Tabela de BDI'!$C$3),0))</f>
        <v>102112</v>
      </c>
      <c r="G51" s="147" t="s">
        <v>202</v>
      </c>
      <c r="H51" s="106"/>
      <c r="I51" s="106">
        <f>3*I27</f>
        <v>73221.959999999992</v>
      </c>
      <c r="J51" s="145">
        <f t="shared" si="6"/>
        <v>74337.01522842639</v>
      </c>
      <c r="K51" s="106">
        <f t="shared" si="7"/>
        <v>74337.01522842639</v>
      </c>
      <c r="L51" s="151">
        <f t="shared" si="57"/>
        <v>14500</v>
      </c>
      <c r="M51" s="106">
        <f t="shared" si="8"/>
        <v>88837.01522842639</v>
      </c>
      <c r="N51" s="106">
        <f>IF(F51="","",F51*'Tabela de BDI'!$C$7)</f>
        <v>8168.96</v>
      </c>
      <c r="O51" s="106">
        <f>IF(F51="","",F51*'Tabela de BDI'!$C$8)</f>
        <v>5105.6000000000004</v>
      </c>
      <c r="P51" s="109">
        <f t="shared" si="9"/>
        <v>0.3736359966327043</v>
      </c>
      <c r="Q51" s="110">
        <f t="shared" si="10"/>
        <v>3.9078453884424031</v>
      </c>
      <c r="R51" s="111">
        <f>+'Tabela de BDI'!$F$9*C51</f>
        <v>3135.6000000000004</v>
      </c>
      <c r="S51" s="114"/>
    </row>
    <row r="52" spans="1:19" ht="15.75" customHeight="1" x14ac:dyDescent="0.25">
      <c r="A52" s="1"/>
      <c r="B52" s="116" t="s">
        <v>78</v>
      </c>
      <c r="C52" s="104">
        <f t="shared" si="5"/>
        <v>26.8</v>
      </c>
      <c r="D52" s="205" t="e">
        <f>ABS('Preço SFCR-GROWATT BYD'!$G$43-C52)</f>
        <v>#DIV/0!</v>
      </c>
      <c r="E52" s="181">
        <v>80</v>
      </c>
      <c r="F52" s="112">
        <f>+IF(K52=0,"",ROUND(M52/(1-'Tabela de BDI'!$C$3),0))</f>
        <v>103882</v>
      </c>
      <c r="G52" s="147" t="s">
        <v>202</v>
      </c>
      <c r="H52" s="106"/>
      <c r="I52" s="106">
        <f>2*I27+I28</f>
        <v>74492.61</v>
      </c>
      <c r="J52" s="145">
        <f t="shared" si="6"/>
        <v>75627.015228426404</v>
      </c>
      <c r="K52" s="106">
        <f t="shared" si="7"/>
        <v>75627.015228426404</v>
      </c>
      <c r="L52" s="151">
        <f t="shared" si="57"/>
        <v>14750</v>
      </c>
      <c r="M52" s="106">
        <f t="shared" si="8"/>
        <v>90377.015228426404</v>
      </c>
      <c r="N52" s="106">
        <f>IF(F52="","",F52*'Tabela de BDI'!$C$7)</f>
        <v>8310.56</v>
      </c>
      <c r="O52" s="106">
        <f>IF(F52="","",F52*'Tabela de BDI'!$C$8)</f>
        <v>5194.1000000000004</v>
      </c>
      <c r="P52" s="109">
        <f t="shared" si="9"/>
        <v>0.37360967752371665</v>
      </c>
      <c r="Q52" s="110">
        <f t="shared" si="10"/>
        <v>3.8761940298507462</v>
      </c>
      <c r="R52" s="111">
        <f>+'Tabela de BDI'!$F$9*C52</f>
        <v>3216</v>
      </c>
      <c r="S52" s="114"/>
    </row>
    <row r="53" spans="1:19" ht="15.75" customHeight="1" x14ac:dyDescent="0.25">
      <c r="A53" s="1"/>
      <c r="B53" s="116" t="s">
        <v>78</v>
      </c>
      <c r="C53" s="104">
        <f t="shared" si="5"/>
        <v>28.14</v>
      </c>
      <c r="D53" s="205" t="e">
        <f>ABS('Preço SFCR-GROWATT BYD'!$G$43-C53)</f>
        <v>#DIV/0!</v>
      </c>
      <c r="E53" s="181">
        <v>84</v>
      </c>
      <c r="F53" s="112">
        <f>+IF(K53=0,"",ROUND(M53/(1-'Tabela de BDI'!$C$3),0))</f>
        <v>107422</v>
      </c>
      <c r="G53" s="147" t="s">
        <v>202</v>
      </c>
      <c r="H53" s="106"/>
      <c r="I53" s="106">
        <f>3*I28</f>
        <v>77033.91</v>
      </c>
      <c r="J53" s="145">
        <f t="shared" si="6"/>
        <v>78207.015228426404</v>
      </c>
      <c r="K53" s="106">
        <f t="shared" si="7"/>
        <v>78207.015228426404</v>
      </c>
      <c r="L53" s="151">
        <f t="shared" si="57"/>
        <v>15250</v>
      </c>
      <c r="M53" s="106">
        <f t="shared" si="8"/>
        <v>93457.015228426404</v>
      </c>
      <c r="N53" s="106">
        <f>IF(F53="","",F53*'Tabela de BDI'!$C$7)</f>
        <v>8593.76</v>
      </c>
      <c r="O53" s="106">
        <f>IF(F53="","",F53*'Tabela de BDI'!$C$8)</f>
        <v>5371.1</v>
      </c>
      <c r="P53" s="109">
        <f t="shared" si="9"/>
        <v>0.3735596440580517</v>
      </c>
      <c r="Q53" s="110">
        <f t="shared" si="10"/>
        <v>3.8174129353233828</v>
      </c>
      <c r="R53" s="111">
        <f>+'Tabela de BDI'!$F$9*C53</f>
        <v>3376.8</v>
      </c>
      <c r="S53" s="114"/>
    </row>
    <row r="54" spans="1:19" ht="15.75" customHeight="1" x14ac:dyDescent="0.25">
      <c r="A54" s="1"/>
      <c r="B54" s="116" t="s">
        <v>78</v>
      </c>
      <c r="C54" s="104">
        <f t="shared" si="5"/>
        <v>29.48</v>
      </c>
      <c r="D54" s="205" t="e">
        <f>ABS('Preço SFCR-GROWATT BYD'!$G$43-C54)</f>
        <v>#DIV/0!</v>
      </c>
      <c r="E54" s="181">
        <v>88</v>
      </c>
      <c r="F54" s="112">
        <f>+IF(K54=0,"",ROUND(M54/(1-'Tabela de BDI'!$C$3),0))</f>
        <v>111721</v>
      </c>
      <c r="G54" s="147" t="s">
        <v>202</v>
      </c>
      <c r="H54" s="106"/>
      <c r="I54" s="106">
        <f>I28+2*I29</f>
        <v>80225.31</v>
      </c>
      <c r="J54" s="145">
        <f t="shared" si="6"/>
        <v>81447.01522842639</v>
      </c>
      <c r="K54" s="106">
        <f t="shared" si="7"/>
        <v>81447.01522842639</v>
      </c>
      <c r="L54" s="151">
        <f t="shared" si="57"/>
        <v>15750</v>
      </c>
      <c r="M54" s="106">
        <f t="shared" si="8"/>
        <v>97197.01522842639</v>
      </c>
      <c r="N54" s="106">
        <f>IF(F54="","",F54*'Tabela de BDI'!$C$7)</f>
        <v>8937.68</v>
      </c>
      <c r="O54" s="106">
        <f>IF(F54="","",F54*'Tabela de BDI'!$C$8)</f>
        <v>5586.05</v>
      </c>
      <c r="P54" s="109">
        <f t="shared" si="9"/>
        <v>0.37170158644447754</v>
      </c>
      <c r="Q54" s="110">
        <f t="shared" si="10"/>
        <v>3.7897218453188604</v>
      </c>
      <c r="R54" s="111">
        <f>+'Tabela de BDI'!$F$9*C54</f>
        <v>3537.6</v>
      </c>
      <c r="S54" s="114"/>
    </row>
    <row r="55" spans="1:19" ht="15.75" customHeight="1" x14ac:dyDescent="0.25">
      <c r="A55" s="1"/>
      <c r="B55" s="116" t="s">
        <v>78</v>
      </c>
      <c r="C55" s="104">
        <f t="shared" si="5"/>
        <v>30.150000000000002</v>
      </c>
      <c r="D55" s="205" t="e">
        <f>ABS('Preço SFCR-GROWATT BYD'!$G$43-C55)</f>
        <v>#DIV/0!</v>
      </c>
      <c r="E55" s="181">
        <v>90</v>
      </c>
      <c r="F55" s="112">
        <f>+IF(K55=0,"",ROUND(M55/(1-'Tabela de BDI'!$C$3),0))</f>
        <v>113870</v>
      </c>
      <c r="G55" s="147" t="s">
        <v>202</v>
      </c>
      <c r="H55" s="106"/>
      <c r="I55" s="106">
        <f>3*I29</f>
        <v>81821.009999999995</v>
      </c>
      <c r="J55" s="145">
        <f t="shared" si="6"/>
        <v>83067.01522842639</v>
      </c>
      <c r="K55" s="106">
        <f t="shared" si="7"/>
        <v>83067.01522842639</v>
      </c>
      <c r="L55" s="151">
        <f t="shared" si="57"/>
        <v>16000</v>
      </c>
      <c r="M55" s="106">
        <f t="shared" si="8"/>
        <v>99067.01522842639</v>
      </c>
      <c r="N55" s="106">
        <f>IF(F55="","",F55*'Tabela de BDI'!$C$7)</f>
        <v>9109.6</v>
      </c>
      <c r="O55" s="106">
        <f>IF(F55="","",F55*'Tabela de BDI'!$C$8)</f>
        <v>5693.5</v>
      </c>
      <c r="P55" s="109">
        <f t="shared" si="9"/>
        <v>0.37082089306890748</v>
      </c>
      <c r="Q55" s="110">
        <f t="shared" si="10"/>
        <v>3.7767827529021556</v>
      </c>
      <c r="R55" s="111">
        <f>+'Tabela de BDI'!$F$9*C55</f>
        <v>3618.0000000000005</v>
      </c>
      <c r="S55" s="114"/>
    </row>
    <row r="56" spans="1:19" ht="15.75" customHeight="1" x14ac:dyDescent="0.25">
      <c r="A56" s="1"/>
      <c r="B56" s="116" t="s">
        <v>78</v>
      </c>
      <c r="C56" s="104">
        <f t="shared" si="5"/>
        <v>30.82</v>
      </c>
      <c r="D56" s="205" t="e">
        <f>ABS('Preço SFCR-GROWATT BYD'!$G$43-C56)</f>
        <v>#DIV/0!</v>
      </c>
      <c r="E56" s="181">
        <v>92</v>
      </c>
      <c r="F56" s="112">
        <f>+IF(K56=0,"",ROUND(M56/(1-'Tabela de BDI'!$C$3),0))</f>
        <v>82331</v>
      </c>
      <c r="G56" s="147" t="s">
        <v>202</v>
      </c>
      <c r="H56" s="106"/>
      <c r="I56" s="106">
        <f>2*I29+I30</f>
        <v>54547.34</v>
      </c>
      <c r="J56" s="145">
        <f t="shared" si="6"/>
        <v>55378.01015228426</v>
      </c>
      <c r="K56" s="106">
        <f t="shared" si="7"/>
        <v>55378.01015228426</v>
      </c>
      <c r="L56" s="151">
        <f t="shared" si="57"/>
        <v>16250</v>
      </c>
      <c r="M56" s="106">
        <f t="shared" si="8"/>
        <v>71628.01015228426</v>
      </c>
      <c r="N56" s="106">
        <f>IF(F56="","",F56*'Tabela de BDI'!$C$7)</f>
        <v>6586.4800000000005</v>
      </c>
      <c r="O56" s="106">
        <f>IF(F56="","",F56*'Tabela de BDI'!$C$8)</f>
        <v>4116.55</v>
      </c>
      <c r="P56" s="109">
        <f t="shared" si="9"/>
        <v>0.48670925108355434</v>
      </c>
      <c r="Q56" s="110">
        <f t="shared" si="10"/>
        <v>2.6713497728747564</v>
      </c>
      <c r="R56" s="111">
        <f>+'Tabela de BDI'!$F$9*C56</f>
        <v>3698.4</v>
      </c>
      <c r="S56" s="114"/>
    </row>
    <row r="57" spans="1:19" ht="15.75" customHeight="1" x14ac:dyDescent="0.25">
      <c r="A57" s="1"/>
      <c r="B57" s="116" t="s">
        <v>78</v>
      </c>
      <c r="C57" s="104">
        <f t="shared" si="5"/>
        <v>31.825000000000003</v>
      </c>
      <c r="D57" s="205" t="e">
        <f>ABS('Preço SFCR-GROWATT BYD'!$G$43-C57)</f>
        <v>#DIV/0!</v>
      </c>
      <c r="E57" s="181">
        <v>95</v>
      </c>
      <c r="F57" s="112" t="str">
        <f>+IF(K57=0,"",ROUND(M57/(1-'Tabela de BDI'!$C$3),0))</f>
        <v/>
      </c>
      <c r="G57" s="107"/>
      <c r="H57" s="106"/>
      <c r="I57" s="106"/>
      <c r="J57" s="145">
        <f t="shared" si="6"/>
        <v>0</v>
      </c>
      <c r="K57" s="106">
        <f t="shared" si="7"/>
        <v>0</v>
      </c>
      <c r="L57" s="151">
        <f t="shared" si="57"/>
        <v>16625</v>
      </c>
      <c r="M57" s="106">
        <f t="shared" si="8"/>
        <v>16625</v>
      </c>
      <c r="N57" s="106" t="str">
        <f>IF(F57="","",F57*'Tabela de BDI'!$C$7)</f>
        <v/>
      </c>
      <c r="O57" s="106" t="str">
        <f>IF(F57="","",F57*'Tabela de BDI'!$C$8)</f>
        <v/>
      </c>
      <c r="P57" s="109" t="str">
        <f t="shared" si="9"/>
        <v/>
      </c>
      <c r="Q57" s="110" t="str">
        <f t="shared" si="10"/>
        <v/>
      </c>
      <c r="R57" s="111">
        <f>+'Tabela de BDI'!$F$9*C57</f>
        <v>3819.0000000000005</v>
      </c>
      <c r="S57" s="114"/>
    </row>
    <row r="58" spans="1:19" ht="15.75" customHeight="1" x14ac:dyDescent="0.25">
      <c r="A58" s="1"/>
      <c r="B58" s="116" t="s">
        <v>78</v>
      </c>
      <c r="C58" s="104">
        <f t="shared" si="5"/>
        <v>32.160000000000004</v>
      </c>
      <c r="D58" s="205" t="e">
        <f>ABS('Preço SFCR-GROWATT BYD'!$G$43-C58)</f>
        <v>#DIV/0!</v>
      </c>
      <c r="E58" s="181">
        <v>96</v>
      </c>
      <c r="F58" s="112" t="str">
        <f>+IF(K58=0,"",ROUND(M58/(1-'Tabela de BDI'!$C$3),0))</f>
        <v/>
      </c>
      <c r="G58" s="147" t="s">
        <v>202</v>
      </c>
      <c r="H58" s="106"/>
      <c r="I58" s="106">
        <f>3*I30</f>
        <v>0</v>
      </c>
      <c r="J58" s="145">
        <f t="shared" si="6"/>
        <v>0</v>
      </c>
      <c r="K58" s="106">
        <f t="shared" si="7"/>
        <v>0</v>
      </c>
      <c r="L58" s="151">
        <f t="shared" si="57"/>
        <v>16750</v>
      </c>
      <c r="M58" s="106">
        <f t="shared" si="8"/>
        <v>16750</v>
      </c>
      <c r="N58" s="106" t="str">
        <f>IF(F58="","",F58*'Tabela de BDI'!$C$7)</f>
        <v/>
      </c>
      <c r="O58" s="106" t="str">
        <f>IF(F58="","",F58*'Tabela de BDI'!$C$8)</f>
        <v/>
      </c>
      <c r="P58" s="109" t="str">
        <f t="shared" si="9"/>
        <v/>
      </c>
      <c r="Q58" s="110" t="str">
        <f t="shared" si="10"/>
        <v/>
      </c>
      <c r="R58" s="111">
        <f>+'Tabela de BDI'!$F$9*C58</f>
        <v>3859.2000000000003</v>
      </c>
      <c r="S58" s="114"/>
    </row>
    <row r="59" spans="1:19" ht="15.75" customHeight="1" x14ac:dyDescent="0.25">
      <c r="A59" s="1"/>
      <c r="B59" s="116" t="s">
        <v>78</v>
      </c>
      <c r="C59" s="104">
        <f t="shared" si="5"/>
        <v>32.830000000000005</v>
      </c>
      <c r="D59" s="205" t="e">
        <f>ABS('Preço SFCR-GROWATT BYD'!$G$43-C59)</f>
        <v>#DIV/0!</v>
      </c>
      <c r="E59" s="181">
        <v>98</v>
      </c>
      <c r="F59" s="112" t="str">
        <f>+IF(K59=0,"",ROUND(M59/(1-'Tabela de BDI'!$C$3),0))</f>
        <v/>
      </c>
      <c r="G59" s="107"/>
      <c r="H59" s="106"/>
      <c r="I59" s="143"/>
      <c r="J59" s="145">
        <f t="shared" si="6"/>
        <v>0</v>
      </c>
      <c r="K59" s="106">
        <f t="shared" si="7"/>
        <v>0</v>
      </c>
      <c r="L59" s="151">
        <f t="shared" si="57"/>
        <v>17000</v>
      </c>
      <c r="M59" s="106">
        <f t="shared" si="8"/>
        <v>17000</v>
      </c>
      <c r="N59" s="106" t="str">
        <f>IF(F59="","",F59*'Tabela de BDI'!$C$7)</f>
        <v/>
      </c>
      <c r="O59" s="106" t="str">
        <f>IF(F59="","",F59*'Tabela de BDI'!$C$8)</f>
        <v/>
      </c>
      <c r="P59" s="109" t="str">
        <f t="shared" si="9"/>
        <v/>
      </c>
      <c r="Q59" s="110" t="str">
        <f t="shared" si="10"/>
        <v/>
      </c>
      <c r="R59" s="111">
        <f>+'Tabela de BDI'!$F$9*C59</f>
        <v>3939.6000000000008</v>
      </c>
      <c r="S59" s="114"/>
    </row>
    <row r="60" spans="1:19" ht="15.75" customHeight="1" x14ac:dyDescent="0.25">
      <c r="A60" s="1"/>
      <c r="B60" s="116" t="s">
        <v>78</v>
      </c>
      <c r="C60" s="104">
        <f t="shared" si="5"/>
        <v>33.5</v>
      </c>
      <c r="D60" s="205" t="e">
        <f>ABS('Preço SFCR-GROWATT BYD'!$G$43-C60)</f>
        <v>#DIV/0!</v>
      </c>
      <c r="E60" s="181">
        <v>100</v>
      </c>
      <c r="F60" s="112" t="str">
        <f>+IF(K60=0,"",ROUND(M60/(1-'Tabela de BDI'!$C$3),0))</f>
        <v/>
      </c>
      <c r="G60" s="107"/>
      <c r="H60" s="106"/>
      <c r="I60" s="143"/>
      <c r="J60" s="145">
        <f t="shared" si="6"/>
        <v>0</v>
      </c>
      <c r="K60" s="106">
        <f t="shared" si="7"/>
        <v>0</v>
      </c>
      <c r="L60" s="151">
        <f t="shared" si="57"/>
        <v>17250</v>
      </c>
      <c r="M60" s="106">
        <f t="shared" si="8"/>
        <v>17250</v>
      </c>
      <c r="N60" s="106" t="str">
        <f>IF(F60="","",F60*'Tabela de BDI'!$C$7)</f>
        <v/>
      </c>
      <c r="O60" s="106" t="str">
        <f>IF(F60="","",F60*'Tabela de BDI'!$C$8)</f>
        <v/>
      </c>
      <c r="P60" s="109" t="str">
        <f t="shared" si="9"/>
        <v/>
      </c>
      <c r="Q60" s="110" t="str">
        <f t="shared" si="10"/>
        <v/>
      </c>
      <c r="R60" s="111">
        <f>+'Tabela de BDI'!$F$9*C60</f>
        <v>4020</v>
      </c>
      <c r="S60" s="114"/>
    </row>
    <row r="61" spans="1:19" ht="15.75" customHeight="1" x14ac:dyDescent="0.25">
      <c r="A61" s="1"/>
      <c r="B61" s="116" t="s">
        <v>78</v>
      </c>
      <c r="C61" s="104">
        <f t="shared" si="5"/>
        <v>34.17</v>
      </c>
      <c r="D61" s="205" t="e">
        <f>ABS('Preço SFCR-GROWATT BYD'!$G$43-C61)</f>
        <v>#DIV/0!</v>
      </c>
      <c r="E61" s="181">
        <v>102</v>
      </c>
      <c r="F61" s="112" t="str">
        <f>+IF(K61=0,"",ROUND(M61/(1-'Tabela de BDI'!$C$3),0))</f>
        <v/>
      </c>
      <c r="G61" s="107"/>
      <c r="H61" s="106"/>
      <c r="I61" s="143"/>
      <c r="J61" s="145">
        <f t="shared" si="6"/>
        <v>0</v>
      </c>
      <c r="K61" s="106">
        <f t="shared" si="7"/>
        <v>0</v>
      </c>
      <c r="L61" s="151">
        <f t="shared" si="57"/>
        <v>17500</v>
      </c>
      <c r="M61" s="106">
        <f t="shared" si="8"/>
        <v>17500</v>
      </c>
      <c r="N61" s="106" t="str">
        <f>IF(F61="","",F61*'Tabela de BDI'!$C$7)</f>
        <v/>
      </c>
      <c r="O61" s="106" t="str">
        <f>IF(F61="","",F61*'Tabela de BDI'!$C$8)</f>
        <v/>
      </c>
      <c r="P61" s="109" t="str">
        <f t="shared" si="9"/>
        <v/>
      </c>
      <c r="Q61" s="110" t="str">
        <f t="shared" si="10"/>
        <v/>
      </c>
      <c r="R61" s="111">
        <f>+'Tabela de BDI'!$F$9*C61</f>
        <v>4100.4000000000005</v>
      </c>
      <c r="S61" s="114"/>
    </row>
    <row r="62" spans="1:19" ht="15.75" customHeight="1" x14ac:dyDescent="0.25">
      <c r="A62" s="1"/>
      <c r="B62" s="116" t="s">
        <v>78</v>
      </c>
      <c r="C62" s="104">
        <f t="shared" si="5"/>
        <v>34.840000000000003</v>
      </c>
      <c r="D62" s="205" t="e">
        <f>ABS('Preço SFCR-GROWATT BYD'!$G$43-C62)</f>
        <v>#DIV/0!</v>
      </c>
      <c r="E62" s="181">
        <v>104</v>
      </c>
      <c r="F62" s="112" t="str">
        <f>+IF(K62=0,"",ROUND(M62/(1-'Tabela de BDI'!$C$3),0))</f>
        <v/>
      </c>
      <c r="G62" s="107"/>
      <c r="H62" s="106"/>
      <c r="I62" s="143"/>
      <c r="J62" s="145">
        <f t="shared" si="6"/>
        <v>0</v>
      </c>
      <c r="K62" s="106">
        <f t="shared" si="7"/>
        <v>0</v>
      </c>
      <c r="L62" s="151">
        <f t="shared" si="57"/>
        <v>17750</v>
      </c>
      <c r="M62" s="106">
        <f t="shared" si="8"/>
        <v>17750</v>
      </c>
      <c r="N62" s="106" t="str">
        <f>IF(F62="","",F62*'Tabela de BDI'!$C$7)</f>
        <v/>
      </c>
      <c r="O62" s="106" t="str">
        <f>IF(F62="","",F62*'Tabela de BDI'!$C$8)</f>
        <v/>
      </c>
      <c r="P62" s="109" t="str">
        <f t="shared" si="9"/>
        <v/>
      </c>
      <c r="Q62" s="110" t="str">
        <f t="shared" si="10"/>
        <v/>
      </c>
      <c r="R62" s="111">
        <f>+'Tabela de BDI'!$F$9*C62</f>
        <v>4180.8</v>
      </c>
      <c r="S62" s="114"/>
    </row>
    <row r="63" spans="1:19" ht="15.75" customHeight="1" x14ac:dyDescent="0.25">
      <c r="A63" s="1"/>
      <c r="B63" s="116" t="s">
        <v>78</v>
      </c>
      <c r="C63" s="104">
        <f t="shared" si="5"/>
        <v>36.18</v>
      </c>
      <c r="D63" s="205" t="e">
        <f>ABS('Preço SFCR-GROWATT BYD'!$G$43-C63)</f>
        <v>#DIV/0!</v>
      </c>
      <c r="E63" s="181">
        <v>108</v>
      </c>
      <c r="F63" s="112" t="str">
        <f>+IF(K63=0,"",ROUND(M63/(1-'Tabela de BDI'!$C$3),0))</f>
        <v/>
      </c>
      <c r="G63" s="107"/>
      <c r="H63" s="106"/>
      <c r="I63" s="143"/>
      <c r="J63" s="145">
        <f t="shared" si="6"/>
        <v>0</v>
      </c>
      <c r="K63" s="106">
        <f t="shared" si="7"/>
        <v>0</v>
      </c>
      <c r="L63" s="151">
        <f t="shared" si="57"/>
        <v>18250</v>
      </c>
      <c r="M63" s="106">
        <f t="shared" si="8"/>
        <v>18250</v>
      </c>
      <c r="N63" s="106" t="str">
        <f>IF(F63="","",F63*'Tabela de BDI'!$C$7)</f>
        <v/>
      </c>
      <c r="O63" s="106" t="str">
        <f>IF(F63="","",F63*'Tabela de BDI'!$C$8)</f>
        <v/>
      </c>
      <c r="P63" s="109" t="str">
        <f t="shared" si="9"/>
        <v/>
      </c>
      <c r="Q63" s="110" t="str">
        <f t="shared" si="10"/>
        <v/>
      </c>
      <c r="R63" s="111">
        <f>+'Tabela de BDI'!$F$9*C63</f>
        <v>4341.6000000000004</v>
      </c>
      <c r="S63" s="114"/>
    </row>
    <row r="64" spans="1:19" ht="15.75" customHeight="1" x14ac:dyDescent="0.25">
      <c r="A64" s="1"/>
      <c r="B64" s="117"/>
      <c r="C64" s="104"/>
      <c r="D64" s="201"/>
      <c r="E64" s="105"/>
      <c r="F64" s="106"/>
      <c r="G64" s="107"/>
      <c r="H64" s="106"/>
      <c r="I64" s="143"/>
      <c r="J64" s="106"/>
      <c r="K64" s="106">
        <f t="shared" si="7"/>
        <v>0</v>
      </c>
      <c r="L64" s="106"/>
      <c r="M64" s="106"/>
      <c r="N64" s="106" t="str">
        <f>IF(F64="","",F64*'Tabela de BDI'!$C$7)</f>
        <v/>
      </c>
      <c r="O64" s="106" t="str">
        <f>IF(F64="","",F64*'Tabela de BDI'!$C$8)</f>
        <v/>
      </c>
      <c r="P64" s="109" t="str">
        <f t="shared" si="9"/>
        <v/>
      </c>
      <c r="Q64" s="110" t="str">
        <f t="shared" si="10"/>
        <v/>
      </c>
      <c r="R64" s="111"/>
      <c r="S64" s="114"/>
    </row>
    <row r="65" spans="1:19" ht="15.75" customHeight="1" x14ac:dyDescent="0.25">
      <c r="A65" s="1"/>
      <c r="B65" s="117"/>
      <c r="C65" s="104"/>
      <c r="D65" s="201"/>
      <c r="E65" s="105"/>
      <c r="F65" s="106"/>
      <c r="G65" s="107"/>
      <c r="H65" s="106"/>
      <c r="I65" s="143"/>
      <c r="J65" s="106"/>
      <c r="K65" s="106">
        <f t="shared" si="7"/>
        <v>0</v>
      </c>
      <c r="L65" s="106"/>
      <c r="M65" s="106"/>
      <c r="N65" s="106" t="str">
        <f>IF(F65="","",F65*'Tabela de BDI'!$C$7)</f>
        <v/>
      </c>
      <c r="O65" s="106" t="str">
        <f>IF(F65="","",F65*'Tabela de BDI'!$C$8)</f>
        <v/>
      </c>
      <c r="P65" s="109" t="str">
        <f t="shared" si="9"/>
        <v/>
      </c>
      <c r="Q65" s="110" t="str">
        <f t="shared" si="10"/>
        <v/>
      </c>
      <c r="R65" s="111"/>
      <c r="S65" s="114"/>
    </row>
    <row r="66" spans="1:19" ht="15.75" customHeight="1" x14ac:dyDescent="0.25">
      <c r="A66" s="1"/>
      <c r="B66" s="117"/>
      <c r="C66" s="104"/>
      <c r="D66" s="201"/>
      <c r="E66" s="105"/>
      <c r="F66" s="106"/>
      <c r="G66" s="107"/>
      <c r="H66" s="106"/>
      <c r="I66" s="143"/>
      <c r="J66" s="106"/>
      <c r="K66" s="106">
        <f t="shared" si="7"/>
        <v>0</v>
      </c>
      <c r="L66" s="106"/>
      <c r="M66" s="106"/>
      <c r="N66" s="106" t="str">
        <f>IF(F66="","",F66*'Tabela de BDI'!$C$7)</f>
        <v/>
      </c>
      <c r="O66" s="106" t="str">
        <f>IF(F66="","",F66*'Tabela de BDI'!$C$8)</f>
        <v/>
      </c>
      <c r="P66" s="109" t="str">
        <f t="shared" si="9"/>
        <v/>
      </c>
      <c r="Q66" s="110" t="str">
        <f t="shared" si="10"/>
        <v/>
      </c>
      <c r="R66" s="111"/>
      <c r="S66" s="114"/>
    </row>
    <row r="67" spans="1:19" ht="15.75" customHeight="1" x14ac:dyDescent="0.25">
      <c r="A67" s="1"/>
      <c r="B67" s="117"/>
      <c r="C67" s="104"/>
      <c r="D67" s="201"/>
      <c r="E67" s="105"/>
      <c r="F67" s="106"/>
      <c r="G67" s="107"/>
      <c r="H67" s="106"/>
      <c r="I67" s="143"/>
      <c r="J67" s="106"/>
      <c r="K67" s="106">
        <f t="shared" si="7"/>
        <v>0</v>
      </c>
      <c r="L67" s="106"/>
      <c r="M67" s="106"/>
      <c r="N67" s="106" t="str">
        <f>IF(F67="","",F67*'Tabela de BDI'!$C$7)</f>
        <v/>
      </c>
      <c r="O67" s="106" t="str">
        <f>IF(F67="","",F67*'Tabela de BDI'!$C$8)</f>
        <v/>
      </c>
      <c r="P67" s="109" t="str">
        <f t="shared" si="9"/>
        <v/>
      </c>
      <c r="Q67" s="110" t="str">
        <f t="shared" si="10"/>
        <v/>
      </c>
      <c r="R67" s="111"/>
      <c r="S67" s="114"/>
    </row>
    <row r="68" spans="1:19" ht="15.75" customHeight="1" x14ac:dyDescent="0.25">
      <c r="A68" s="1"/>
      <c r="B68" s="117"/>
      <c r="C68" s="104"/>
      <c r="D68" s="201"/>
      <c r="E68" s="105"/>
      <c r="F68" s="106"/>
      <c r="G68" s="107"/>
      <c r="H68" s="106"/>
      <c r="I68" s="143"/>
      <c r="J68" s="106"/>
      <c r="K68" s="106">
        <f t="shared" si="7"/>
        <v>0</v>
      </c>
      <c r="L68" s="106"/>
      <c r="M68" s="106"/>
      <c r="N68" s="106" t="str">
        <f>IF(F68="","",F68*'Tabela de BDI'!$C$7)</f>
        <v/>
      </c>
      <c r="O68" s="106" t="str">
        <f>IF(F68="","",F68*'Tabela de BDI'!$C$8)</f>
        <v/>
      </c>
      <c r="P68" s="109" t="str">
        <f t="shared" si="9"/>
        <v/>
      </c>
      <c r="Q68" s="110" t="str">
        <f t="shared" si="10"/>
        <v/>
      </c>
      <c r="R68" s="111"/>
      <c r="S68" s="114"/>
    </row>
    <row r="69" spans="1:19" ht="15.75" customHeight="1" x14ac:dyDescent="0.25">
      <c r="A69" s="1"/>
      <c r="B69" s="117"/>
      <c r="C69" s="104"/>
      <c r="D69" s="201"/>
      <c r="E69" s="105"/>
      <c r="F69" s="106"/>
      <c r="G69" s="107"/>
      <c r="H69" s="106"/>
      <c r="I69" s="143"/>
      <c r="J69" s="106"/>
      <c r="K69" s="106">
        <f t="shared" si="7"/>
        <v>0</v>
      </c>
      <c r="L69" s="106"/>
      <c r="M69" s="106"/>
      <c r="N69" s="106" t="str">
        <f>IF(F69="","",F69*'Tabela de BDI'!$C$7)</f>
        <v/>
      </c>
      <c r="O69" s="106" t="str">
        <f>IF(F69="","",F69*'Tabela de BDI'!$C$8)</f>
        <v/>
      </c>
      <c r="P69" s="109" t="str">
        <f t="shared" si="9"/>
        <v/>
      </c>
      <c r="Q69" s="110" t="str">
        <f t="shared" si="10"/>
        <v/>
      </c>
      <c r="R69" s="111"/>
      <c r="S69" s="114"/>
    </row>
    <row r="70" spans="1:19" ht="15.75" customHeight="1" x14ac:dyDescent="0.25">
      <c r="A70" s="1"/>
      <c r="B70" s="1"/>
      <c r="C70" s="1"/>
      <c r="D70" s="199"/>
      <c r="E70" s="1"/>
      <c r="F70" s="1"/>
      <c r="G70" s="1"/>
      <c r="H70" s="1"/>
      <c r="I70" s="142"/>
      <c r="J70" s="1"/>
      <c r="K70" s="118"/>
      <c r="L70" s="118"/>
      <c r="M70" s="118"/>
      <c r="N70" s="118"/>
      <c r="O70" s="118"/>
      <c r="P70" s="118"/>
      <c r="Q70" s="118"/>
      <c r="R70" s="1"/>
      <c r="S70" s="1"/>
    </row>
    <row r="71" spans="1:19" ht="15.75" customHeight="1" x14ac:dyDescent="0.25">
      <c r="A71" s="1"/>
      <c r="B71" s="337" t="s">
        <v>79</v>
      </c>
      <c r="C71" s="338"/>
      <c r="D71" s="198"/>
      <c r="E71" s="1"/>
      <c r="F71" s="119"/>
      <c r="G71" s="1"/>
      <c r="H71" s="1"/>
      <c r="I71" s="142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19">
        <v>44332</v>
      </c>
      <c r="C72" s="1"/>
      <c r="D72" s="199"/>
      <c r="E72" s="1"/>
      <c r="F72" s="1"/>
      <c r="G72" s="1"/>
      <c r="H72" s="1"/>
      <c r="I72" s="142"/>
      <c r="J72" s="1"/>
      <c r="R72" s="1"/>
      <c r="S72" s="1"/>
    </row>
    <row r="73" spans="1:19" ht="15.75" customHeight="1" x14ac:dyDescent="0.25">
      <c r="A73" s="1"/>
      <c r="B73" s="1"/>
      <c r="C73" s="1"/>
      <c r="D73" s="199"/>
      <c r="E73" s="1"/>
      <c r="F73" s="1"/>
      <c r="G73" s="1"/>
      <c r="H73" s="1"/>
      <c r="I73" s="142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99"/>
      <c r="E74" s="1"/>
      <c r="F74" s="1"/>
      <c r="G74" s="1"/>
      <c r="H74" s="1"/>
      <c r="I74" s="142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99"/>
      <c r="E75" s="1"/>
      <c r="F75" s="1"/>
      <c r="G75" s="1"/>
      <c r="H75" s="1"/>
      <c r="I75" s="142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99"/>
      <c r="E76" s="1"/>
      <c r="F76" s="1"/>
      <c r="G76" s="1"/>
      <c r="H76" s="1"/>
      <c r="I76" s="142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99"/>
      <c r="E77" s="1"/>
      <c r="F77" s="1"/>
      <c r="G77" s="1"/>
      <c r="H77" s="1"/>
      <c r="I77" s="142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99"/>
      <c r="E78" s="1"/>
      <c r="F78" s="1"/>
      <c r="G78" s="1"/>
      <c r="H78" s="1"/>
      <c r="I78" s="142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99"/>
      <c r="E79" s="1"/>
      <c r="F79" s="1"/>
      <c r="G79" s="1"/>
      <c r="H79" s="1"/>
      <c r="I79" s="142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99"/>
      <c r="E80" s="1"/>
      <c r="F80" s="1"/>
      <c r="G80" s="1"/>
      <c r="H80" s="1"/>
      <c r="I80" s="142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99"/>
      <c r="E81" s="1"/>
      <c r="F81" s="1"/>
      <c r="G81" s="1"/>
      <c r="H81" s="1"/>
      <c r="I81" s="142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99"/>
      <c r="E82" s="1"/>
      <c r="F82" s="1"/>
      <c r="G82" s="1"/>
      <c r="H82" s="1"/>
      <c r="I82" s="142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99"/>
      <c r="E83" s="1"/>
      <c r="F83" s="1"/>
      <c r="G83" s="1"/>
      <c r="H83" s="1"/>
      <c r="I83" s="142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99"/>
      <c r="E84" s="1"/>
      <c r="F84" s="1"/>
      <c r="G84" s="1"/>
      <c r="H84" s="1"/>
      <c r="I84" s="142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99"/>
      <c r="E85" s="1"/>
      <c r="F85" s="1"/>
      <c r="G85" s="1"/>
      <c r="H85" s="1"/>
      <c r="I85" s="142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99"/>
      <c r="E86" s="1"/>
      <c r="F86" s="1"/>
      <c r="G86" s="1"/>
      <c r="H86" s="1"/>
      <c r="I86" s="142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99"/>
      <c r="E87" s="1"/>
      <c r="F87" s="1"/>
      <c r="G87" s="1"/>
      <c r="H87" s="1"/>
      <c r="I87" s="142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99"/>
      <c r="E88" s="1"/>
      <c r="F88" s="1"/>
      <c r="G88" s="1"/>
      <c r="H88" s="1"/>
      <c r="I88" s="142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99"/>
      <c r="E89" s="1"/>
      <c r="F89" s="1"/>
      <c r="G89" s="1"/>
      <c r="H89" s="1"/>
      <c r="I89" s="142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99"/>
      <c r="E90" s="1"/>
      <c r="F90" s="1"/>
      <c r="G90" s="1"/>
      <c r="H90" s="1"/>
      <c r="I90" s="142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99"/>
      <c r="E91" s="1"/>
      <c r="F91" s="1"/>
      <c r="G91" s="1"/>
      <c r="H91" s="1"/>
      <c r="I91" s="142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99"/>
      <c r="E92" s="1"/>
      <c r="F92" s="1"/>
      <c r="G92" s="1"/>
      <c r="H92" s="1"/>
      <c r="I92" s="142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99"/>
      <c r="E93" s="1"/>
      <c r="F93" s="1"/>
      <c r="G93" s="1"/>
      <c r="H93" s="1"/>
      <c r="I93" s="142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99"/>
      <c r="E94" s="1"/>
      <c r="F94" s="1"/>
      <c r="G94" s="1"/>
      <c r="H94" s="1"/>
      <c r="I94" s="142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99"/>
      <c r="E95" s="1"/>
      <c r="F95" s="1"/>
      <c r="G95" s="1"/>
      <c r="H95" s="1"/>
      <c r="I95" s="142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99"/>
      <c r="E96" s="1"/>
      <c r="F96" s="1"/>
      <c r="G96" s="1"/>
      <c r="H96" s="1"/>
      <c r="I96" s="142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99"/>
      <c r="E97" s="1"/>
      <c r="F97" s="1"/>
      <c r="G97" s="1"/>
      <c r="H97" s="1"/>
      <c r="I97" s="142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99"/>
      <c r="E98" s="1"/>
      <c r="F98" s="1"/>
      <c r="G98" s="1"/>
      <c r="H98" s="1"/>
      <c r="I98" s="142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99"/>
      <c r="E99" s="1"/>
      <c r="F99" s="1"/>
      <c r="G99" s="1"/>
      <c r="H99" s="1"/>
      <c r="I99" s="142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99"/>
      <c r="E100" s="1"/>
      <c r="F100" s="1"/>
      <c r="G100" s="1"/>
      <c r="H100" s="1"/>
      <c r="I100" s="142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99"/>
      <c r="E101" s="1"/>
      <c r="F101" s="1"/>
      <c r="G101" s="1"/>
      <c r="H101" s="1"/>
      <c r="I101" s="142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99"/>
      <c r="E102" s="1"/>
      <c r="F102" s="1"/>
      <c r="G102" s="1"/>
      <c r="H102" s="1"/>
      <c r="I102" s="142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99"/>
      <c r="E103" s="1"/>
      <c r="F103" s="1"/>
      <c r="G103" s="1"/>
      <c r="H103" s="1"/>
      <c r="I103" s="142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99"/>
      <c r="E104" s="1"/>
      <c r="F104" s="1"/>
      <c r="G104" s="1"/>
      <c r="H104" s="1"/>
      <c r="I104" s="142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99"/>
      <c r="E105" s="1"/>
      <c r="F105" s="1"/>
      <c r="G105" s="1"/>
      <c r="H105" s="1"/>
      <c r="I105" s="142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99"/>
      <c r="E106" s="1"/>
      <c r="F106" s="1"/>
      <c r="G106" s="1"/>
      <c r="H106" s="1"/>
      <c r="I106" s="142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99"/>
      <c r="E107" s="1"/>
      <c r="F107" s="1"/>
      <c r="G107" s="1"/>
      <c r="H107" s="1"/>
      <c r="I107" s="142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99"/>
      <c r="E108" s="1"/>
      <c r="F108" s="1"/>
      <c r="G108" s="1"/>
      <c r="H108" s="1"/>
      <c r="I108" s="142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99"/>
      <c r="E109" s="1"/>
      <c r="F109" s="1"/>
      <c r="G109" s="1"/>
      <c r="H109" s="1"/>
      <c r="I109" s="142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99"/>
      <c r="E110" s="1"/>
      <c r="F110" s="1"/>
      <c r="G110" s="1"/>
      <c r="H110" s="1"/>
      <c r="I110" s="142"/>
      <c r="J110" s="1"/>
      <c r="K110" s="1"/>
      <c r="L110" s="1"/>
      <c r="M110" s="1"/>
      <c r="N110" s="1"/>
      <c r="O110" s="1"/>
      <c r="P110" s="1"/>
      <c r="Q110" s="1"/>
      <c r="R110" s="1"/>
      <c r="S110" s="1"/>
    </row>
  </sheetData>
  <mergeCells count="21">
    <mergeCell ref="B71:C71"/>
    <mergeCell ref="J4:J5"/>
    <mergeCell ref="K4:K5"/>
    <mergeCell ref="B4:B5"/>
    <mergeCell ref="C4:C5"/>
    <mergeCell ref="L4:L5"/>
    <mergeCell ref="D4:D5"/>
    <mergeCell ref="E2:R2"/>
    <mergeCell ref="R4:R5"/>
    <mergeCell ref="O4:O5"/>
    <mergeCell ref="E3:R3"/>
    <mergeCell ref="E4:E5"/>
    <mergeCell ref="F4:F5"/>
    <mergeCell ref="G4:G5"/>
    <mergeCell ref="H4:H5"/>
    <mergeCell ref="P4:P5"/>
    <mergeCell ref="Q4:Q5"/>
    <mergeCell ref="M4:M5"/>
    <mergeCell ref="N4:N5"/>
    <mergeCell ref="B2:D2"/>
    <mergeCell ref="B3:D3"/>
  </mergeCells>
  <phoneticPr fontId="34" type="noConversion"/>
  <pageMargins left="0.51181102362204722" right="0.51181102362204722" top="0.78740157480314965" bottom="0.78740157480314965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A644D-482C-4EBD-9903-54EEAB820AE1}">
  <sheetPr>
    <pageSetUpPr fitToPage="1"/>
  </sheetPr>
  <dimension ref="A1:O101"/>
  <sheetViews>
    <sheetView showGridLines="0" zoomScale="70" zoomScaleNormal="70" workbookViewId="0">
      <pane ySplit="9" topLeftCell="A10" activePane="bottomLeft" state="frozen"/>
      <selection activeCell="H18" sqref="H18:I18"/>
      <selection pane="bottomLeft" activeCell="I6" sqref="I6"/>
    </sheetView>
  </sheetViews>
  <sheetFormatPr defaultColWidth="14.42578125" defaultRowHeight="15" customHeight="1" x14ac:dyDescent="0.25"/>
  <cols>
    <col min="1" max="1" width="8.7109375" style="191" customWidth="1"/>
    <col min="2" max="2" width="2.42578125" style="191" customWidth="1"/>
    <col min="3" max="3" width="43.42578125" style="191" customWidth="1"/>
    <col min="4" max="5" width="23.85546875" style="191" customWidth="1"/>
    <col min="6" max="6" width="17.42578125" style="191" bestFit="1" customWidth="1"/>
    <col min="7" max="7" width="10" style="191" customWidth="1"/>
    <col min="8" max="8" width="16.7109375" style="191" customWidth="1"/>
    <col min="9" max="9" width="10" style="191" customWidth="1"/>
    <col min="10" max="10" width="17.42578125" style="191" bestFit="1" customWidth="1"/>
    <col min="11" max="11" width="8.5703125" style="191" customWidth="1"/>
    <col min="12" max="12" width="19.7109375" style="191" customWidth="1"/>
    <col min="13" max="13" width="8.5703125" style="191" customWidth="1"/>
    <col min="14" max="14" width="26" style="191" customWidth="1"/>
    <col min="15" max="15" width="14.42578125" style="191" customWidth="1"/>
    <col min="16" max="16384" width="14.42578125" style="191"/>
  </cols>
  <sheetData>
    <row r="1" spans="1:15" x14ac:dyDescent="0.25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15" ht="15" customHeight="1" x14ac:dyDescent="0.25">
      <c r="A2" s="193"/>
      <c r="B2" s="193"/>
      <c r="C2" s="10" t="str">
        <f>+'Preço SFCR-FRONIUS-BYD'!C2</f>
        <v>Versão: Maio/2020</v>
      </c>
      <c r="D2" s="7"/>
      <c r="E2" s="7"/>
      <c r="F2" s="193"/>
      <c r="G2" s="193"/>
      <c r="H2" s="193"/>
      <c r="I2" s="193"/>
      <c r="J2" s="193"/>
      <c r="K2" s="193"/>
      <c r="L2" s="193"/>
      <c r="M2" s="193"/>
      <c r="N2" s="193"/>
      <c r="O2" s="193"/>
    </row>
    <row r="3" spans="1:15" ht="15" customHeight="1" x14ac:dyDescent="0.25">
      <c r="A3" s="193"/>
      <c r="B3" s="258"/>
      <c r="C3" s="10"/>
      <c r="D3" s="12"/>
      <c r="E3" s="257"/>
      <c r="F3" s="257"/>
      <c r="G3" s="257"/>
      <c r="H3" s="257"/>
      <c r="I3" s="257"/>
      <c r="J3" s="193"/>
      <c r="K3" s="193"/>
      <c r="L3" s="193"/>
      <c r="M3" s="193"/>
      <c r="N3" s="193"/>
      <c r="O3" s="193"/>
    </row>
    <row r="4" spans="1:15" ht="15" customHeight="1" x14ac:dyDescent="0.25">
      <c r="A4" s="193"/>
      <c r="B4" s="258"/>
      <c r="C4" s="10"/>
      <c r="D4" s="257"/>
      <c r="E4" s="257"/>
      <c r="F4" s="257"/>
      <c r="G4" s="257"/>
      <c r="H4" s="257"/>
      <c r="I4" s="257"/>
      <c r="J4" s="193"/>
      <c r="K4" s="193"/>
      <c r="L4" s="193"/>
      <c r="M4" s="193"/>
      <c r="N4" s="193"/>
      <c r="O4" s="193"/>
    </row>
    <row r="5" spans="1:15" ht="15" customHeight="1" x14ac:dyDescent="0.25">
      <c r="A5" s="193"/>
      <c r="B5" s="258"/>
      <c r="C5" s="10"/>
      <c r="D5" s="12"/>
      <c r="E5" s="257"/>
      <c r="F5" s="257"/>
      <c r="G5" s="257"/>
      <c r="H5" s="257"/>
      <c r="I5" s="257"/>
      <c r="J5" s="193"/>
      <c r="K5" s="193"/>
      <c r="L5" s="193"/>
      <c r="M5" s="193"/>
      <c r="N5" s="193"/>
      <c r="O5" s="193"/>
    </row>
    <row r="6" spans="1:15" ht="15" customHeight="1" x14ac:dyDescent="0.25">
      <c r="A6" s="193"/>
      <c r="B6" s="258"/>
      <c r="C6" s="10"/>
      <c r="D6" s="257"/>
      <c r="E6" s="257"/>
      <c r="F6" s="257"/>
      <c r="G6" s="257"/>
      <c r="H6" s="257"/>
      <c r="I6" s="257"/>
      <c r="J6" s="193"/>
      <c r="K6" s="193"/>
      <c r="L6" s="193"/>
      <c r="M6" s="193"/>
      <c r="N6" s="193"/>
      <c r="O6" s="193"/>
    </row>
    <row r="7" spans="1:15" ht="15" customHeight="1" thickBot="1" x14ac:dyDescent="0.3">
      <c r="A7" s="193"/>
      <c r="B7" s="258"/>
      <c r="C7" s="10"/>
      <c r="D7" s="7"/>
      <c r="E7" s="7"/>
      <c r="F7" s="258"/>
      <c r="G7" s="258"/>
      <c r="H7" s="258"/>
      <c r="I7" s="258"/>
      <c r="J7" s="193"/>
      <c r="K7" s="193"/>
      <c r="L7" s="193"/>
      <c r="M7" s="193"/>
      <c r="N7" s="193"/>
      <c r="O7" s="193"/>
    </row>
    <row r="8" spans="1:15" ht="19.5" thickBot="1" x14ac:dyDescent="0.35">
      <c r="A8" s="193"/>
      <c r="B8" s="193"/>
      <c r="C8" s="377" t="s">
        <v>14</v>
      </c>
      <c r="D8" s="480" t="s">
        <v>254</v>
      </c>
      <c r="E8" s="482"/>
      <c r="F8" s="267"/>
      <c r="G8" s="267"/>
      <c r="H8" s="267"/>
      <c r="I8" s="268"/>
      <c r="J8" s="13"/>
      <c r="K8" s="13"/>
      <c r="L8" s="13"/>
      <c r="M8" s="14"/>
      <c r="N8" s="193"/>
      <c r="O8" s="193"/>
    </row>
    <row r="9" spans="1:15" ht="21" customHeight="1" thickBot="1" x14ac:dyDescent="0.35">
      <c r="A9" s="193"/>
      <c r="B9" s="193"/>
      <c r="C9" s="378"/>
      <c r="D9" s="249" t="s">
        <v>16</v>
      </c>
      <c r="E9" s="250" t="e">
        <f>+D10</f>
        <v>#DIV/0!</v>
      </c>
      <c r="F9" s="251" t="s">
        <v>16</v>
      </c>
      <c r="G9" s="252">
        <f>+F10</f>
        <v>0</v>
      </c>
      <c r="H9" s="259" t="s">
        <v>16</v>
      </c>
      <c r="I9" s="26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193"/>
    </row>
    <row r="10" spans="1:15" ht="15.75" customHeight="1" x14ac:dyDescent="0.25">
      <c r="A10" s="193"/>
      <c r="B10" s="193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193"/>
    </row>
    <row r="11" spans="1:15" ht="15.75" customHeight="1" x14ac:dyDescent="0.25">
      <c r="A11" s="193"/>
      <c r="B11" s="193"/>
      <c r="C11" s="24" t="s">
        <v>18</v>
      </c>
      <c r="D11" s="374" t="e">
        <f>+VLOOKUP(MIN('SMA-JINKO 440Wp'!D:D),'SMA-JINKO 440Wp'!D:E,2,0)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193"/>
    </row>
    <row r="12" spans="1:15" ht="15.75" customHeight="1" x14ac:dyDescent="0.25">
      <c r="A12" s="193"/>
      <c r="B12" s="193"/>
      <c r="C12" s="25" t="s">
        <v>19</v>
      </c>
      <c r="D12" s="367" t="s">
        <v>237</v>
      </c>
      <c r="E12" s="338"/>
      <c r="F12" s="368" t="str">
        <f t="shared" ref="F12:F13" si="0">+D12</f>
        <v>JINKO MONO - TIGER PRO</v>
      </c>
      <c r="G12" s="338"/>
      <c r="H12" s="369" t="str">
        <f>+F12</f>
        <v>JINKO MONO - TIGER PRO</v>
      </c>
      <c r="I12" s="338"/>
      <c r="J12" s="370" t="str">
        <f>+H12</f>
        <v>JINKO MONO - TIGER PRO</v>
      </c>
      <c r="K12" s="338"/>
      <c r="L12" s="363" t="str">
        <f>+J12</f>
        <v>JINKO MONO - TIGER PRO</v>
      </c>
      <c r="M12" s="354"/>
      <c r="N12" s="2"/>
      <c r="O12" s="193"/>
    </row>
    <row r="13" spans="1:15" ht="15.75" customHeight="1" x14ac:dyDescent="0.25">
      <c r="A13" s="193"/>
      <c r="B13" s="193"/>
      <c r="C13" s="24" t="s">
        <v>21</v>
      </c>
      <c r="D13" s="372">
        <v>440</v>
      </c>
      <c r="E13" s="338"/>
      <c r="F13" s="375">
        <f t="shared" si="0"/>
        <v>440</v>
      </c>
      <c r="G13" s="338"/>
      <c r="H13" s="376">
        <f>+D13</f>
        <v>440</v>
      </c>
      <c r="I13" s="338"/>
      <c r="J13" s="352">
        <f>+D13</f>
        <v>440</v>
      </c>
      <c r="K13" s="338"/>
      <c r="L13" s="364">
        <f>+D13</f>
        <v>440</v>
      </c>
      <c r="M13" s="354"/>
      <c r="N13" s="2"/>
      <c r="O13" s="193"/>
    </row>
    <row r="14" spans="1:15" ht="15.75" customHeight="1" x14ac:dyDescent="0.25">
      <c r="A14" s="193"/>
      <c r="B14" s="193"/>
      <c r="C14" s="25" t="s">
        <v>219</v>
      </c>
      <c r="D14" s="26" t="e">
        <f>+IF(D11="","",VLOOKUP(D11,'SMA-JINKO 440Wp'!$E$7:$G$69,3,0))</f>
        <v>#DIV/0!</v>
      </c>
      <c r="E14" s="27">
        <v>1</v>
      </c>
      <c r="F14" s="28" t="str">
        <f>+IF(F11="","",VLOOKUP(F11,'SMA-JINKO 440Wp'!$E$7:$G$69,3,0))</f>
        <v/>
      </c>
      <c r="G14" s="29">
        <v>1</v>
      </c>
      <c r="H14" s="30" t="str">
        <f>+IF(H11="","",VLOOKUP(H11,'SMA-JINKO 440Wp'!$E$7:$G$69,3,0))</f>
        <v/>
      </c>
      <c r="I14" s="31">
        <v>1</v>
      </c>
      <c r="J14" s="32" t="str">
        <f>+IF(J11="","",VLOOKUP(J11,'SMA-JINKO 440Wp'!$E$7:$G$69,3,0))</f>
        <v/>
      </c>
      <c r="K14" s="33">
        <v>1</v>
      </c>
      <c r="L14" s="34" t="str">
        <f>+IF(L11="","",VLOOKUP(L11,'SMA-JINKO 440Wp'!$E$7:$G$69,3,0))</f>
        <v/>
      </c>
      <c r="M14" s="35">
        <v>1</v>
      </c>
      <c r="N14" s="2"/>
      <c r="O14" s="193"/>
    </row>
    <row r="15" spans="1:15" ht="15.75" hidden="1" customHeight="1" x14ac:dyDescent="0.25">
      <c r="A15" s="193"/>
      <c r="B15" s="193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193"/>
    </row>
    <row r="16" spans="1:15" ht="15.75" customHeight="1" x14ac:dyDescent="0.25">
      <c r="A16" s="193"/>
      <c r="B16" s="193"/>
      <c r="C16" s="24" t="s">
        <v>25</v>
      </c>
      <c r="D16" s="373" t="e">
        <f>+D11*1.94236</f>
        <v>#DIV/0!</v>
      </c>
      <c r="E16" s="338"/>
      <c r="F16" s="355">
        <f>+F11*1.94236</f>
        <v>0</v>
      </c>
      <c r="G16" s="338"/>
      <c r="H16" s="356">
        <f>+H11*1.94236</f>
        <v>0</v>
      </c>
      <c r="I16" s="338"/>
      <c r="J16" s="365">
        <f>+J11*1.94236</f>
        <v>0</v>
      </c>
      <c r="K16" s="338"/>
      <c r="L16" s="366">
        <f>+L11*1.94236</f>
        <v>0</v>
      </c>
      <c r="M16" s="354"/>
      <c r="N16" s="2"/>
      <c r="O16" s="193"/>
    </row>
    <row r="17" spans="1:15" ht="15.75" customHeight="1" x14ac:dyDescent="0.25">
      <c r="A17" s="193"/>
      <c r="B17" s="193"/>
      <c r="C17" s="48" t="s">
        <v>26</v>
      </c>
      <c r="D17" s="371" t="e">
        <f>+D11*D13*$D$45/1000</f>
        <v>#DIV/0!</v>
      </c>
      <c r="E17" s="349"/>
      <c r="F17" s="357">
        <f>+F11*F13*$D$45/1000</f>
        <v>0</v>
      </c>
      <c r="G17" s="349"/>
      <c r="H17" s="358">
        <f>+H11*H13*$D$45/1000</f>
        <v>0</v>
      </c>
      <c r="I17" s="349"/>
      <c r="J17" s="359">
        <f>+J11*J13*$D$45/1000</f>
        <v>0</v>
      </c>
      <c r="K17" s="360"/>
      <c r="L17" s="361">
        <f>+L11*L13*$D$45/1000</f>
        <v>0</v>
      </c>
      <c r="M17" s="362"/>
      <c r="N17" s="2"/>
      <c r="O17" s="193"/>
    </row>
    <row r="18" spans="1:15" ht="15.75" customHeight="1" x14ac:dyDescent="0.25">
      <c r="A18" s="193"/>
      <c r="B18" s="193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193"/>
    </row>
    <row r="19" spans="1:15" ht="15.75" customHeight="1" thickBot="1" x14ac:dyDescent="0.3">
      <c r="A19" s="193"/>
      <c r="B19" s="193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193"/>
    </row>
    <row r="20" spans="1:15" ht="18.75" customHeight="1" thickBot="1" x14ac:dyDescent="0.4">
      <c r="A20" s="193"/>
      <c r="B20" s="193"/>
      <c r="C20" s="51"/>
      <c r="D20" s="52"/>
      <c r="E20" s="53"/>
      <c r="F20" s="192"/>
      <c r="G20" s="2"/>
      <c r="H20" s="192"/>
      <c r="I20" s="2"/>
      <c r="J20" s="55"/>
      <c r="K20" s="193"/>
      <c r="L20" s="192"/>
      <c r="M20" s="2"/>
      <c r="N20" s="2"/>
      <c r="O20" s="193"/>
    </row>
    <row r="21" spans="1:15" ht="43.5" hidden="1" customHeight="1" thickBot="1" x14ac:dyDescent="0.3">
      <c r="A21" s="193"/>
      <c r="B21" s="193"/>
      <c r="C21" s="188" t="s">
        <v>220</v>
      </c>
      <c r="D21" s="452" t="e">
        <f>+IF(D11="","",VLOOKUP(D11,'SMA-JINKO 440Wp'!$E$7:$F$69,2,0))</f>
        <v>#DIV/0!</v>
      </c>
      <c r="E21" s="398"/>
      <c r="F21" s="397" t="str">
        <f>+IF(F11="","",VLOOKUP(F11,'SMA-JINKO 440Wp'!$E$7:$F$69,2,0))</f>
        <v/>
      </c>
      <c r="G21" s="398"/>
      <c r="H21" s="399" t="str">
        <f>+IF(H11="","",VLOOKUP(H11,'SMA-JINKO 440Wp'!$E$7:$F$69,2,0))</f>
        <v/>
      </c>
      <c r="I21" s="398"/>
      <c r="J21" s="400" t="str">
        <f>+IF(J11="","",VLOOKUP(J11,'SMA-JINKO 440Wp'!$E$7:$F$69,2,0))</f>
        <v/>
      </c>
      <c r="K21" s="398"/>
      <c r="L21" s="401" t="str">
        <f>+IF(L11="","",VLOOKUP(L11,'SMA-JINKO 440Wp'!$E$7:$F$69,2,0))</f>
        <v/>
      </c>
      <c r="M21" s="381"/>
      <c r="N21" s="2"/>
      <c r="O21" s="193"/>
    </row>
    <row r="22" spans="1:15" ht="43.5" customHeight="1" thickBot="1" x14ac:dyDescent="0.3">
      <c r="A22" s="193"/>
      <c r="B22" s="193"/>
      <c r="C22" s="189" t="s">
        <v>29</v>
      </c>
      <c r="D22" s="452" t="e">
        <f>+ROUND(D21+(D21*$H$44),0)</f>
        <v>#DIV/0!</v>
      </c>
      <c r="E22" s="398"/>
      <c r="F22" s="397" t="e">
        <f>+ROUND(F21+(F21*$H$44),0)</f>
        <v>#VALUE!</v>
      </c>
      <c r="G22" s="398"/>
      <c r="H22" s="399" t="e">
        <f>+ROUND(H21+(H21*$H$44),0)</f>
        <v>#VALUE!</v>
      </c>
      <c r="I22" s="398"/>
      <c r="J22" s="400" t="e">
        <f>+ROUND(J21+(J21*$H$44),0)</f>
        <v>#VALUE!</v>
      </c>
      <c r="K22" s="398"/>
      <c r="L22" s="401" t="e">
        <f>+ROUND(L21+(L21*$H$44),0)</f>
        <v>#VALUE!</v>
      </c>
      <c r="M22" s="381"/>
      <c r="N22" s="2"/>
      <c r="O22" s="193"/>
    </row>
    <row r="23" spans="1:15" ht="12.75" customHeight="1" x14ac:dyDescent="0.35">
      <c r="A23" s="193"/>
      <c r="B23" s="193"/>
      <c r="C23" s="51"/>
      <c r="D23" s="56"/>
      <c r="E23" s="57"/>
      <c r="F23" s="56"/>
      <c r="G23" s="57"/>
      <c r="H23" s="56"/>
      <c r="I23" s="57"/>
      <c r="J23" s="192"/>
      <c r="K23" s="58"/>
      <c r="L23" s="192"/>
      <c r="M23" s="58"/>
      <c r="N23" s="2"/>
      <c r="O23" s="193"/>
    </row>
    <row r="24" spans="1:15" ht="15.75" customHeight="1" thickBot="1" x14ac:dyDescent="0.4">
      <c r="A24" s="193"/>
      <c r="B24" s="193"/>
      <c r="C24" s="214" t="s">
        <v>30</v>
      </c>
      <c r="D24" s="257"/>
      <c r="E24" s="257"/>
      <c r="F24" s="257"/>
      <c r="G24" s="257"/>
      <c r="H24" s="257"/>
      <c r="I24" s="57"/>
      <c r="J24" s="192"/>
      <c r="K24" s="58"/>
      <c r="L24" s="192"/>
      <c r="M24" s="58"/>
      <c r="N24" s="2"/>
      <c r="O24" s="193"/>
    </row>
    <row r="25" spans="1:15" ht="15" customHeight="1" x14ac:dyDescent="0.25">
      <c r="A25" s="193"/>
      <c r="B25" s="193"/>
      <c r="C25" s="59" t="s">
        <v>31</v>
      </c>
      <c r="D25" s="389" t="e">
        <f>+$D$42*D22</f>
        <v>#DIV/0!</v>
      </c>
      <c r="E25" s="338"/>
      <c r="F25" s="404" t="e">
        <f t="shared" ref="F25" si="1">+$D$42*F22</f>
        <v>#VALUE!</v>
      </c>
      <c r="G25" s="403"/>
      <c r="H25" s="405" t="e">
        <f t="shared" ref="H25" si="2">+$D$42*H22</f>
        <v>#VALUE!</v>
      </c>
      <c r="I25" s="403"/>
      <c r="J25" s="406" t="e">
        <f t="shared" ref="J25" si="3">+$D$42*J22</f>
        <v>#VALUE!</v>
      </c>
      <c r="K25" s="403"/>
      <c r="L25" s="407" t="e">
        <f t="shared" ref="L25" si="4">+$D$42*L22</f>
        <v>#VALUE!</v>
      </c>
      <c r="M25" s="408"/>
      <c r="N25" s="60" t="s">
        <v>32</v>
      </c>
      <c r="O25" s="193"/>
    </row>
    <row r="26" spans="1:15" ht="15" hidden="1" customHeight="1" x14ac:dyDescent="0.25">
      <c r="A26" s="193"/>
      <c r="B26" s="193"/>
      <c r="C26" s="61"/>
      <c r="D26" s="389" t="e">
        <f>+D22-D25</f>
        <v>#DIV/0!</v>
      </c>
      <c r="E26" s="338"/>
      <c r="F26" s="388" t="e">
        <f t="shared" ref="F26" si="5">+F22-F25</f>
        <v>#VALUE!</v>
      </c>
      <c r="G26" s="338"/>
      <c r="H26" s="385" t="e">
        <f t="shared" ref="H26" si="6">+H22-H25</f>
        <v>#VALUE!</v>
      </c>
      <c r="I26" s="338"/>
      <c r="J26" s="386" t="e">
        <f t="shared" ref="J26" si="7">+J22-J25</f>
        <v>#VALUE!</v>
      </c>
      <c r="K26" s="338"/>
      <c r="L26" s="387" t="e">
        <f t="shared" ref="L26" si="8">+L22-L25</f>
        <v>#VALUE!</v>
      </c>
      <c r="M26" s="354"/>
      <c r="N26" s="62"/>
      <c r="O26" s="193"/>
    </row>
    <row r="27" spans="1:15" ht="15" customHeight="1" x14ac:dyDescent="0.25">
      <c r="A27" s="193"/>
      <c r="B27" s="193"/>
      <c r="C27" s="216">
        <f>+'Preço SFCR-FRONIUS-BYD'!C27</f>
        <v>12</v>
      </c>
      <c r="D27" s="389" t="e">
        <f>+PMT(N27,C27,-$D$26)</f>
        <v>#DIV/0!</v>
      </c>
      <c r="E27" s="338"/>
      <c r="F27" s="388" t="e">
        <f>+PMT(N27,C27,-$F$26)</f>
        <v>#VALUE!</v>
      </c>
      <c r="G27" s="338"/>
      <c r="H27" s="385" t="e">
        <f>+PMT(N27,C27,-$H$26)</f>
        <v>#VALUE!</v>
      </c>
      <c r="I27" s="338"/>
      <c r="J27" s="386" t="e">
        <f>+PMT(N27,C27,-$J$26)</f>
        <v>#VALUE!</v>
      </c>
      <c r="K27" s="338"/>
      <c r="L27" s="387" t="e">
        <f>+PMT(N27,C27,-$L$26)</f>
        <v>#VALUE!</v>
      </c>
      <c r="M27" s="354"/>
      <c r="N27" s="90">
        <f>+'Preço SFCR-FRONIUS-BYD'!N27</f>
        <v>1.6799999999999999E-2</v>
      </c>
      <c r="O27" s="193">
        <f>+'Preço SFCR-FRONIUS-BYD'!O27</f>
        <v>0</v>
      </c>
    </row>
    <row r="28" spans="1:15" ht="15" customHeight="1" x14ac:dyDescent="0.25">
      <c r="A28" s="193"/>
      <c r="B28" s="193"/>
      <c r="C28" s="218">
        <f>+'Preço SFCR-FRONIUS-BYD'!C28</f>
        <v>24</v>
      </c>
      <c r="D28" s="389" t="e">
        <f t="shared" ref="D28:D31" si="9">+PMT(N28,C28,-$D$26)</f>
        <v>#DIV/0!</v>
      </c>
      <c r="E28" s="338"/>
      <c r="F28" s="388" t="e">
        <f t="shared" ref="F28:F31" si="10">+PMT(N28,C28,-$F$26)</f>
        <v>#VALUE!</v>
      </c>
      <c r="G28" s="338"/>
      <c r="H28" s="385" t="e">
        <f t="shared" ref="H28:H31" si="11">+PMT(N28,C28,-$H$26)</f>
        <v>#VALUE!</v>
      </c>
      <c r="I28" s="338"/>
      <c r="J28" s="386" t="e">
        <f t="shared" ref="J28:J31" si="12">+PMT(N28,C28,-$J$26)</f>
        <v>#VALUE!</v>
      </c>
      <c r="K28" s="338"/>
      <c r="L28" s="387" t="e">
        <f t="shared" ref="L28:L31" si="13">+PMT(N28,C28,-$L$26)</f>
        <v>#VALUE!</v>
      </c>
      <c r="M28" s="354"/>
      <c r="N28" s="90">
        <f>+'Preço SFCR-FRONIUS-BYD'!N28</f>
        <v>1.55E-2</v>
      </c>
      <c r="O28" s="193">
        <f>+'Preço SFCR-FRONIUS-BYD'!O28</f>
        <v>0</v>
      </c>
    </row>
    <row r="29" spans="1:15" ht="15" customHeight="1" x14ac:dyDescent="0.25">
      <c r="A29" s="193"/>
      <c r="B29" s="193"/>
      <c r="C29" s="216">
        <f>+'Preço SFCR-FRONIUS-BYD'!C29</f>
        <v>36</v>
      </c>
      <c r="D29" s="389" t="e">
        <f t="shared" si="9"/>
        <v>#DIV/0!</v>
      </c>
      <c r="E29" s="338"/>
      <c r="F29" s="388" t="e">
        <f t="shared" si="10"/>
        <v>#VALUE!</v>
      </c>
      <c r="G29" s="338"/>
      <c r="H29" s="385" t="e">
        <f t="shared" si="11"/>
        <v>#VALUE!</v>
      </c>
      <c r="I29" s="338"/>
      <c r="J29" s="386" t="e">
        <f t="shared" si="12"/>
        <v>#VALUE!</v>
      </c>
      <c r="K29" s="338"/>
      <c r="L29" s="387" t="e">
        <f t="shared" si="13"/>
        <v>#VALUE!</v>
      </c>
      <c r="M29" s="354"/>
      <c r="N29" s="90">
        <f>+'Preço SFCR-FRONIUS-BYD'!N29</f>
        <v>1.5800000000000002E-2</v>
      </c>
      <c r="O29" s="193">
        <f>+'Preço SFCR-FRONIUS-BYD'!O29</f>
        <v>0</v>
      </c>
    </row>
    <row r="30" spans="1:15" ht="15" customHeight="1" x14ac:dyDescent="0.25">
      <c r="A30" s="193"/>
      <c r="B30" s="193"/>
      <c r="C30" s="218">
        <f>+'Preço SFCR-FRONIUS-BYD'!C30</f>
        <v>48</v>
      </c>
      <c r="D30" s="389" t="e">
        <f t="shared" si="9"/>
        <v>#DIV/0!</v>
      </c>
      <c r="E30" s="338"/>
      <c r="F30" s="388" t="e">
        <f t="shared" si="10"/>
        <v>#VALUE!</v>
      </c>
      <c r="G30" s="338"/>
      <c r="H30" s="385" t="e">
        <f t="shared" si="11"/>
        <v>#VALUE!</v>
      </c>
      <c r="I30" s="338"/>
      <c r="J30" s="386" t="e">
        <f t="shared" si="12"/>
        <v>#VALUE!</v>
      </c>
      <c r="K30" s="338"/>
      <c r="L30" s="387" t="e">
        <f t="shared" si="13"/>
        <v>#VALUE!</v>
      </c>
      <c r="M30" s="354"/>
      <c r="N30" s="90">
        <f>+'Preço SFCR-FRONIUS-BYD'!N30</f>
        <v>1.61E-2</v>
      </c>
      <c r="O30" s="193">
        <f>+'Preço SFCR-FRONIUS-BYD'!O30</f>
        <v>0</v>
      </c>
    </row>
    <row r="31" spans="1:15" ht="15" customHeight="1" thickBot="1" x14ac:dyDescent="0.3">
      <c r="A31" s="193"/>
      <c r="B31" s="193"/>
      <c r="C31" s="219">
        <f>+'Preço SFCR-FRONIUS-BYD'!C31</f>
        <v>60</v>
      </c>
      <c r="D31" s="418" t="e">
        <f t="shared" si="9"/>
        <v>#DIV/0!</v>
      </c>
      <c r="E31" s="391"/>
      <c r="F31" s="421" t="e">
        <f t="shared" si="10"/>
        <v>#VALUE!</v>
      </c>
      <c r="G31" s="391"/>
      <c r="H31" s="414" t="e">
        <f t="shared" si="11"/>
        <v>#VALUE!</v>
      </c>
      <c r="I31" s="391"/>
      <c r="J31" s="415" t="e">
        <f t="shared" si="12"/>
        <v>#VALUE!</v>
      </c>
      <c r="K31" s="391"/>
      <c r="L31" s="419" t="e">
        <f t="shared" si="13"/>
        <v>#VALUE!</v>
      </c>
      <c r="M31" s="420"/>
      <c r="N31" s="90">
        <f>+'Preço SFCR-FRONIUS-BYD'!N31</f>
        <v>1.6400000000000001E-2</v>
      </c>
      <c r="O31" s="193">
        <f>+'Preço SFCR-FRONIUS-BYD'!O31</f>
        <v>0</v>
      </c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193"/>
    </row>
    <row r="33" spans="1:15" ht="14.25" customHeight="1" x14ac:dyDescent="0.25">
      <c r="A33" s="65"/>
      <c r="B33" s="65"/>
      <c r="C33" s="65" t="str">
        <f>+'Preço SFCR-FRONIUS-BYD'!C33</f>
        <v>Observação: Proposta apenas orientativa, caso tenha interesse formalizamos uma proposta.</v>
      </c>
      <c r="D33" s="65"/>
      <c r="E33" s="65"/>
      <c r="F33" s="65"/>
      <c r="G33" s="65"/>
      <c r="H33" s="192"/>
      <c r="I33" s="192"/>
      <c r="J33" s="65"/>
      <c r="K33" s="65"/>
      <c r="L33" s="65"/>
      <c r="M33" s="65"/>
      <c r="N33" s="65"/>
      <c r="O33" s="193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192"/>
      <c r="I34" s="192"/>
      <c r="J34" s="65"/>
      <c r="K34" s="65"/>
      <c r="L34" s="65"/>
      <c r="M34" s="65"/>
      <c r="N34" s="65"/>
      <c r="O34" s="193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193"/>
    </row>
    <row r="36" spans="1:15" ht="14.25" customHeight="1" x14ac:dyDescent="0.25">
      <c r="A36" s="193"/>
      <c r="B36" s="193"/>
      <c r="C36" s="73" t="s">
        <v>34</v>
      </c>
      <c r="D36" s="416" t="e">
        <f>+D22/(D10*1000)</f>
        <v>#DIV/0!</v>
      </c>
      <c r="E36" s="417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193"/>
    </row>
    <row r="37" spans="1:15" ht="14.25" customHeight="1" x14ac:dyDescent="0.25">
      <c r="A37" s="193"/>
      <c r="B37" s="193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193"/>
    </row>
    <row r="38" spans="1:15" ht="14.25" customHeight="1" x14ac:dyDescent="0.25">
      <c r="A38" s="193"/>
      <c r="B38" s="193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193"/>
    </row>
    <row r="39" spans="1:15" ht="14.25" customHeight="1" x14ac:dyDescent="0.25">
      <c r="A39" s="193"/>
      <c r="B39" s="193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193"/>
      <c r="O39" s="193"/>
    </row>
    <row r="40" spans="1:15" ht="14.25" customHeight="1" x14ac:dyDescent="0.25">
      <c r="A40" s="193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</row>
    <row r="41" spans="1:15" ht="14.25" customHeight="1" x14ac:dyDescent="0.25">
      <c r="A41" s="193"/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</row>
    <row r="42" spans="1:15" ht="14.25" customHeight="1" x14ac:dyDescent="0.25">
      <c r="A42" s="193"/>
      <c r="B42" s="193"/>
      <c r="C42" s="77" t="s">
        <v>38</v>
      </c>
      <c r="D42" s="91">
        <f>+'Preço SFCR-FRONIUS-BYD'!D42</f>
        <v>0</v>
      </c>
      <c r="E42" s="92"/>
      <c r="F42" s="93"/>
      <c r="G42" s="93"/>
      <c r="H42" s="2"/>
      <c r="I42" s="193"/>
      <c r="J42" s="193"/>
      <c r="K42" s="193"/>
      <c r="L42" s="193"/>
      <c r="M42" s="193"/>
      <c r="N42" s="193"/>
      <c r="O42" s="193"/>
    </row>
    <row r="43" spans="1:15" ht="14.25" customHeight="1" x14ac:dyDescent="0.25">
      <c r="A43" s="193"/>
      <c r="B43" s="193"/>
      <c r="C43" s="80" t="s">
        <v>39</v>
      </c>
      <c r="D43" s="81" t="e">
        <f>+'Preço SFCR-FRONIUS-BYD'!D43</f>
        <v>#DIV/0!</v>
      </c>
      <c r="E43" s="94"/>
      <c r="F43" s="95" t="s">
        <v>40</v>
      </c>
      <c r="G43" s="96" t="e">
        <f>+D43/D45</f>
        <v>#DIV/0!</v>
      </c>
      <c r="H43" s="2"/>
      <c r="I43" s="193"/>
      <c r="J43" s="193"/>
      <c r="K43" s="193"/>
      <c r="L43" s="193"/>
      <c r="M43" s="193"/>
      <c r="N43" s="193"/>
      <c r="O43" s="193"/>
    </row>
    <row r="44" spans="1:15" ht="14.25" customHeight="1" x14ac:dyDescent="0.25">
      <c r="A44" s="193"/>
      <c r="B44" s="193"/>
      <c r="C44" s="84" t="s">
        <v>41</v>
      </c>
      <c r="D44" s="97">
        <f>+'Preço SFCR-FRONIUS-BYD'!D44</f>
        <v>0.85</v>
      </c>
      <c r="E44" s="77"/>
      <c r="F44" s="505" t="s">
        <v>42</v>
      </c>
      <c r="G44" s="412"/>
      <c r="H44" s="98">
        <v>0.05</v>
      </c>
      <c r="I44" s="193"/>
      <c r="J44" s="193"/>
      <c r="K44" s="193"/>
      <c r="L44" s="193"/>
      <c r="M44" s="193"/>
      <c r="N44" s="193"/>
      <c r="O44" s="193"/>
    </row>
    <row r="45" spans="1:15" ht="14.25" customHeight="1" x14ac:dyDescent="0.25">
      <c r="A45" s="193"/>
      <c r="B45" s="193"/>
      <c r="C45" s="87" t="s">
        <v>43</v>
      </c>
      <c r="D45" s="97">
        <f>+'Preço SFCR-FRONIUS-BYD'!D45</f>
        <v>120</v>
      </c>
      <c r="E45" s="77"/>
      <c r="F45" s="2"/>
      <c r="G45" s="2"/>
      <c r="H45" s="2"/>
      <c r="I45" s="193"/>
      <c r="J45" s="193"/>
      <c r="K45" s="193"/>
      <c r="L45" s="193"/>
      <c r="M45" s="193"/>
      <c r="N45" s="193"/>
      <c r="O45" s="193"/>
    </row>
    <row r="46" spans="1:15" ht="14.25" customHeight="1" x14ac:dyDescent="0.25">
      <c r="A46" s="193"/>
      <c r="B46" s="193"/>
      <c r="C46" s="193"/>
      <c r="D46" s="2"/>
      <c r="E46" s="2"/>
      <c r="F46" s="2"/>
      <c r="G46" s="2"/>
      <c r="H46" s="2"/>
      <c r="I46" s="193"/>
      <c r="J46" s="193"/>
      <c r="K46" s="193"/>
      <c r="L46" s="193"/>
      <c r="M46" s="193"/>
      <c r="N46" s="193"/>
      <c r="O46" s="193"/>
    </row>
    <row r="47" spans="1:15" ht="14.25" customHeight="1" x14ac:dyDescent="0.25">
      <c r="A47" s="193"/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</row>
    <row r="48" spans="1:15" ht="14.25" customHeight="1" x14ac:dyDescent="0.25">
      <c r="A48" s="193"/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</row>
    <row r="49" spans="1:15" ht="14.25" customHeight="1" x14ac:dyDescent="0.25">
      <c r="A49" s="193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</row>
    <row r="50" spans="1:15" ht="14.25" customHeight="1" x14ac:dyDescent="0.25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</row>
    <row r="51" spans="1:15" ht="14.25" customHeight="1" x14ac:dyDescent="0.25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</row>
    <row r="52" spans="1:15" ht="14.25" customHeight="1" x14ac:dyDescent="0.25">
      <c r="A52" s="19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</row>
    <row r="53" spans="1:15" ht="14.25" customHeight="1" x14ac:dyDescent="0.25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</row>
    <row r="54" spans="1:15" ht="14.25" customHeight="1" x14ac:dyDescent="0.25">
      <c r="A54" s="193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</row>
    <row r="55" spans="1:15" ht="14.25" customHeight="1" x14ac:dyDescent="0.25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</row>
    <row r="56" spans="1:15" ht="14.25" customHeight="1" x14ac:dyDescent="0.25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</row>
    <row r="57" spans="1:15" ht="14.25" customHeight="1" x14ac:dyDescent="0.25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</row>
    <row r="58" spans="1:15" ht="14.25" customHeight="1" x14ac:dyDescent="0.25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</row>
    <row r="59" spans="1:15" ht="14.25" customHeight="1" x14ac:dyDescent="0.25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</row>
    <row r="60" spans="1:15" ht="14.25" customHeight="1" x14ac:dyDescent="0.25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</row>
    <row r="61" spans="1:15" ht="14.25" customHeight="1" x14ac:dyDescent="0.25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</row>
    <row r="62" spans="1:15" ht="14.25" customHeight="1" x14ac:dyDescent="0.25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</row>
    <row r="63" spans="1:15" ht="14.25" customHeight="1" x14ac:dyDescent="0.25">
      <c r="A63" s="193"/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</row>
    <row r="64" spans="1:15" ht="14.25" customHeight="1" x14ac:dyDescent="0.25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</row>
    <row r="65" spans="1:15" ht="14.25" customHeight="1" x14ac:dyDescent="0.25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</row>
    <row r="66" spans="1:15" ht="14.25" customHeight="1" x14ac:dyDescent="0.25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</row>
    <row r="67" spans="1:15" ht="14.25" customHeight="1" x14ac:dyDescent="0.25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</row>
    <row r="68" spans="1:15" ht="14.25" customHeight="1" x14ac:dyDescent="0.25">
      <c r="A68" s="193"/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</row>
    <row r="69" spans="1:15" ht="14.25" customHeight="1" x14ac:dyDescent="0.25">
      <c r="A69" s="193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</row>
    <row r="70" spans="1:15" ht="14.25" customHeight="1" x14ac:dyDescent="0.25">
      <c r="A70" s="193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</row>
    <row r="71" spans="1:15" ht="14.25" customHeight="1" x14ac:dyDescent="0.25">
      <c r="A71" s="193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</row>
    <row r="72" spans="1:15" ht="14.25" customHeight="1" x14ac:dyDescent="0.25">
      <c r="A72" s="193"/>
      <c r="B72" s="193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</row>
    <row r="73" spans="1:15" ht="14.25" customHeight="1" x14ac:dyDescent="0.25">
      <c r="A73" s="193"/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</row>
    <row r="74" spans="1:15" ht="14.25" customHeight="1" x14ac:dyDescent="0.25">
      <c r="A74" s="193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</row>
    <row r="75" spans="1:15" ht="14.25" customHeight="1" x14ac:dyDescent="0.25">
      <c r="A75" s="193"/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</row>
    <row r="76" spans="1:15" ht="14.25" customHeight="1" x14ac:dyDescent="0.25">
      <c r="A76" s="193"/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</row>
    <row r="77" spans="1:15" ht="14.25" customHeight="1" x14ac:dyDescent="0.25">
      <c r="A77" s="193"/>
      <c r="B77" s="193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</row>
    <row r="78" spans="1:15" ht="14.25" customHeight="1" x14ac:dyDescent="0.25">
      <c r="A78" s="193"/>
      <c r="B78" s="193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</row>
    <row r="79" spans="1:15" ht="14.25" customHeight="1" x14ac:dyDescent="0.25">
      <c r="A79" s="193"/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</row>
    <row r="80" spans="1:15" ht="14.25" customHeight="1" x14ac:dyDescent="0.25">
      <c r="A80" s="193"/>
      <c r="B80" s="193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</row>
    <row r="81" spans="1:15" ht="14.25" customHeight="1" x14ac:dyDescent="0.25">
      <c r="A81" s="193"/>
      <c r="B81" s="193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</row>
    <row r="82" spans="1:15" ht="14.25" customHeight="1" x14ac:dyDescent="0.25">
      <c r="A82" s="193"/>
      <c r="B82" s="193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</row>
    <row r="83" spans="1:15" ht="14.25" customHeight="1" x14ac:dyDescent="0.25">
      <c r="A83" s="193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</row>
    <row r="84" spans="1:15" ht="14.25" customHeight="1" x14ac:dyDescent="0.25">
      <c r="A84" s="193"/>
      <c r="B84" s="193"/>
      <c r="C84" s="193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</row>
    <row r="85" spans="1:15" ht="14.25" customHeight="1" x14ac:dyDescent="0.25">
      <c r="A85" s="193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</row>
    <row r="86" spans="1:15" ht="14.25" customHeight="1" x14ac:dyDescent="0.25">
      <c r="A86" s="193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</row>
    <row r="87" spans="1:15" ht="14.25" customHeight="1" x14ac:dyDescent="0.25">
      <c r="A87" s="193"/>
      <c r="B87" s="19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</row>
    <row r="88" spans="1:15" ht="14.25" customHeight="1" x14ac:dyDescent="0.25">
      <c r="A88" s="193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</row>
    <row r="89" spans="1:15" ht="14.25" customHeight="1" x14ac:dyDescent="0.25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</row>
    <row r="90" spans="1:15" ht="14.25" customHeight="1" x14ac:dyDescent="0.25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</row>
    <row r="91" spans="1:15" ht="14.25" customHeight="1" x14ac:dyDescent="0.25">
      <c r="A91" s="193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</row>
    <row r="92" spans="1:15" ht="14.25" customHeight="1" x14ac:dyDescent="0.25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</row>
    <row r="93" spans="1:15" ht="14.25" customHeight="1" x14ac:dyDescent="0.25">
      <c r="A93" s="193"/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</row>
    <row r="94" spans="1:15" ht="14.25" customHeight="1" x14ac:dyDescent="0.25">
      <c r="A94" s="193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</row>
    <row r="95" spans="1:15" ht="15.75" customHeight="1" x14ac:dyDescent="0.25">
      <c r="A95" s="193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</row>
    <row r="96" spans="1:15" ht="15.75" customHeight="1" x14ac:dyDescent="0.25">
      <c r="A96" s="193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</row>
    <row r="97" spans="1:15" ht="15.75" customHeight="1" x14ac:dyDescent="0.25">
      <c r="A97" s="193"/>
      <c r="B97" s="193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</row>
    <row r="98" spans="1:15" ht="15.75" customHeight="1" x14ac:dyDescent="0.25">
      <c r="A98" s="193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</row>
    <row r="99" spans="1:15" ht="15.75" customHeight="1" x14ac:dyDescent="0.25">
      <c r="A99" s="193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</row>
    <row r="100" spans="1:15" ht="15.75" customHeight="1" x14ac:dyDescent="0.25">
      <c r="A100" s="193"/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</row>
    <row r="101" spans="1:15" ht="15.75" customHeight="1" x14ac:dyDescent="0.25">
      <c r="A101" s="193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</row>
  </sheetData>
  <mergeCells count="109">
    <mergeCell ref="C8:C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L11:M11"/>
    <mergeCell ref="D8:E8"/>
    <mergeCell ref="D12:E12"/>
    <mergeCell ref="F12:G12"/>
    <mergeCell ref="H12:I12"/>
    <mergeCell ref="J12:K12"/>
    <mergeCell ref="L12:M12"/>
    <mergeCell ref="D13:E13"/>
    <mergeCell ref="F13:G13"/>
    <mergeCell ref="H13:I13"/>
    <mergeCell ref="J13:K13"/>
    <mergeCell ref="L13:M13"/>
    <mergeCell ref="D16:E16"/>
    <mergeCell ref="F16:G16"/>
    <mergeCell ref="H16:I16"/>
    <mergeCell ref="J16:K16"/>
    <mergeCell ref="L16:M16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9:E19"/>
    <mergeCell ref="F19:G19"/>
    <mergeCell ref="H19:I19"/>
    <mergeCell ref="J19:K19"/>
    <mergeCell ref="L19:M19"/>
    <mergeCell ref="D25:E25"/>
    <mergeCell ref="F25:G25"/>
    <mergeCell ref="H25:I25"/>
    <mergeCell ref="J25:K25"/>
    <mergeCell ref="L25:M25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26:E26"/>
    <mergeCell ref="F26:G26"/>
    <mergeCell ref="H26:I26"/>
    <mergeCell ref="J26:K26"/>
    <mergeCell ref="L26:M26"/>
    <mergeCell ref="D27:E27"/>
    <mergeCell ref="F27:G27"/>
    <mergeCell ref="H27:I27"/>
    <mergeCell ref="J27:K27"/>
    <mergeCell ref="L27:M27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H32:I32"/>
    <mergeCell ref="D36:E36"/>
    <mergeCell ref="F36:G36"/>
    <mergeCell ref="H36:I36"/>
    <mergeCell ref="J36:K36"/>
    <mergeCell ref="L36:M36"/>
    <mergeCell ref="D30:E30"/>
    <mergeCell ref="F30:G30"/>
    <mergeCell ref="H30:I30"/>
    <mergeCell ref="J30:K30"/>
    <mergeCell ref="L30:M30"/>
    <mergeCell ref="D31:E31"/>
    <mergeCell ref="F31:G31"/>
    <mergeCell ref="H31:I31"/>
    <mergeCell ref="J31:K31"/>
    <mergeCell ref="L31:M31"/>
    <mergeCell ref="D39:E39"/>
    <mergeCell ref="F39:G39"/>
    <mergeCell ref="H39:I39"/>
    <mergeCell ref="J39:K39"/>
    <mergeCell ref="L39:M39"/>
    <mergeCell ref="F44:G44"/>
    <mergeCell ref="D37:E37"/>
    <mergeCell ref="F37:G37"/>
    <mergeCell ref="H37:I37"/>
    <mergeCell ref="J37:K37"/>
    <mergeCell ref="L37:M37"/>
    <mergeCell ref="D38:E38"/>
    <mergeCell ref="F38:G38"/>
    <mergeCell ref="H38:I38"/>
    <mergeCell ref="J38:K38"/>
    <mergeCell ref="L38:M38"/>
  </mergeCells>
  <dataValidations disablePrompts="1" count="2">
    <dataValidation type="list" allowBlank="1" showErrorMessage="1" sqref="F15 L15 J15 H15" xr:uid="{8FC1E229-4F29-4DD3-A488-05E1C456117D}">
      <formula1>$C$8:$C$26</formula1>
    </dataValidation>
    <dataValidation type="list" allowBlank="1" showErrorMessage="1" sqref="D15" xr:uid="{404B8854-FB0D-47F4-989F-CB87EA162DF7}">
      <formula1>#REF!</formula1>
    </dataValidation>
  </dataValidations>
  <pageMargins left="0.51181102362204722" right="0.51181102362204722" top="0.78740157480314965" bottom="0.78740157480314965" header="0" footer="0"/>
  <pageSetup paperSize="9" scale="61" fitToHeight="0" orientation="landscape" r:id="rId1"/>
  <ignoredErrors>
    <ignoredError sqref="C10:M10 C13 C11:E11 C15:M21 C14 E14 G14 I14 K14 M14 C12 E12:M12 E13:M13 C23:M40 C22:D22 E22" evalError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C315-60D7-48E9-B0FA-EEF7737E9DA2}">
  <sheetPr>
    <pageSetUpPr fitToPage="1"/>
  </sheetPr>
  <dimension ref="A1:S110"/>
  <sheetViews>
    <sheetView zoomScale="85" zoomScaleNormal="85" workbookViewId="0">
      <selection activeCell="D6" sqref="D6"/>
    </sheetView>
  </sheetViews>
  <sheetFormatPr defaultColWidth="14.42578125" defaultRowHeight="15" customHeight="1" x14ac:dyDescent="0.25"/>
  <cols>
    <col min="1" max="1" width="4" style="174" customWidth="1"/>
    <col min="2" max="2" width="12.85546875" style="174" customWidth="1"/>
    <col min="3" max="3" width="6.85546875" style="174" customWidth="1"/>
    <col min="4" max="4" width="6.85546875" style="197" customWidth="1"/>
    <col min="5" max="5" width="9" style="174" customWidth="1"/>
    <col min="6" max="6" width="14.42578125" style="174" customWidth="1"/>
    <col min="7" max="7" width="31.7109375" style="174" bestFit="1" customWidth="1"/>
    <col min="8" max="8" width="16.42578125" style="174" bestFit="1" customWidth="1"/>
    <col min="9" max="9" width="15.140625" style="174" customWidth="1"/>
    <col min="10" max="10" width="15" style="174" bestFit="1" customWidth="1"/>
    <col min="11" max="17" width="15.7109375" style="174" customWidth="1"/>
    <col min="18" max="18" width="15" style="174" customWidth="1"/>
    <col min="19" max="19" width="1.42578125" style="174" customWidth="1"/>
    <col min="20" max="16384" width="14.42578125" style="174"/>
  </cols>
  <sheetData>
    <row r="1" spans="1:19" ht="15.75" thickBot="1" x14ac:dyDescent="0.3">
      <c r="A1" s="175"/>
      <c r="B1" s="175"/>
      <c r="C1" s="175"/>
      <c r="D1" s="199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19" ht="18.75" customHeight="1" x14ac:dyDescent="0.25">
      <c r="A2" s="175"/>
      <c r="B2" s="340" t="s">
        <v>49</v>
      </c>
      <c r="C2" s="341"/>
      <c r="D2" s="342"/>
      <c r="E2" s="328" t="s">
        <v>50</v>
      </c>
      <c r="F2" s="329"/>
      <c r="G2" s="329"/>
      <c r="H2" s="329"/>
      <c r="I2" s="330"/>
      <c r="J2" s="329"/>
      <c r="K2" s="329"/>
      <c r="L2" s="329"/>
      <c r="M2" s="329"/>
      <c r="N2" s="329"/>
      <c r="O2" s="329"/>
      <c r="P2" s="329"/>
      <c r="Q2" s="329"/>
      <c r="R2" s="330"/>
      <c r="S2" s="175"/>
    </row>
    <row r="3" spans="1:19" ht="18.75" customHeight="1" thickBot="1" x14ac:dyDescent="0.3">
      <c r="A3" s="175"/>
      <c r="B3" s="343">
        <v>0.44</v>
      </c>
      <c r="C3" s="344"/>
      <c r="D3" s="345"/>
      <c r="E3" s="331" t="s">
        <v>51</v>
      </c>
      <c r="F3" s="332"/>
      <c r="G3" s="332"/>
      <c r="H3" s="332"/>
      <c r="I3" s="333"/>
      <c r="J3" s="332"/>
      <c r="K3" s="332"/>
      <c r="L3" s="332"/>
      <c r="M3" s="332"/>
      <c r="N3" s="332"/>
      <c r="O3" s="332"/>
      <c r="P3" s="332"/>
      <c r="Q3" s="332"/>
      <c r="R3" s="333"/>
      <c r="S3" s="101"/>
    </row>
    <row r="4" spans="1:19" ht="30" customHeight="1" x14ac:dyDescent="0.25">
      <c r="A4" s="175"/>
      <c r="B4" s="339" t="s">
        <v>52</v>
      </c>
      <c r="C4" s="326" t="s">
        <v>53</v>
      </c>
      <c r="D4" s="326" t="s">
        <v>225</v>
      </c>
      <c r="E4" s="326" t="s">
        <v>54</v>
      </c>
      <c r="F4" s="334" t="s">
        <v>55</v>
      </c>
      <c r="G4" s="326" t="s">
        <v>56</v>
      </c>
      <c r="H4" s="326" t="s">
        <v>57</v>
      </c>
      <c r="I4" s="225" t="s">
        <v>233</v>
      </c>
      <c r="J4" s="326" t="s">
        <v>58</v>
      </c>
      <c r="K4" s="326" t="s">
        <v>59</v>
      </c>
      <c r="L4" s="326" t="s">
        <v>60</v>
      </c>
      <c r="M4" s="326" t="s">
        <v>61</v>
      </c>
      <c r="N4" s="326" t="s">
        <v>62</v>
      </c>
      <c r="O4" s="326" t="s">
        <v>63</v>
      </c>
      <c r="P4" s="326" t="s">
        <v>64</v>
      </c>
      <c r="Q4" s="326" t="s">
        <v>65</v>
      </c>
      <c r="R4" s="326" t="s">
        <v>66</v>
      </c>
      <c r="S4" s="102"/>
    </row>
    <row r="5" spans="1:19" x14ac:dyDescent="0.25">
      <c r="A5" s="175"/>
      <c r="B5" s="327"/>
      <c r="C5" s="327"/>
      <c r="D5" s="336"/>
      <c r="E5" s="327"/>
      <c r="F5" s="335"/>
      <c r="G5" s="327"/>
      <c r="H5" s="327"/>
      <c r="I5" s="226">
        <v>1.4999999999999999E-2</v>
      </c>
      <c r="J5" s="327"/>
      <c r="K5" s="327"/>
      <c r="L5" s="335"/>
      <c r="M5" s="335"/>
      <c r="N5" s="335"/>
      <c r="O5" s="335"/>
      <c r="P5" s="327"/>
      <c r="Q5" s="327"/>
      <c r="R5" s="327"/>
      <c r="S5" s="102"/>
    </row>
    <row r="6" spans="1:19" x14ac:dyDescent="0.25">
      <c r="A6" s="175"/>
      <c r="B6" s="103" t="s">
        <v>85</v>
      </c>
      <c r="C6" s="104">
        <f t="shared" ref="C6" si="0">+E6*$B$3</f>
        <v>1.32</v>
      </c>
      <c r="D6" s="205" t="e">
        <f>ABS('Preço SFCR-SMA JINKO'!$G$43-C6)</f>
        <v>#DIV/0!</v>
      </c>
      <c r="E6" s="105">
        <f>+'FRONIUS-BYD 335Wp'!E6</f>
        <v>3</v>
      </c>
      <c r="F6" s="112" t="str">
        <f>+IF(K6=0,"",ROUND(M6/(1-'Tabela de BDI'!$C$3),0))</f>
        <v/>
      </c>
      <c r="G6" s="107"/>
      <c r="H6" s="106"/>
      <c r="I6" s="146"/>
      <c r="J6" s="150">
        <f>+I6/(1-$I$5)</f>
        <v>0</v>
      </c>
      <c r="K6" s="106">
        <f t="shared" ref="K6" si="1">+H6+J6</f>
        <v>0</v>
      </c>
      <c r="L6" s="106">
        <f>+'FRONIUS-BYD 335Wp'!L6</f>
        <v>2500</v>
      </c>
      <c r="M6" s="106">
        <f t="shared" ref="M6" si="2">+K6+L6</f>
        <v>2500</v>
      </c>
      <c r="N6" s="106" t="str">
        <f>+IF(F6="","",F6*'Tabela de BDI'!$C$7)</f>
        <v/>
      </c>
      <c r="O6" s="106" t="str">
        <f>IF(F6="","",F6*'Tabela de BDI'!$C$8)</f>
        <v/>
      </c>
      <c r="P6" s="109" t="str">
        <f t="shared" ref="P6" si="3">IF(F6="","",(F6-K6)/K6)</f>
        <v/>
      </c>
      <c r="Q6" s="110" t="str">
        <f t="shared" ref="Q6" si="4">IF(F6="","",(F6/C6)/1000)</f>
        <v/>
      </c>
      <c r="R6" s="111">
        <f>+'Tabela de BDI'!$F$9*C6</f>
        <v>158.4</v>
      </c>
      <c r="S6" s="102"/>
    </row>
    <row r="7" spans="1:19" x14ac:dyDescent="0.25">
      <c r="A7" s="175"/>
      <c r="B7" s="103" t="s">
        <v>85</v>
      </c>
      <c r="C7" s="104">
        <f t="shared" ref="C7:C63" si="5">+E7*$B$3</f>
        <v>1.76</v>
      </c>
      <c r="D7" s="205" t="e">
        <f>ABS('Preço SFCR-SMA JINKO'!$G$43-C7)</f>
        <v>#DIV/0!</v>
      </c>
      <c r="E7" s="105">
        <f>+'FRONIUS-BYD 335Wp'!E7</f>
        <v>4</v>
      </c>
      <c r="F7" s="112" t="str">
        <f>+IF(K7=0,"",ROUND(M7/(1-'Tabela de BDI'!$C$3),0))</f>
        <v/>
      </c>
      <c r="G7" s="107"/>
      <c r="H7" s="106"/>
      <c r="I7" s="146"/>
      <c r="J7" s="150">
        <f t="shared" ref="J7:J51" si="6">+I7/(1-$I$5)</f>
        <v>0</v>
      </c>
      <c r="K7" s="106">
        <f t="shared" ref="K7:K63" si="7">+H7+J7</f>
        <v>0</v>
      </c>
      <c r="L7" s="106">
        <f>+'FRONIUS-BYD 335Wp'!L7</f>
        <v>2625</v>
      </c>
      <c r="M7" s="106">
        <f t="shared" ref="M7:M63" si="8">+K7+L7</f>
        <v>2625</v>
      </c>
      <c r="N7" s="106" t="str">
        <f>+IF(F7="","",F7*'Tabela de BDI'!$C$7)</f>
        <v/>
      </c>
      <c r="O7" s="106" t="str">
        <f>IF(F7="","",F7*'Tabela de BDI'!$C$8)</f>
        <v/>
      </c>
      <c r="P7" s="109" t="str">
        <f t="shared" ref="P7:P63" si="9">IF(F7="","",(F7-K7)/K7)</f>
        <v/>
      </c>
      <c r="Q7" s="110" t="str">
        <f t="shared" ref="Q7:Q65" si="10">IF(F7="","",(F7/C7)/1000)</f>
        <v/>
      </c>
      <c r="R7" s="111">
        <f>+'Tabela de BDI'!$F$9*C7</f>
        <v>211.2</v>
      </c>
      <c r="S7" s="102"/>
    </row>
    <row r="8" spans="1:19" x14ac:dyDescent="0.25">
      <c r="A8" s="175"/>
      <c r="B8" s="103" t="s">
        <v>85</v>
      </c>
      <c r="C8" s="104">
        <f t="shared" ref="C8:C14" si="11">+E8*$B$3</f>
        <v>2.2000000000000002</v>
      </c>
      <c r="D8" s="205" t="e">
        <f>ABS('Preço SFCR-SMA JINKO'!$G$43-C8)</f>
        <v>#DIV/0!</v>
      </c>
      <c r="E8" s="105">
        <f>+'FRONIUS-BYD 335Wp'!E8</f>
        <v>5</v>
      </c>
      <c r="F8" s="112" t="str">
        <f>+IF(K8=0,"",ROUND(M8/(1-'Tabela de BDI'!$C$3),0))</f>
        <v/>
      </c>
      <c r="G8" s="107"/>
      <c r="H8" s="106"/>
      <c r="I8" s="146"/>
      <c r="J8" s="150">
        <f t="shared" si="6"/>
        <v>0</v>
      </c>
      <c r="K8" s="106">
        <f t="shared" ref="K8:K10" si="12">+H8+J8</f>
        <v>0</v>
      </c>
      <c r="L8" s="106">
        <f>+'FRONIUS-BYD 335Wp'!L8</f>
        <v>2750</v>
      </c>
      <c r="M8" s="106">
        <f t="shared" ref="M8:M10" si="13">+K8+L8</f>
        <v>2750</v>
      </c>
      <c r="N8" s="106" t="str">
        <f>+IF(F8="","",F8*'Tabela de BDI'!$C$7)</f>
        <v/>
      </c>
      <c r="O8" s="106" t="str">
        <f>IF(F8="","",F8*'Tabela de BDI'!$C$8)</f>
        <v/>
      </c>
      <c r="P8" s="109" t="str">
        <f t="shared" ref="P8:P10" si="14">IF(F8="","",(F8-K8)/K8)</f>
        <v/>
      </c>
      <c r="Q8" s="110" t="str">
        <f t="shared" ref="Q8:Q10" si="15">IF(F8="","",(F8/C8)/1000)</f>
        <v/>
      </c>
      <c r="R8" s="111">
        <f>+'Tabela de BDI'!$F$9*C8</f>
        <v>264</v>
      </c>
      <c r="S8" s="102"/>
    </row>
    <row r="9" spans="1:19" x14ac:dyDescent="0.25">
      <c r="A9" s="175"/>
      <c r="B9" s="103" t="s">
        <v>85</v>
      </c>
      <c r="C9" s="104">
        <f t="shared" si="11"/>
        <v>2.64</v>
      </c>
      <c r="D9" s="205" t="e">
        <f>ABS('Preço SFCR-SMA JINKO'!$G$43-C9)</f>
        <v>#DIV/0!</v>
      </c>
      <c r="E9" s="105">
        <f>+'FRONIUS-BYD 335Wp'!E9</f>
        <v>6</v>
      </c>
      <c r="F9" s="112">
        <f>+IF(K9=0,"",ROUND(M9/(1-'Tabela de BDI'!$C$3),0))</f>
        <v>17729</v>
      </c>
      <c r="G9" s="121" t="s">
        <v>198</v>
      </c>
      <c r="H9" s="106"/>
      <c r="I9" s="146">
        <v>12360.77</v>
      </c>
      <c r="J9" s="150">
        <f t="shared" si="6"/>
        <v>12549.005076142133</v>
      </c>
      <c r="K9" s="106">
        <f t="shared" si="12"/>
        <v>12549.005076142133</v>
      </c>
      <c r="L9" s="106">
        <f>+'FRONIUS-BYD 335Wp'!L9</f>
        <v>2875</v>
      </c>
      <c r="M9" s="106">
        <f t="shared" si="13"/>
        <v>15424.005076142133</v>
      </c>
      <c r="N9" s="106">
        <f>+IF(F9="","",F9*'Tabela de BDI'!$C$7)</f>
        <v>1418.32</v>
      </c>
      <c r="O9" s="106">
        <f>IF(F9="","",F9*'Tabela de BDI'!$C$8)</f>
        <v>886.45</v>
      </c>
      <c r="P9" s="109">
        <f t="shared" si="14"/>
        <v>0.41278132349360097</v>
      </c>
      <c r="Q9" s="110">
        <f t="shared" si="15"/>
        <v>6.7155303030303033</v>
      </c>
      <c r="R9" s="111">
        <f>+'Tabela de BDI'!$F$9*C9</f>
        <v>316.8</v>
      </c>
      <c r="S9" s="102"/>
    </row>
    <row r="10" spans="1:19" x14ac:dyDescent="0.25">
      <c r="A10" s="175"/>
      <c r="B10" s="103" t="s">
        <v>85</v>
      </c>
      <c r="C10" s="104">
        <f t="shared" si="11"/>
        <v>3.08</v>
      </c>
      <c r="D10" s="205" t="e">
        <f>ABS('Preço SFCR-SMA JINKO'!$G$43-C10)</f>
        <v>#DIV/0!</v>
      </c>
      <c r="E10" s="105">
        <f>+'FRONIUS-BYD 335Wp'!E10</f>
        <v>7</v>
      </c>
      <c r="F10" s="112">
        <f>+IF(K10=0,"",ROUND(M10/(1-'Tabela de BDI'!$C$3),0))</f>
        <v>18930</v>
      </c>
      <c r="G10" s="121" t="s">
        <v>198</v>
      </c>
      <c r="H10" s="106"/>
      <c r="I10" s="146">
        <v>13266.97</v>
      </c>
      <c r="J10" s="150">
        <f t="shared" si="6"/>
        <v>13469.005076142132</v>
      </c>
      <c r="K10" s="106">
        <f t="shared" si="12"/>
        <v>13469.005076142132</v>
      </c>
      <c r="L10" s="106">
        <f>+'FRONIUS-BYD 335Wp'!L10</f>
        <v>3000</v>
      </c>
      <c r="M10" s="106">
        <f t="shared" si="13"/>
        <v>16469.00507614213</v>
      </c>
      <c r="N10" s="106">
        <f>+IF(F10="","",F10*'Tabela de BDI'!$C$7)</f>
        <v>1514.4</v>
      </c>
      <c r="O10" s="106">
        <f>IF(F10="","",F10*'Tabela de BDI'!$C$8)</f>
        <v>946.5</v>
      </c>
      <c r="P10" s="109">
        <f t="shared" si="14"/>
        <v>0.40544902114047143</v>
      </c>
      <c r="Q10" s="110">
        <f t="shared" si="15"/>
        <v>6.1461038961038961</v>
      </c>
      <c r="R10" s="111">
        <f>+'Tabela de BDI'!$F$9*C10</f>
        <v>369.6</v>
      </c>
      <c r="S10" s="102"/>
    </row>
    <row r="11" spans="1:19" x14ac:dyDescent="0.25">
      <c r="A11" s="175"/>
      <c r="B11" s="103" t="s">
        <v>85</v>
      </c>
      <c r="C11" s="104">
        <f t="shared" si="11"/>
        <v>3.52</v>
      </c>
      <c r="D11" s="205" t="e">
        <f>ABS('Preço SFCR-SMA JINKO'!$G$43-C11)</f>
        <v>#DIV/0!</v>
      </c>
      <c r="E11" s="105">
        <f>+'FRONIUS-BYD 335Wp'!E11</f>
        <v>8</v>
      </c>
      <c r="F11" s="112">
        <f>+IF(K11=0,"",ROUND(M11/(1-'Tabela de BDI'!$C$3),0))</f>
        <v>20131</v>
      </c>
      <c r="G11" s="121" t="s">
        <v>198</v>
      </c>
      <c r="H11" s="106"/>
      <c r="I11" s="169">
        <v>14173.17</v>
      </c>
      <c r="J11" s="150">
        <f t="shared" si="6"/>
        <v>14389.005076142132</v>
      </c>
      <c r="K11" s="106">
        <f t="shared" si="7"/>
        <v>14389.005076142132</v>
      </c>
      <c r="L11" s="106">
        <f>+'FRONIUS-BYD 335Wp'!L11</f>
        <v>3125</v>
      </c>
      <c r="M11" s="106">
        <f t="shared" si="8"/>
        <v>17514.00507614213</v>
      </c>
      <c r="N11" s="106">
        <f>+IF(F11="","",F11*'Tabela de BDI'!$C$7)</f>
        <v>1610.48</v>
      </c>
      <c r="O11" s="106">
        <f>IF(F11="","",F11*'Tabela de BDI'!$C$8)</f>
        <v>1006.5500000000001</v>
      </c>
      <c r="P11" s="109">
        <f t="shared" si="9"/>
        <v>0.39905433999592188</v>
      </c>
      <c r="Q11" s="110">
        <f t="shared" si="10"/>
        <v>5.7190340909090907</v>
      </c>
      <c r="R11" s="111">
        <f>+'Tabela de BDI'!$F$9*C11</f>
        <v>422.4</v>
      </c>
      <c r="S11" s="102"/>
    </row>
    <row r="12" spans="1:19" x14ac:dyDescent="0.25">
      <c r="A12" s="175"/>
      <c r="B12" s="103" t="s">
        <v>85</v>
      </c>
      <c r="C12" s="104">
        <f t="shared" si="11"/>
        <v>3.96</v>
      </c>
      <c r="D12" s="205" t="e">
        <f>ABS('Preço SFCR-SMA JINKO'!$G$43-C12)</f>
        <v>#DIV/0!</v>
      </c>
      <c r="E12" s="105">
        <f>+'FRONIUS-BYD 335Wp'!E12</f>
        <v>9</v>
      </c>
      <c r="F12" s="112" t="str">
        <f>+IF(K12=0,"",ROUND(M12/(1-'Tabela de BDI'!$C$3),0))</f>
        <v/>
      </c>
      <c r="G12" s="121"/>
      <c r="H12" s="106"/>
      <c r="I12" s="146"/>
      <c r="J12" s="150">
        <f t="shared" si="6"/>
        <v>0</v>
      </c>
      <c r="K12" s="106">
        <f t="shared" ref="K12" si="16">+H12+J12</f>
        <v>0</v>
      </c>
      <c r="L12" s="106">
        <f>+'FRONIUS-BYD 335Wp'!L12</f>
        <v>3250</v>
      </c>
      <c r="M12" s="106">
        <f t="shared" ref="M12" si="17">+K12+L12</f>
        <v>3250</v>
      </c>
      <c r="N12" s="106" t="str">
        <f>+IF(F12="","",F12*'Tabela de BDI'!$C$7)</f>
        <v/>
      </c>
      <c r="O12" s="106" t="str">
        <f>IF(F12="","",F12*'Tabela de BDI'!$C$8)</f>
        <v/>
      </c>
      <c r="P12" s="109" t="str">
        <f t="shared" ref="P12" si="18">IF(F12="","",(F12-K12)/K12)</f>
        <v/>
      </c>
      <c r="Q12" s="110" t="str">
        <f t="shared" ref="Q12" si="19">IF(F12="","",(F12/C12)/1000)</f>
        <v/>
      </c>
      <c r="R12" s="111">
        <f>+'Tabela de BDI'!$F$9*C12</f>
        <v>475.2</v>
      </c>
      <c r="S12" s="102"/>
    </row>
    <row r="13" spans="1:19" x14ac:dyDescent="0.25">
      <c r="A13" s="175"/>
      <c r="B13" s="103" t="s">
        <v>85</v>
      </c>
      <c r="C13" s="104">
        <f t="shared" si="11"/>
        <v>4.4000000000000004</v>
      </c>
      <c r="D13" s="205" t="e">
        <f>ABS('Preço SFCR-SMA JINKO'!$G$43-C13)</f>
        <v>#DIV/0!</v>
      </c>
      <c r="E13" s="105">
        <f>+'FRONIUS-BYD 335Wp'!E13</f>
        <v>10</v>
      </c>
      <c r="F13" s="112" t="e">
        <f>+IF(K13=0,"",ROUND(M13/(1-'Tabela de BDI'!$C$3),0))</f>
        <v>#VALUE!</v>
      </c>
      <c r="G13" s="121" t="s">
        <v>199</v>
      </c>
      <c r="H13" s="106"/>
      <c r="I13" s="272" t="s">
        <v>245</v>
      </c>
      <c r="J13" s="150" t="e">
        <f t="shared" si="6"/>
        <v>#VALUE!</v>
      </c>
      <c r="K13" s="106" t="e">
        <f t="shared" si="7"/>
        <v>#VALUE!</v>
      </c>
      <c r="L13" s="106">
        <f>+'FRONIUS-BYD 335Wp'!L13</f>
        <v>3375</v>
      </c>
      <c r="M13" s="106" t="e">
        <f t="shared" si="8"/>
        <v>#VALUE!</v>
      </c>
      <c r="N13" s="106" t="e">
        <f>+IF(F13="","",F13*'Tabela de BDI'!$C$7)</f>
        <v>#VALUE!</v>
      </c>
      <c r="O13" s="106" t="e">
        <f>IF(F13="","",F13*'Tabela de BDI'!$C$8)</f>
        <v>#VALUE!</v>
      </c>
      <c r="P13" s="109" t="e">
        <f t="shared" si="9"/>
        <v>#VALUE!</v>
      </c>
      <c r="Q13" s="110" t="e">
        <f t="shared" si="10"/>
        <v>#VALUE!</v>
      </c>
      <c r="R13" s="111">
        <f>+'Tabela de BDI'!$F$9*C13</f>
        <v>528</v>
      </c>
      <c r="S13" s="114"/>
    </row>
    <row r="14" spans="1:19" x14ac:dyDescent="0.25">
      <c r="A14" s="175"/>
      <c r="B14" s="103" t="s">
        <v>85</v>
      </c>
      <c r="C14" s="104">
        <f t="shared" si="11"/>
        <v>4.84</v>
      </c>
      <c r="D14" s="205" t="e">
        <f>ABS('Preço SFCR-SMA JINKO'!$G$43-C14)</f>
        <v>#DIV/0!</v>
      </c>
      <c r="E14" s="105">
        <f>+'FRONIUS-BYD 335Wp'!E14</f>
        <v>11</v>
      </c>
      <c r="F14" s="112" t="str">
        <f>+IF(K14=0,"",ROUND(M14/(1-'Tabela de BDI'!$C$3),0))</f>
        <v/>
      </c>
      <c r="G14" s="121"/>
      <c r="H14" s="106"/>
      <c r="I14" s="146"/>
      <c r="J14" s="150">
        <f t="shared" si="6"/>
        <v>0</v>
      </c>
      <c r="K14" s="106">
        <f t="shared" ref="K14" si="20">+H14+J14</f>
        <v>0</v>
      </c>
      <c r="L14" s="106">
        <f>+'FRONIUS-BYD 335Wp'!L14</f>
        <v>3500</v>
      </c>
      <c r="M14" s="106">
        <f t="shared" ref="M14" si="21">+K14+L14</f>
        <v>3500</v>
      </c>
      <c r="N14" s="106" t="str">
        <f>+IF(F14="","",F14*'Tabela de BDI'!$C$7)</f>
        <v/>
      </c>
      <c r="O14" s="106" t="str">
        <f>IF(F14="","",F14*'Tabela de BDI'!$C$8)</f>
        <v/>
      </c>
      <c r="P14" s="109" t="str">
        <f t="shared" ref="P14" si="22">IF(F14="","",(F14-K14)/K14)</f>
        <v/>
      </c>
      <c r="Q14" s="110" t="str">
        <f t="shared" ref="Q14" si="23">IF(F14="","",(F14/C14)/1000)</f>
        <v/>
      </c>
      <c r="R14" s="111">
        <f>+'Tabela de BDI'!$F$9*C14</f>
        <v>580.79999999999995</v>
      </c>
      <c r="S14" s="114"/>
    </row>
    <row r="15" spans="1:19" x14ac:dyDescent="0.25">
      <c r="A15" s="175"/>
      <c r="B15" s="103" t="s">
        <v>85</v>
      </c>
      <c r="C15" s="104">
        <f t="shared" si="5"/>
        <v>5.28</v>
      </c>
      <c r="D15" s="205" t="e">
        <f>ABS('Preço SFCR-SMA JINKO'!$G$43-C15)</f>
        <v>#DIV/0!</v>
      </c>
      <c r="E15" s="105">
        <f>+'FRONIUS-BYD 335Wp'!E15</f>
        <v>12</v>
      </c>
      <c r="F15" s="112" t="e">
        <f>+IF(K15=0,"",ROUND(M15/(1-'Tabela de BDI'!$C$3),0))</f>
        <v>#VALUE!</v>
      </c>
      <c r="G15" s="121" t="s">
        <v>199</v>
      </c>
      <c r="H15" s="106"/>
      <c r="I15" s="272" t="s">
        <v>245</v>
      </c>
      <c r="J15" s="150" t="e">
        <f t="shared" si="6"/>
        <v>#VALUE!</v>
      </c>
      <c r="K15" s="106" t="e">
        <f t="shared" si="7"/>
        <v>#VALUE!</v>
      </c>
      <c r="L15" s="106">
        <f>+'FRONIUS-BYD 335Wp'!L15</f>
        <v>3625</v>
      </c>
      <c r="M15" s="106" t="e">
        <f t="shared" si="8"/>
        <v>#VALUE!</v>
      </c>
      <c r="N15" s="106" t="e">
        <f>+IF(F15="","",F15*'Tabela de BDI'!$C$7)</f>
        <v>#VALUE!</v>
      </c>
      <c r="O15" s="106" t="e">
        <f>IF(F15="","",F15*'Tabela de BDI'!$C$8)</f>
        <v>#VALUE!</v>
      </c>
      <c r="P15" s="109" t="e">
        <f t="shared" si="9"/>
        <v>#VALUE!</v>
      </c>
      <c r="Q15" s="110" t="e">
        <f t="shared" si="10"/>
        <v>#VALUE!</v>
      </c>
      <c r="R15" s="111">
        <f>+'Tabela de BDI'!$F$9*C15</f>
        <v>633.6</v>
      </c>
      <c r="S15" s="114"/>
    </row>
    <row r="16" spans="1:19" s="286" customFormat="1" x14ac:dyDescent="0.25">
      <c r="A16" s="288"/>
      <c r="B16" s="103" t="s">
        <v>85</v>
      </c>
      <c r="C16" s="104">
        <f t="shared" ref="C16" si="24">+E16*$B$3</f>
        <v>5.72</v>
      </c>
      <c r="D16" s="205" t="e">
        <f>ABS('Preço SFCR-SMA JINKO'!$G$43-C16)</f>
        <v>#DIV/0!</v>
      </c>
      <c r="E16" s="105">
        <f>+'FRONIUS-BYD 335Wp'!E16</f>
        <v>13</v>
      </c>
      <c r="F16" s="112" t="e">
        <f>+IF(K16=0,"",ROUND(M16/(1-'Tabela de BDI'!$C$3),0))</f>
        <v>#VALUE!</v>
      </c>
      <c r="G16" s="121"/>
      <c r="H16" s="106"/>
      <c r="I16" s="272" t="s">
        <v>245</v>
      </c>
      <c r="J16" s="150" t="e">
        <f t="shared" ref="J16" si="25">+I16/(1-$I$5)</f>
        <v>#VALUE!</v>
      </c>
      <c r="K16" s="106" t="e">
        <f t="shared" ref="K16" si="26">+H16+J16</f>
        <v>#VALUE!</v>
      </c>
      <c r="L16" s="106">
        <f>+'FRONIUS-BYD 335Wp'!L16</f>
        <v>3750</v>
      </c>
      <c r="M16" s="106" t="e">
        <f t="shared" ref="M16" si="27">+K16+L16</f>
        <v>#VALUE!</v>
      </c>
      <c r="N16" s="106" t="e">
        <f>+IF(F16="","",F16*'Tabela de BDI'!$C$7)</f>
        <v>#VALUE!</v>
      </c>
      <c r="O16" s="106" t="e">
        <f>IF(F16="","",F16*'Tabela de BDI'!$C$8)</f>
        <v>#VALUE!</v>
      </c>
      <c r="P16" s="109" t="e">
        <f t="shared" ref="P16" si="28">IF(F16="","",(F16-K16)/K16)</f>
        <v>#VALUE!</v>
      </c>
      <c r="Q16" s="110" t="e">
        <f t="shared" ref="Q16" si="29">IF(F16="","",(F16/C16)/1000)</f>
        <v>#VALUE!</v>
      </c>
      <c r="R16" s="111">
        <f>+'Tabela de BDI'!$F$9*C16</f>
        <v>686.4</v>
      </c>
      <c r="S16" s="114"/>
    </row>
    <row r="17" spans="1:19" x14ac:dyDescent="0.25">
      <c r="A17" s="175"/>
      <c r="B17" s="103" t="s">
        <v>85</v>
      </c>
      <c r="C17" s="104">
        <f t="shared" si="5"/>
        <v>6.16</v>
      </c>
      <c r="D17" s="205" t="e">
        <f>ABS('Preço SFCR-SMA JINKO'!$G$43-C17)</f>
        <v>#DIV/0!</v>
      </c>
      <c r="E17" s="105">
        <f>+'FRONIUS-BYD 335Wp'!E17</f>
        <v>14</v>
      </c>
      <c r="F17" s="112" t="e">
        <f>+IF(K17=0,"",ROUND(M17/(1-'Tabela de BDI'!$C$3),0))</f>
        <v>#VALUE!</v>
      </c>
      <c r="G17" s="121" t="s">
        <v>200</v>
      </c>
      <c r="H17" s="106"/>
      <c r="I17" s="272" t="s">
        <v>245</v>
      </c>
      <c r="J17" s="150" t="e">
        <f t="shared" si="6"/>
        <v>#VALUE!</v>
      </c>
      <c r="K17" s="106" t="e">
        <f t="shared" si="7"/>
        <v>#VALUE!</v>
      </c>
      <c r="L17" s="106">
        <f>+'FRONIUS-BYD 335Wp'!L17</f>
        <v>3875</v>
      </c>
      <c r="M17" s="106" t="e">
        <f t="shared" si="8"/>
        <v>#VALUE!</v>
      </c>
      <c r="N17" s="106" t="e">
        <f>+IF(F17="","",F17*'Tabela de BDI'!$C$7)</f>
        <v>#VALUE!</v>
      </c>
      <c r="O17" s="106" t="e">
        <f>IF(F17="","",F17*'Tabela de BDI'!$C$8)</f>
        <v>#VALUE!</v>
      </c>
      <c r="P17" s="109" t="e">
        <f t="shared" si="9"/>
        <v>#VALUE!</v>
      </c>
      <c r="Q17" s="110" t="e">
        <f t="shared" si="10"/>
        <v>#VALUE!</v>
      </c>
      <c r="R17" s="111">
        <f>+'Tabela de BDI'!$F$9*C17</f>
        <v>739.2</v>
      </c>
      <c r="S17" s="114"/>
    </row>
    <row r="18" spans="1:19" s="207" customFormat="1" x14ac:dyDescent="0.25">
      <c r="A18" s="208"/>
      <c r="B18" s="103" t="s">
        <v>85</v>
      </c>
      <c r="C18" s="104">
        <f t="shared" ref="C18" si="30">+E18*$B$3</f>
        <v>6.6</v>
      </c>
      <c r="D18" s="205" t="e">
        <f>ABS('Preço SFCR-SMA JINKO'!$G$43-C18)</f>
        <v>#DIV/0!</v>
      </c>
      <c r="E18" s="105">
        <f>+'FRONIUS-BYD 335Wp'!E18</f>
        <v>15</v>
      </c>
      <c r="F18" s="112" t="e">
        <f>+IF(K18=0,"",ROUND(M18/(1-'Tabela de BDI'!$C$3),0))</f>
        <v>#VALUE!</v>
      </c>
      <c r="G18" s="121" t="s">
        <v>200</v>
      </c>
      <c r="H18" s="106"/>
      <c r="I18" s="272" t="s">
        <v>245</v>
      </c>
      <c r="J18" s="150" t="e">
        <f t="shared" si="6"/>
        <v>#VALUE!</v>
      </c>
      <c r="K18" s="106" t="e">
        <f t="shared" ref="K18" si="31">+H18+J18</f>
        <v>#VALUE!</v>
      </c>
      <c r="L18" s="106">
        <f>+'FRONIUS-BYD 335Wp'!L18</f>
        <v>4000</v>
      </c>
      <c r="M18" s="106" t="e">
        <f t="shared" ref="M18" si="32">+K18+L18</f>
        <v>#VALUE!</v>
      </c>
      <c r="N18" s="106" t="e">
        <f>+IF(F18="","",F18*'Tabela de BDI'!$C$7)</f>
        <v>#VALUE!</v>
      </c>
      <c r="O18" s="106" t="e">
        <f>IF(F18="","",F18*'Tabela de BDI'!$C$8)</f>
        <v>#VALUE!</v>
      </c>
      <c r="P18" s="109" t="e">
        <f t="shared" ref="P18" si="33">IF(F18="","",(F18-K18)/K18)</f>
        <v>#VALUE!</v>
      </c>
      <c r="Q18" s="110" t="e">
        <f t="shared" ref="Q18" si="34">IF(F18="","",(F18/C18)/1000)</f>
        <v>#VALUE!</v>
      </c>
      <c r="R18" s="111">
        <f>+'Tabela de BDI'!$F$9*C18</f>
        <v>792</v>
      </c>
      <c r="S18" s="114"/>
    </row>
    <row r="19" spans="1:19" x14ac:dyDescent="0.25">
      <c r="A19" s="175"/>
      <c r="B19" s="103" t="s">
        <v>85</v>
      </c>
      <c r="C19" s="104">
        <f t="shared" si="5"/>
        <v>7.04</v>
      </c>
      <c r="D19" s="205" t="e">
        <f>ABS('Preço SFCR-SMA JINKO'!$G$43-C19)</f>
        <v>#DIV/0!</v>
      </c>
      <c r="E19" s="105">
        <f>+'FRONIUS-BYD 335Wp'!E19</f>
        <v>16</v>
      </c>
      <c r="F19" s="112" t="e">
        <f>+IF(K19=0,"",ROUND(M19/(1-'Tabela de BDI'!$C$3),0))</f>
        <v>#VALUE!</v>
      </c>
      <c r="G19" s="121" t="s">
        <v>201</v>
      </c>
      <c r="H19" s="106"/>
      <c r="I19" s="272" t="s">
        <v>257</v>
      </c>
      <c r="J19" s="150" t="e">
        <f t="shared" si="6"/>
        <v>#VALUE!</v>
      </c>
      <c r="K19" s="106" t="e">
        <f t="shared" si="7"/>
        <v>#VALUE!</v>
      </c>
      <c r="L19" s="106">
        <f>+'FRONIUS-BYD 335Wp'!L19</f>
        <v>4125</v>
      </c>
      <c r="M19" s="106" t="e">
        <f t="shared" si="8"/>
        <v>#VALUE!</v>
      </c>
      <c r="N19" s="106" t="e">
        <f>+IF(F19="","",F19*'Tabela de BDI'!$C$7)</f>
        <v>#VALUE!</v>
      </c>
      <c r="O19" s="106" t="e">
        <f>IF(F19="","",F19*'Tabela de BDI'!$C$8)</f>
        <v>#VALUE!</v>
      </c>
      <c r="P19" s="109" t="e">
        <f t="shared" si="9"/>
        <v>#VALUE!</v>
      </c>
      <c r="Q19" s="110" t="e">
        <f t="shared" si="10"/>
        <v>#VALUE!</v>
      </c>
      <c r="R19" s="111">
        <f>+'Tabela de BDI'!$F$9*C19</f>
        <v>844.8</v>
      </c>
      <c r="S19" s="114"/>
    </row>
    <row r="20" spans="1:19" x14ac:dyDescent="0.25">
      <c r="A20" s="175"/>
      <c r="B20" s="103" t="s">
        <v>85</v>
      </c>
      <c r="C20" s="104">
        <f t="shared" si="5"/>
        <v>7.92</v>
      </c>
      <c r="D20" s="205" t="e">
        <f>ABS('Preço SFCR-SMA JINKO'!$G$43-C20)</f>
        <v>#DIV/0!</v>
      </c>
      <c r="E20" s="105">
        <f>+'FRONIUS-BYD 335Wp'!E21</f>
        <v>18</v>
      </c>
      <c r="F20" s="112" t="e">
        <f>+IF(K20=0,"",ROUND(M20/(1-'Tabela de BDI'!$C$3),0))</f>
        <v>#VALUE!</v>
      </c>
      <c r="G20" s="121" t="s">
        <v>201</v>
      </c>
      <c r="H20" s="106"/>
      <c r="I20" s="272" t="s">
        <v>257</v>
      </c>
      <c r="J20" s="150" t="e">
        <f t="shared" si="6"/>
        <v>#VALUE!</v>
      </c>
      <c r="K20" s="106" t="e">
        <f t="shared" ref="K20" si="35">+H20+J20</f>
        <v>#VALUE!</v>
      </c>
      <c r="L20" s="106">
        <f>+'FRONIUS-BYD 335Wp'!L21</f>
        <v>4375</v>
      </c>
      <c r="M20" s="106" t="e">
        <f t="shared" ref="M20" si="36">+K20+L20</f>
        <v>#VALUE!</v>
      </c>
      <c r="N20" s="106" t="e">
        <f>+IF(F20="","",F20*'Tabela de BDI'!$C$7)</f>
        <v>#VALUE!</v>
      </c>
      <c r="O20" s="106" t="e">
        <f>IF(F20="","",F20*'Tabela de BDI'!$C$8)</f>
        <v>#VALUE!</v>
      </c>
      <c r="P20" s="109" t="e">
        <f t="shared" ref="P20" si="37">IF(F20="","",(F20-K20)/K20)</f>
        <v>#VALUE!</v>
      </c>
      <c r="Q20" s="110" t="e">
        <f t="shared" ref="Q20" si="38">IF(F20="","",(F20/C20)/1000)</f>
        <v>#VALUE!</v>
      </c>
      <c r="R20" s="111">
        <f>+'Tabela de BDI'!$F$9*C20</f>
        <v>950.4</v>
      </c>
      <c r="S20" s="114"/>
    </row>
    <row r="21" spans="1:19" s="228" customFormat="1" x14ac:dyDescent="0.25">
      <c r="A21" s="229"/>
      <c r="B21" s="103" t="s">
        <v>85</v>
      </c>
      <c r="C21" s="104">
        <f t="shared" ref="C21" si="39">+E21*$B$3</f>
        <v>8.36</v>
      </c>
      <c r="D21" s="205" t="e">
        <f>ABS('Preço SFCR-SMA JINKO'!$G$43-C21)</f>
        <v>#DIV/0!</v>
      </c>
      <c r="E21" s="105">
        <f>+'FRONIUS-BYD 335Wp'!E22</f>
        <v>19</v>
      </c>
      <c r="F21" s="112" t="str">
        <f>+IF(K21=0,"",ROUND(M21/(1-'Tabela de BDI'!$C$3),0))</f>
        <v/>
      </c>
      <c r="G21" s="156"/>
      <c r="H21" s="106"/>
      <c r="I21" s="146"/>
      <c r="J21" s="150">
        <f t="shared" ref="J21" si="40">+I21/(1-$I$5)</f>
        <v>0</v>
      </c>
      <c r="K21" s="106">
        <f t="shared" ref="K21" si="41">+H21+J21</f>
        <v>0</v>
      </c>
      <c r="L21" s="106">
        <f>+'FRONIUS-BYD 335Wp'!L22</f>
        <v>4500</v>
      </c>
      <c r="M21" s="106">
        <f t="shared" ref="M21" si="42">+K21+L21</f>
        <v>4500</v>
      </c>
      <c r="N21" s="106" t="str">
        <f>+IF(F21="","",F21*'Tabela de BDI'!$C$7)</f>
        <v/>
      </c>
      <c r="O21" s="106" t="str">
        <f>IF(F21="","",F21*'Tabela de BDI'!$C$8)</f>
        <v/>
      </c>
      <c r="P21" s="109" t="str">
        <f t="shared" ref="P21" si="43">IF(F21="","",(F21-K21)/K21)</f>
        <v/>
      </c>
      <c r="Q21" s="110" t="str">
        <f t="shared" ref="Q21" si="44">IF(F21="","",(F21/C21)/1000)</f>
        <v/>
      </c>
      <c r="R21" s="111">
        <f>+'Tabela de BDI'!$F$9*C21</f>
        <v>1003.1999999999999</v>
      </c>
      <c r="S21" s="114"/>
    </row>
    <row r="22" spans="1:19" x14ac:dyDescent="0.25">
      <c r="A22" s="175"/>
      <c r="B22" s="103" t="s">
        <v>85</v>
      </c>
      <c r="C22" s="104">
        <f t="shared" si="5"/>
        <v>8.8000000000000007</v>
      </c>
      <c r="D22" s="205" t="e">
        <f>ABS('Preço SFCR-SMA JINKO'!$G$43-C22)</f>
        <v>#DIV/0!</v>
      </c>
      <c r="E22" s="105">
        <f>+'FRONIUS-BYD 335Wp'!E23</f>
        <v>20</v>
      </c>
      <c r="F22" s="112" t="str">
        <f>+IF(K22=0,"",ROUND(M22/(1-'Tabela de BDI'!$C$3),0))</f>
        <v/>
      </c>
      <c r="G22" s="156"/>
      <c r="H22" s="106"/>
      <c r="I22" s="146"/>
      <c r="J22" s="150">
        <f t="shared" si="6"/>
        <v>0</v>
      </c>
      <c r="K22" s="106">
        <f t="shared" si="7"/>
        <v>0</v>
      </c>
      <c r="L22" s="106">
        <f>+'FRONIUS-BYD 335Wp'!L23</f>
        <v>4625</v>
      </c>
      <c r="M22" s="106">
        <f t="shared" si="8"/>
        <v>4625</v>
      </c>
      <c r="N22" s="106" t="str">
        <f>+IF(F22="","",F22*'Tabela de BDI'!$C$7)</f>
        <v/>
      </c>
      <c r="O22" s="106" t="str">
        <f>IF(F22="","",F22*'Tabela de BDI'!$C$8)</f>
        <v/>
      </c>
      <c r="P22" s="109" t="str">
        <f t="shared" si="9"/>
        <v/>
      </c>
      <c r="Q22" s="110" t="str">
        <f t="shared" si="10"/>
        <v/>
      </c>
      <c r="R22" s="111">
        <f>+'Tabela de BDI'!$F$9*C22</f>
        <v>1056</v>
      </c>
      <c r="S22" s="114"/>
    </row>
    <row r="23" spans="1:19" x14ac:dyDescent="0.25">
      <c r="A23" s="175"/>
      <c r="B23" s="103" t="s">
        <v>85</v>
      </c>
      <c r="C23" s="104">
        <f t="shared" si="5"/>
        <v>9.68</v>
      </c>
      <c r="D23" s="205" t="e">
        <f>ABS('Preço SFCR-SMA JINKO'!$G$43-C23)</f>
        <v>#DIV/0!</v>
      </c>
      <c r="E23" s="105">
        <f>+'FRONIUS-BYD 335Wp'!E25</f>
        <v>22</v>
      </c>
      <c r="F23" s="112" t="str">
        <f>+IF(K23=0,"",ROUND(M23/(1-'Tabela de BDI'!$C$3),0))</f>
        <v/>
      </c>
      <c r="G23" s="107"/>
      <c r="H23" s="106"/>
      <c r="I23" s="146"/>
      <c r="J23" s="150">
        <f t="shared" si="6"/>
        <v>0</v>
      </c>
      <c r="K23" s="106">
        <f t="shared" si="7"/>
        <v>0</v>
      </c>
      <c r="L23" s="106">
        <f>+'FRONIUS-BYD 335Wp'!L25</f>
        <v>4875</v>
      </c>
      <c r="M23" s="106">
        <f t="shared" si="8"/>
        <v>4875</v>
      </c>
      <c r="N23" s="106" t="str">
        <f>+IF(F23="","",F23*'Tabela de BDI'!$C$7)</f>
        <v/>
      </c>
      <c r="O23" s="106" t="str">
        <f>IF(F23="","",F23*'Tabela de BDI'!$C$8)</f>
        <v/>
      </c>
      <c r="P23" s="109" t="str">
        <f t="shared" si="9"/>
        <v/>
      </c>
      <c r="Q23" s="110" t="str">
        <f t="shared" si="10"/>
        <v/>
      </c>
      <c r="R23" s="111">
        <f>+'Tabela de BDI'!$F$9*C23</f>
        <v>1161.5999999999999</v>
      </c>
      <c r="S23" s="114"/>
    </row>
    <row r="24" spans="1:19" s="228" customFormat="1" x14ac:dyDescent="0.25">
      <c r="A24" s="229"/>
      <c r="B24" s="103" t="s">
        <v>85</v>
      </c>
      <c r="C24" s="104">
        <f t="shared" ref="C24" si="45">+E24*$B$3</f>
        <v>10.119999999999999</v>
      </c>
      <c r="D24" s="205" t="e">
        <f>ABS('Preço SFCR-SMA JINKO'!$G$43-C24)</f>
        <v>#DIV/0!</v>
      </c>
      <c r="E24" s="105">
        <f>+'FRONIUS-BYD 335Wp'!E26</f>
        <v>23</v>
      </c>
      <c r="F24" s="112" t="str">
        <f>+IF(K24=0,"",ROUND(M24/(1-'Tabela de BDI'!$C$3),0))</f>
        <v/>
      </c>
      <c r="G24" s="107"/>
      <c r="H24" s="106"/>
      <c r="I24" s="146"/>
      <c r="J24" s="150">
        <f t="shared" ref="J24" si="46">+I24/(1-$I$5)</f>
        <v>0</v>
      </c>
      <c r="K24" s="106">
        <f t="shared" ref="K24" si="47">+H24+J24</f>
        <v>0</v>
      </c>
      <c r="L24" s="106">
        <f>+'FRONIUS-BYD 335Wp'!L26</f>
        <v>5000</v>
      </c>
      <c r="M24" s="106">
        <f t="shared" ref="M24" si="48">+K24+L24</f>
        <v>5000</v>
      </c>
      <c r="N24" s="106" t="str">
        <f>+IF(F24="","",F24*'Tabela de BDI'!$C$7)</f>
        <v/>
      </c>
      <c r="O24" s="106" t="str">
        <f>IF(F24="","",F24*'Tabela de BDI'!$C$8)</f>
        <v/>
      </c>
      <c r="P24" s="109" t="str">
        <f t="shared" ref="P24" si="49">IF(F24="","",(F24-K24)/K24)</f>
        <v/>
      </c>
      <c r="Q24" s="110" t="str">
        <f t="shared" ref="Q24" si="50">IF(F24="","",(F24/C24)/1000)</f>
        <v/>
      </c>
      <c r="R24" s="111">
        <f>+'Tabela de BDI'!$F$9*C24</f>
        <v>1214.3999999999999</v>
      </c>
      <c r="S24" s="114"/>
    </row>
    <row r="25" spans="1:19" x14ac:dyDescent="0.25">
      <c r="A25" s="175"/>
      <c r="B25" s="103" t="s">
        <v>85</v>
      </c>
      <c r="C25" s="104">
        <f t="shared" si="5"/>
        <v>10.56</v>
      </c>
      <c r="D25" s="205" t="e">
        <f>ABS('Preço SFCR-SMA JINKO'!$G$43-C25)</f>
        <v>#DIV/0!</v>
      </c>
      <c r="E25" s="105">
        <f>+'FRONIUS-BYD 335Wp'!E27</f>
        <v>24</v>
      </c>
      <c r="F25" s="112" t="e">
        <f>+IF(K25=0,"",ROUND(M25/(1-'Tabela de BDI'!$C$3),0))</f>
        <v>#VALUE!</v>
      </c>
      <c r="G25" s="121" t="s">
        <v>247</v>
      </c>
      <c r="H25" s="106"/>
      <c r="I25" s="146" t="e">
        <f>2*I15</f>
        <v>#VALUE!</v>
      </c>
      <c r="J25" s="150" t="e">
        <f t="shared" si="6"/>
        <v>#VALUE!</v>
      </c>
      <c r="K25" s="106" t="e">
        <f t="shared" si="7"/>
        <v>#VALUE!</v>
      </c>
      <c r="L25" s="106">
        <f>+'FRONIUS-BYD 335Wp'!L27</f>
        <v>5125</v>
      </c>
      <c r="M25" s="106" t="e">
        <f t="shared" si="8"/>
        <v>#VALUE!</v>
      </c>
      <c r="N25" s="106" t="e">
        <f>+IF(F25="","",F25*'Tabela de BDI'!$C$7)</f>
        <v>#VALUE!</v>
      </c>
      <c r="O25" s="106" t="e">
        <f>IF(F25="","",F25*'Tabela de BDI'!$C$8)</f>
        <v>#VALUE!</v>
      </c>
      <c r="P25" s="109" t="e">
        <f t="shared" si="9"/>
        <v>#VALUE!</v>
      </c>
      <c r="Q25" s="110" t="e">
        <f t="shared" si="10"/>
        <v>#VALUE!</v>
      </c>
      <c r="R25" s="111">
        <f>+'Tabela de BDI'!$F$9*C25</f>
        <v>1267.2</v>
      </c>
      <c r="S25" s="114"/>
    </row>
    <row r="26" spans="1:19" s="207" customFormat="1" x14ac:dyDescent="0.25">
      <c r="A26" s="208"/>
      <c r="B26" s="103" t="s">
        <v>85</v>
      </c>
      <c r="C26" s="104">
        <f t="shared" ref="C26" si="51">+E26*$B$3</f>
        <v>11</v>
      </c>
      <c r="D26" s="205" t="e">
        <f>ABS('Preço SFCR-SMA JINKO'!$G$43-C26)</f>
        <v>#DIV/0!</v>
      </c>
      <c r="E26" s="105">
        <f>+'FRONIUS-BYD 335Wp'!E28</f>
        <v>25</v>
      </c>
      <c r="F26" s="112" t="str">
        <f>+IF(K26=0,"",ROUND(M26/(1-'Tabela de BDI'!$C$3),0))</f>
        <v/>
      </c>
      <c r="G26" s="107"/>
      <c r="H26" s="106"/>
      <c r="I26" s="146"/>
      <c r="J26" s="150">
        <f t="shared" si="6"/>
        <v>0</v>
      </c>
      <c r="K26" s="106">
        <f t="shared" ref="K26" si="52">+H26+J26</f>
        <v>0</v>
      </c>
      <c r="L26" s="106">
        <f>+'FRONIUS-BYD 335Wp'!L28</f>
        <v>5250</v>
      </c>
      <c r="M26" s="106">
        <f t="shared" ref="M26" si="53">+K26+L26</f>
        <v>5250</v>
      </c>
      <c r="N26" s="106" t="str">
        <f>+IF(F26="","",F26*'Tabela de BDI'!$C$7)</f>
        <v/>
      </c>
      <c r="O26" s="106" t="str">
        <f>IF(F26="","",F26*'Tabela de BDI'!$C$8)</f>
        <v/>
      </c>
      <c r="P26" s="109" t="str">
        <f t="shared" ref="P26" si="54">IF(F26="","",(F26-K26)/K26)</f>
        <v/>
      </c>
      <c r="Q26" s="110" t="str">
        <f t="shared" ref="Q26" si="55">IF(F26="","",(F26/C26)/1000)</f>
        <v/>
      </c>
      <c r="R26" s="111">
        <f>+'Tabela de BDI'!$F$9*C26</f>
        <v>1320</v>
      </c>
      <c r="S26" s="114"/>
    </row>
    <row r="27" spans="1:19" x14ac:dyDescent="0.25">
      <c r="A27" s="175"/>
      <c r="B27" s="103" t="s">
        <v>85</v>
      </c>
      <c r="C27" s="104">
        <f t="shared" si="5"/>
        <v>11.44</v>
      </c>
      <c r="D27" s="205" t="e">
        <f>ABS('Preço SFCR-SMA JINKO'!$G$43-C27)</f>
        <v>#DIV/0!</v>
      </c>
      <c r="E27" s="105">
        <f>+'FRONIUS-BYD 335Wp'!E29</f>
        <v>26</v>
      </c>
      <c r="F27" s="112" t="e">
        <f>+IF(K27=0,"",ROUND(M27/(1-'Tabela de BDI'!$C$3),0))</f>
        <v>#VALUE!</v>
      </c>
      <c r="G27" s="121" t="s">
        <v>248</v>
      </c>
      <c r="H27" s="106"/>
      <c r="I27" s="146" t="e">
        <f>+I15+I17</f>
        <v>#VALUE!</v>
      </c>
      <c r="J27" s="150" t="e">
        <f t="shared" si="6"/>
        <v>#VALUE!</v>
      </c>
      <c r="K27" s="106" t="e">
        <f t="shared" si="7"/>
        <v>#VALUE!</v>
      </c>
      <c r="L27" s="106">
        <f>+'FRONIUS-BYD 335Wp'!L29</f>
        <v>5375</v>
      </c>
      <c r="M27" s="106" t="e">
        <f t="shared" si="8"/>
        <v>#VALUE!</v>
      </c>
      <c r="N27" s="106" t="e">
        <f>+IF(F27="","",F27*'Tabela de BDI'!$C$7)</f>
        <v>#VALUE!</v>
      </c>
      <c r="O27" s="106" t="e">
        <f>IF(F27="","",F27*'Tabela de BDI'!$C$8)</f>
        <v>#VALUE!</v>
      </c>
      <c r="P27" s="109" t="e">
        <f t="shared" si="9"/>
        <v>#VALUE!</v>
      </c>
      <c r="Q27" s="110" t="e">
        <f t="shared" si="10"/>
        <v>#VALUE!</v>
      </c>
      <c r="R27" s="111">
        <f>+'Tabela de BDI'!$F$9*C27</f>
        <v>1372.8</v>
      </c>
      <c r="S27" s="114"/>
    </row>
    <row r="28" spans="1:19" x14ac:dyDescent="0.25">
      <c r="A28" s="175"/>
      <c r="B28" s="103" t="s">
        <v>85</v>
      </c>
      <c r="C28" s="104">
        <f t="shared" si="5"/>
        <v>12.32</v>
      </c>
      <c r="D28" s="205" t="e">
        <f>ABS('Preço SFCR-SMA JINKO'!$G$43-C28)</f>
        <v>#DIV/0!</v>
      </c>
      <c r="E28" s="105">
        <f>+'FRONIUS-BYD 335Wp'!E30</f>
        <v>28</v>
      </c>
      <c r="F28" s="112" t="e">
        <f>+IF(K28=0,"",ROUND(M28/(1-'Tabela de BDI'!$C$3),0))</f>
        <v>#VALUE!</v>
      </c>
      <c r="G28" s="121" t="s">
        <v>249</v>
      </c>
      <c r="H28" s="106"/>
      <c r="I28" s="145" t="e">
        <f>2*I17</f>
        <v>#VALUE!</v>
      </c>
      <c r="J28" s="150" t="e">
        <f t="shared" si="6"/>
        <v>#VALUE!</v>
      </c>
      <c r="K28" s="106" t="e">
        <f t="shared" si="7"/>
        <v>#VALUE!</v>
      </c>
      <c r="L28" s="106">
        <f>+'FRONIUS-BYD 335Wp'!L30</f>
        <v>5625</v>
      </c>
      <c r="M28" s="106" t="e">
        <f t="shared" si="8"/>
        <v>#VALUE!</v>
      </c>
      <c r="N28" s="106" t="e">
        <f>+IF(F28="","",F28*'Tabela de BDI'!$C$7)</f>
        <v>#VALUE!</v>
      </c>
      <c r="O28" s="106" t="e">
        <f>IF(F28="","",F28*'Tabela de BDI'!$C$8)</f>
        <v>#VALUE!</v>
      </c>
      <c r="P28" s="109" t="e">
        <f t="shared" si="9"/>
        <v>#VALUE!</v>
      </c>
      <c r="Q28" s="110" t="e">
        <f t="shared" si="10"/>
        <v>#VALUE!</v>
      </c>
      <c r="R28" s="111">
        <f>+'Tabela de BDI'!$F$9*C28</f>
        <v>1478.4</v>
      </c>
      <c r="S28" s="114"/>
    </row>
    <row r="29" spans="1:19" x14ac:dyDescent="0.25">
      <c r="A29" s="175"/>
      <c r="B29" s="103" t="s">
        <v>85</v>
      </c>
      <c r="C29" s="104">
        <f t="shared" si="5"/>
        <v>13.2</v>
      </c>
      <c r="D29" s="205" t="e">
        <f>ABS('Preço SFCR-SMA JINKO'!$G$43-C29)</f>
        <v>#DIV/0!</v>
      </c>
      <c r="E29" s="105">
        <f>+'FRONIUS-BYD 335Wp'!E31</f>
        <v>30</v>
      </c>
      <c r="F29" s="112" t="e">
        <f>+IF(K29=0,"",ROUND(M29/(1-'Tabela de BDI'!$C$3),0))</f>
        <v>#VALUE!</v>
      </c>
      <c r="G29" s="121" t="s">
        <v>250</v>
      </c>
      <c r="H29" s="106"/>
      <c r="I29" s="145" t="e">
        <f>+I19+I17</f>
        <v>#VALUE!</v>
      </c>
      <c r="J29" s="150" t="e">
        <f t="shared" si="6"/>
        <v>#VALUE!</v>
      </c>
      <c r="K29" s="106" t="e">
        <f t="shared" si="7"/>
        <v>#VALUE!</v>
      </c>
      <c r="L29" s="106">
        <f>+'FRONIUS-BYD 335Wp'!L31</f>
        <v>5875</v>
      </c>
      <c r="M29" s="106" t="e">
        <f t="shared" si="8"/>
        <v>#VALUE!</v>
      </c>
      <c r="N29" s="106" t="e">
        <f>+IF(F29="","",F29*'Tabela de BDI'!$C$7)</f>
        <v>#VALUE!</v>
      </c>
      <c r="O29" s="106" t="e">
        <f>IF(F29="","",F29*'Tabela de BDI'!$C$8)</f>
        <v>#VALUE!</v>
      </c>
      <c r="P29" s="109" t="e">
        <f t="shared" si="9"/>
        <v>#VALUE!</v>
      </c>
      <c r="Q29" s="110" t="e">
        <f t="shared" si="10"/>
        <v>#VALUE!</v>
      </c>
      <c r="R29" s="111">
        <f>+'Tabela de BDI'!$F$9*C29</f>
        <v>1584</v>
      </c>
      <c r="S29" s="114"/>
    </row>
    <row r="30" spans="1:19" x14ac:dyDescent="0.25">
      <c r="A30" s="175"/>
      <c r="B30" s="103" t="s">
        <v>85</v>
      </c>
      <c r="C30" s="104">
        <f t="shared" si="5"/>
        <v>14.08</v>
      </c>
      <c r="D30" s="205" t="e">
        <f>ABS('Preço SFCR-SMA JINKO'!$G$43-C30)</f>
        <v>#DIV/0!</v>
      </c>
      <c r="E30" s="105">
        <f>+'FRONIUS-BYD 335Wp'!E32</f>
        <v>32</v>
      </c>
      <c r="F30" s="112" t="e">
        <f>+IF(K30=0,"",ROUND(M30/(1-'Tabela de BDI'!$C$3),0))</f>
        <v>#VALUE!</v>
      </c>
      <c r="G30" s="121" t="s">
        <v>251</v>
      </c>
      <c r="H30" s="106"/>
      <c r="I30" s="145" t="e">
        <f>2*I19</f>
        <v>#VALUE!</v>
      </c>
      <c r="J30" s="150" t="e">
        <f t="shared" si="6"/>
        <v>#VALUE!</v>
      </c>
      <c r="K30" s="106" t="e">
        <f t="shared" si="7"/>
        <v>#VALUE!</v>
      </c>
      <c r="L30" s="106">
        <f>+'FRONIUS-BYD 335Wp'!L32</f>
        <v>6125</v>
      </c>
      <c r="M30" s="106" t="e">
        <f t="shared" si="8"/>
        <v>#VALUE!</v>
      </c>
      <c r="N30" s="106" t="e">
        <f>+IF(F30="","",F30*'Tabela de BDI'!$C$7)</f>
        <v>#VALUE!</v>
      </c>
      <c r="O30" s="106" t="e">
        <f>IF(F30="","",F30*'Tabela de BDI'!$C$8)</f>
        <v>#VALUE!</v>
      </c>
      <c r="P30" s="109" t="e">
        <f t="shared" si="9"/>
        <v>#VALUE!</v>
      </c>
      <c r="Q30" s="110" t="e">
        <f t="shared" si="10"/>
        <v>#VALUE!</v>
      </c>
      <c r="R30" s="111">
        <f>+'Tabela de BDI'!$F$9*C30</f>
        <v>1689.6</v>
      </c>
      <c r="S30" s="114"/>
    </row>
    <row r="31" spans="1:19" ht="15.75" customHeight="1" x14ac:dyDescent="0.25">
      <c r="A31" s="175"/>
      <c r="B31" s="103" t="s">
        <v>85</v>
      </c>
      <c r="C31" s="104">
        <f t="shared" si="5"/>
        <v>14.96</v>
      </c>
      <c r="D31" s="205" t="e">
        <f>ABS('Preço SFCR-SMA JINKO'!$G$43-C31)</f>
        <v>#DIV/0!</v>
      </c>
      <c r="E31" s="105">
        <f>+'FRONIUS-BYD 335Wp'!E33</f>
        <v>34</v>
      </c>
      <c r="F31" s="112" t="e">
        <f>+IF(K31=0,"",ROUND(M31/(1-'Tabela de BDI'!$C$3),0))</f>
        <v>#VALUE!</v>
      </c>
      <c r="G31" s="121" t="s">
        <v>251</v>
      </c>
      <c r="H31" s="106"/>
      <c r="I31" s="145" t="e">
        <f>+I20+I19</f>
        <v>#VALUE!</v>
      </c>
      <c r="J31" s="150" t="e">
        <f t="shared" si="6"/>
        <v>#VALUE!</v>
      </c>
      <c r="K31" s="106" t="e">
        <f t="shared" si="7"/>
        <v>#VALUE!</v>
      </c>
      <c r="L31" s="106">
        <f>+'FRONIUS-BYD 335Wp'!L33</f>
        <v>7000</v>
      </c>
      <c r="M31" s="106" t="e">
        <f t="shared" si="8"/>
        <v>#VALUE!</v>
      </c>
      <c r="N31" s="106" t="e">
        <f>+IF(F31="","",F31*'Tabela de BDI'!$C$7)</f>
        <v>#VALUE!</v>
      </c>
      <c r="O31" s="106" t="e">
        <f>IF(F31="","",F31*'Tabela de BDI'!$C$8)</f>
        <v>#VALUE!</v>
      </c>
      <c r="P31" s="109" t="e">
        <f t="shared" si="9"/>
        <v>#VALUE!</v>
      </c>
      <c r="Q31" s="110" t="e">
        <f t="shared" si="10"/>
        <v>#VALUE!</v>
      </c>
      <c r="R31" s="111">
        <f>+'Tabela de BDI'!$F$9*C31</f>
        <v>1795.2</v>
      </c>
      <c r="S31" s="114"/>
    </row>
    <row r="32" spans="1:19" ht="15.75" customHeight="1" x14ac:dyDescent="0.25">
      <c r="A32" s="175"/>
      <c r="B32" s="103" t="s">
        <v>85</v>
      </c>
      <c r="C32" s="104">
        <f t="shared" si="5"/>
        <v>15.84</v>
      </c>
      <c r="D32" s="205" t="e">
        <f>ABS('Preço SFCR-SMA JINKO'!$G$43-C32)</f>
        <v>#DIV/0!</v>
      </c>
      <c r="E32" s="105">
        <f>+'FRONIUS-BYD 335Wp'!E34</f>
        <v>36</v>
      </c>
      <c r="F32" s="112" t="e">
        <f>+IF(K32=0,"",ROUND(M32/(1-'Tabela de BDI'!$C$3),0))</f>
        <v>#VALUE!</v>
      </c>
      <c r="G32" s="121" t="s">
        <v>251</v>
      </c>
      <c r="H32" s="106"/>
      <c r="I32" s="145" t="e">
        <f>+I20*2</f>
        <v>#VALUE!</v>
      </c>
      <c r="J32" s="150" t="e">
        <f t="shared" si="6"/>
        <v>#VALUE!</v>
      </c>
      <c r="K32" s="106" t="e">
        <f t="shared" si="7"/>
        <v>#VALUE!</v>
      </c>
      <c r="L32" s="106">
        <f>+'FRONIUS-BYD 335Wp'!L34</f>
        <v>7250</v>
      </c>
      <c r="M32" s="106" t="e">
        <f t="shared" si="8"/>
        <v>#VALUE!</v>
      </c>
      <c r="N32" s="106" t="e">
        <f>+IF(F32="","",F32*'Tabela de BDI'!$C$7)</f>
        <v>#VALUE!</v>
      </c>
      <c r="O32" s="106" t="e">
        <f>IF(F32="","",F32*'Tabela de BDI'!$C$8)</f>
        <v>#VALUE!</v>
      </c>
      <c r="P32" s="109" t="e">
        <f t="shared" si="9"/>
        <v>#VALUE!</v>
      </c>
      <c r="Q32" s="110" t="e">
        <f t="shared" si="10"/>
        <v>#VALUE!</v>
      </c>
      <c r="R32" s="111">
        <f>+'Tabela de BDI'!$F$9*C32</f>
        <v>1900.8</v>
      </c>
      <c r="S32" s="114"/>
    </row>
    <row r="33" spans="1:19" ht="15.75" customHeight="1" x14ac:dyDescent="0.25">
      <c r="A33" s="175"/>
      <c r="B33" s="103" t="s">
        <v>85</v>
      </c>
      <c r="C33" s="104">
        <f t="shared" si="5"/>
        <v>16.72</v>
      </c>
      <c r="D33" s="205" t="e">
        <f>ABS('Preço SFCR-SMA JINKO'!$G$43-C33)</f>
        <v>#DIV/0!</v>
      </c>
      <c r="E33" s="105">
        <f>+'FRONIUS-BYD 335Wp'!E35</f>
        <v>38</v>
      </c>
      <c r="F33" s="112" t="str">
        <f>+IF(K33=0,"",ROUND(M33/(1-'Tabela de BDI'!$C$3),0))</f>
        <v/>
      </c>
      <c r="G33" s="107"/>
      <c r="H33" s="106"/>
      <c r="I33" s="145"/>
      <c r="J33" s="150">
        <f t="shared" si="6"/>
        <v>0</v>
      </c>
      <c r="K33" s="106">
        <f t="shared" si="7"/>
        <v>0</v>
      </c>
      <c r="L33" s="106">
        <f>+'FRONIUS-BYD 335Wp'!L35</f>
        <v>7500</v>
      </c>
      <c r="M33" s="106">
        <f t="shared" si="8"/>
        <v>7500</v>
      </c>
      <c r="N33" s="106" t="str">
        <f>+IF(F33="","",F33*'Tabela de BDI'!$C$7)</f>
        <v/>
      </c>
      <c r="O33" s="106" t="str">
        <f>IF(F33="","",F33*'Tabela de BDI'!$C$8)</f>
        <v/>
      </c>
      <c r="P33" s="109" t="str">
        <f t="shared" si="9"/>
        <v/>
      </c>
      <c r="Q33" s="110" t="str">
        <f t="shared" si="10"/>
        <v/>
      </c>
      <c r="R33" s="111">
        <f>+'Tabela de BDI'!$F$9*C33</f>
        <v>2006.3999999999999</v>
      </c>
      <c r="S33" s="114"/>
    </row>
    <row r="34" spans="1:19" ht="15.75" customHeight="1" x14ac:dyDescent="0.25">
      <c r="A34" s="175"/>
      <c r="B34" s="103" t="s">
        <v>85</v>
      </c>
      <c r="C34" s="104">
        <f t="shared" si="5"/>
        <v>17.600000000000001</v>
      </c>
      <c r="D34" s="205" t="e">
        <f>ABS('Preço SFCR-SMA JINKO'!$G$43-C34)</f>
        <v>#DIV/0!</v>
      </c>
      <c r="E34" s="105">
        <f>+'FRONIUS-BYD 335Wp'!E36</f>
        <v>40</v>
      </c>
      <c r="F34" s="112" t="str">
        <f>+IF(K34=0,"",ROUND(M34/(1-'Tabela de BDI'!$C$3),0))</f>
        <v/>
      </c>
      <c r="G34" s="107"/>
      <c r="H34" s="106"/>
      <c r="I34" s="145"/>
      <c r="J34" s="150">
        <f t="shared" si="6"/>
        <v>0</v>
      </c>
      <c r="K34" s="106">
        <f t="shared" si="7"/>
        <v>0</v>
      </c>
      <c r="L34" s="106">
        <f>+'FRONIUS-BYD 335Wp'!L36</f>
        <v>7750</v>
      </c>
      <c r="M34" s="106">
        <f t="shared" si="8"/>
        <v>7750</v>
      </c>
      <c r="N34" s="106" t="str">
        <f>+IF(F34="","",F34*'Tabela de BDI'!$C$7)</f>
        <v/>
      </c>
      <c r="O34" s="106" t="str">
        <f>IF(F34="","",F34*'Tabela de BDI'!$C$8)</f>
        <v/>
      </c>
      <c r="P34" s="109" t="str">
        <f t="shared" si="9"/>
        <v/>
      </c>
      <c r="Q34" s="110" t="str">
        <f t="shared" si="10"/>
        <v/>
      </c>
      <c r="R34" s="111">
        <f>+'Tabela de BDI'!$F$9*C34</f>
        <v>2112</v>
      </c>
      <c r="S34" s="114"/>
    </row>
    <row r="35" spans="1:19" ht="15.75" customHeight="1" x14ac:dyDescent="0.25">
      <c r="A35" s="175"/>
      <c r="B35" s="103" t="s">
        <v>85</v>
      </c>
      <c r="C35" s="104">
        <f t="shared" si="5"/>
        <v>18.48</v>
      </c>
      <c r="D35" s="205" t="e">
        <f>ABS('Preço SFCR-SMA JINKO'!$G$43-C35)</f>
        <v>#DIV/0!</v>
      </c>
      <c r="E35" s="105">
        <f>+'FRONIUS-BYD 335Wp'!E37</f>
        <v>42</v>
      </c>
      <c r="F35" s="112" t="e">
        <f>+IF(K35=0,"",ROUND(M35/(1-'Tabela de BDI'!$C$3),0))</f>
        <v>#VALUE!</v>
      </c>
      <c r="G35" s="121" t="s">
        <v>252</v>
      </c>
      <c r="H35" s="106"/>
      <c r="I35" s="145" t="e">
        <f>3*I17</f>
        <v>#VALUE!</v>
      </c>
      <c r="J35" s="150" t="e">
        <f t="shared" si="6"/>
        <v>#VALUE!</v>
      </c>
      <c r="K35" s="106" t="e">
        <f t="shared" si="7"/>
        <v>#VALUE!</v>
      </c>
      <c r="L35" s="106">
        <f>+'FRONIUS-BYD 335Wp'!L37</f>
        <v>8000</v>
      </c>
      <c r="M35" s="106" t="e">
        <f t="shared" si="8"/>
        <v>#VALUE!</v>
      </c>
      <c r="N35" s="106" t="e">
        <f>+IF(F35="","",F35*'Tabela de BDI'!$C$7)</f>
        <v>#VALUE!</v>
      </c>
      <c r="O35" s="106" t="e">
        <f>IF(F35="","",F35*'Tabela de BDI'!$C$8)</f>
        <v>#VALUE!</v>
      </c>
      <c r="P35" s="109" t="e">
        <f t="shared" si="9"/>
        <v>#VALUE!</v>
      </c>
      <c r="Q35" s="110" t="e">
        <f t="shared" si="10"/>
        <v>#VALUE!</v>
      </c>
      <c r="R35" s="111">
        <f>+'Tabela de BDI'!$F$9*C35</f>
        <v>2217.6</v>
      </c>
      <c r="S35" s="114"/>
    </row>
    <row r="36" spans="1:19" ht="15.75" customHeight="1" x14ac:dyDescent="0.25">
      <c r="A36" s="175"/>
      <c r="B36" s="103" t="s">
        <v>85</v>
      </c>
      <c r="C36" s="104">
        <f t="shared" si="5"/>
        <v>19.36</v>
      </c>
      <c r="D36" s="205" t="e">
        <f>ABS('Preço SFCR-SMA JINKO'!$G$43-C36)</f>
        <v>#DIV/0!</v>
      </c>
      <c r="E36" s="105">
        <f>+'FRONIUS-BYD 335Wp'!E38</f>
        <v>44</v>
      </c>
      <c r="F36" s="112" t="str">
        <f>+IF(K36=0,"",ROUND(M36/(1-'Tabela de BDI'!$C$3),0))</f>
        <v/>
      </c>
      <c r="G36" s="107"/>
      <c r="H36" s="106"/>
      <c r="I36" s="145"/>
      <c r="J36" s="150">
        <f t="shared" si="6"/>
        <v>0</v>
      </c>
      <c r="K36" s="106">
        <f t="shared" si="7"/>
        <v>0</v>
      </c>
      <c r="L36" s="106">
        <f>+'FRONIUS-BYD 335Wp'!L38</f>
        <v>8250</v>
      </c>
      <c r="M36" s="106">
        <f t="shared" si="8"/>
        <v>8250</v>
      </c>
      <c r="N36" s="106" t="str">
        <f>+IF(F36="","",F36*'Tabela de BDI'!$C$7)</f>
        <v/>
      </c>
      <c r="O36" s="106" t="str">
        <f>IF(F36="","",F36*'Tabela de BDI'!$C$8)</f>
        <v/>
      </c>
      <c r="P36" s="109" t="str">
        <f t="shared" si="9"/>
        <v/>
      </c>
      <c r="Q36" s="110" t="str">
        <f t="shared" si="10"/>
        <v/>
      </c>
      <c r="R36" s="111">
        <f>+'Tabela de BDI'!$F$9*C36</f>
        <v>2323.1999999999998</v>
      </c>
      <c r="S36" s="114"/>
    </row>
    <row r="37" spans="1:19" ht="15.75" customHeight="1" x14ac:dyDescent="0.25">
      <c r="A37" s="175"/>
      <c r="B37" s="103" t="s">
        <v>85</v>
      </c>
      <c r="C37" s="104">
        <f t="shared" si="5"/>
        <v>20.239999999999998</v>
      </c>
      <c r="D37" s="205" t="e">
        <f>ABS('Preço SFCR-SMA JINKO'!$G$43-C37)</f>
        <v>#DIV/0!</v>
      </c>
      <c r="E37" s="105">
        <f>+'FRONIUS-BYD 335Wp'!E39</f>
        <v>46</v>
      </c>
      <c r="F37" s="112" t="str">
        <f>+IF(K37=0,"",ROUND(M37/(1-'Tabela de BDI'!$C$3),0))</f>
        <v/>
      </c>
      <c r="G37" s="107"/>
      <c r="H37" s="106"/>
      <c r="I37" s="145"/>
      <c r="J37" s="150">
        <f t="shared" si="6"/>
        <v>0</v>
      </c>
      <c r="K37" s="106">
        <f t="shared" si="7"/>
        <v>0</v>
      </c>
      <c r="L37" s="106">
        <f>+'FRONIUS-BYD 335Wp'!L39</f>
        <v>8500</v>
      </c>
      <c r="M37" s="106">
        <f t="shared" si="8"/>
        <v>8500</v>
      </c>
      <c r="N37" s="106" t="str">
        <f>+IF(F37="","",F37*'Tabela de BDI'!$C$7)</f>
        <v/>
      </c>
      <c r="O37" s="106" t="str">
        <f>IF(F37="","",F37*'Tabela de BDI'!$C$8)</f>
        <v/>
      </c>
      <c r="P37" s="109" t="str">
        <f t="shared" si="9"/>
        <v/>
      </c>
      <c r="Q37" s="110" t="str">
        <f t="shared" si="10"/>
        <v/>
      </c>
      <c r="R37" s="111">
        <f>+'Tabela de BDI'!$F$9*C37</f>
        <v>2428.7999999999997</v>
      </c>
      <c r="S37" s="114"/>
    </row>
    <row r="38" spans="1:19" ht="15.75" customHeight="1" x14ac:dyDescent="0.25">
      <c r="A38" s="175"/>
      <c r="B38" s="103" t="s">
        <v>85</v>
      </c>
      <c r="C38" s="104">
        <f t="shared" si="5"/>
        <v>21.12</v>
      </c>
      <c r="D38" s="205" t="e">
        <f>ABS('Preço SFCR-SMA JINKO'!$G$43-C38)</f>
        <v>#DIV/0!</v>
      </c>
      <c r="E38" s="105">
        <f>+'FRONIUS-BYD 335Wp'!E40</f>
        <v>48</v>
      </c>
      <c r="F38" s="112" t="str">
        <f>+IF(K38=0,"",ROUND(M38/(1-'Tabela de BDI'!$C$3),0))</f>
        <v/>
      </c>
      <c r="G38" s="107"/>
      <c r="H38" s="106"/>
      <c r="I38" s="145"/>
      <c r="J38" s="150">
        <f t="shared" si="6"/>
        <v>0</v>
      </c>
      <c r="K38" s="106">
        <f t="shared" si="7"/>
        <v>0</v>
      </c>
      <c r="L38" s="106">
        <f>+'FRONIUS-BYD 335Wp'!L40</f>
        <v>8750</v>
      </c>
      <c r="M38" s="106">
        <f t="shared" si="8"/>
        <v>8750</v>
      </c>
      <c r="N38" s="106" t="str">
        <f>+IF(F38="","",F38*'Tabela de BDI'!$C$7)</f>
        <v/>
      </c>
      <c r="O38" s="106" t="str">
        <f>IF(F38="","",F38*'Tabela de BDI'!$C$8)</f>
        <v/>
      </c>
      <c r="P38" s="109" t="str">
        <f t="shared" si="9"/>
        <v/>
      </c>
      <c r="Q38" s="110" t="str">
        <f t="shared" si="10"/>
        <v/>
      </c>
      <c r="R38" s="111">
        <f>+'Tabela de BDI'!$F$9*C38</f>
        <v>2534.4</v>
      </c>
      <c r="S38" s="114"/>
    </row>
    <row r="39" spans="1:19" ht="15.75" customHeight="1" x14ac:dyDescent="0.25">
      <c r="A39" s="175"/>
      <c r="B39" s="103" t="s">
        <v>85</v>
      </c>
      <c r="C39" s="104">
        <f t="shared" si="5"/>
        <v>22</v>
      </c>
      <c r="D39" s="205" t="e">
        <f>ABS('Preço SFCR-SMA JINKO'!$G$43-C39)</f>
        <v>#DIV/0!</v>
      </c>
      <c r="E39" s="105">
        <f>+'FRONIUS-BYD 335Wp'!E41</f>
        <v>50</v>
      </c>
      <c r="F39" s="112" t="str">
        <f>+IF(K39=0,"",ROUND(M39/(1-'Tabela de BDI'!$C$3),0))</f>
        <v/>
      </c>
      <c r="G39" s="107"/>
      <c r="H39" s="106"/>
      <c r="I39" s="145"/>
      <c r="J39" s="150">
        <f t="shared" si="6"/>
        <v>0</v>
      </c>
      <c r="K39" s="106">
        <f t="shared" si="7"/>
        <v>0</v>
      </c>
      <c r="L39" s="106">
        <f>+'FRONIUS-BYD 335Wp'!L41</f>
        <v>9000</v>
      </c>
      <c r="M39" s="106">
        <f t="shared" si="8"/>
        <v>9000</v>
      </c>
      <c r="N39" s="106" t="str">
        <f>+IF(F39="","",F39*'Tabela de BDI'!$C$7)</f>
        <v/>
      </c>
      <c r="O39" s="106" t="str">
        <f>IF(F39="","",F39*'Tabela de BDI'!$C$8)</f>
        <v/>
      </c>
      <c r="P39" s="109" t="str">
        <f t="shared" si="9"/>
        <v/>
      </c>
      <c r="Q39" s="110" t="str">
        <f t="shared" si="10"/>
        <v/>
      </c>
      <c r="R39" s="111">
        <f>+'Tabela de BDI'!$F$9*C39</f>
        <v>2640</v>
      </c>
      <c r="S39" s="114"/>
    </row>
    <row r="40" spans="1:19" ht="15.75" customHeight="1" x14ac:dyDescent="0.25">
      <c r="A40" s="175"/>
      <c r="B40" s="103" t="s">
        <v>85</v>
      </c>
      <c r="C40" s="104">
        <f t="shared" si="5"/>
        <v>22.88</v>
      </c>
      <c r="D40" s="205" t="e">
        <f>ABS('Preço SFCR-SMA JINKO'!$G$43-C40)</f>
        <v>#DIV/0!</v>
      </c>
      <c r="E40" s="105">
        <f>+'FRONIUS-BYD 335Wp'!E42</f>
        <v>52</v>
      </c>
      <c r="F40" s="112" t="str">
        <f>+IF(K40=0,"",ROUND(M40/(1-'Tabela de BDI'!$C$3),0))</f>
        <v/>
      </c>
      <c r="G40" s="107"/>
      <c r="H40" s="106"/>
      <c r="I40" s="145"/>
      <c r="J40" s="150">
        <f t="shared" si="6"/>
        <v>0</v>
      </c>
      <c r="K40" s="106">
        <f t="shared" si="7"/>
        <v>0</v>
      </c>
      <c r="L40" s="106">
        <f>+'FRONIUS-BYD 335Wp'!L42</f>
        <v>9250</v>
      </c>
      <c r="M40" s="106">
        <f t="shared" si="8"/>
        <v>9250</v>
      </c>
      <c r="N40" s="106" t="str">
        <f>+IF(F40="","",F40*'Tabela de BDI'!$C$7)</f>
        <v/>
      </c>
      <c r="O40" s="106" t="str">
        <f>IF(F40="","",F40*'Tabela de BDI'!$C$8)</f>
        <v/>
      </c>
      <c r="P40" s="109" t="str">
        <f t="shared" si="9"/>
        <v/>
      </c>
      <c r="Q40" s="110" t="str">
        <f t="shared" si="10"/>
        <v/>
      </c>
      <c r="R40" s="111">
        <f>+'Tabela de BDI'!$F$9*C40</f>
        <v>2745.6</v>
      </c>
      <c r="S40" s="114"/>
    </row>
    <row r="41" spans="1:19" ht="15.75" customHeight="1" x14ac:dyDescent="0.25">
      <c r="A41" s="175"/>
      <c r="B41" s="103" t="s">
        <v>85</v>
      </c>
      <c r="C41" s="104">
        <f t="shared" si="5"/>
        <v>23.76</v>
      </c>
      <c r="D41" s="205" t="e">
        <f>ABS('Preço SFCR-SMA JINKO'!$G$43-C41)</f>
        <v>#DIV/0!</v>
      </c>
      <c r="E41" s="105">
        <f>+'FRONIUS-BYD 335Wp'!E43</f>
        <v>54</v>
      </c>
      <c r="F41" s="112" t="e">
        <f>+IF(K41=0,"",ROUND(M41/(1-'Tabela de BDI'!$C$3),0))</f>
        <v>#VALUE!</v>
      </c>
      <c r="G41" s="107" t="s">
        <v>253</v>
      </c>
      <c r="H41" s="106"/>
      <c r="I41" s="146" t="e">
        <f>3*I20</f>
        <v>#VALUE!</v>
      </c>
      <c r="J41" s="150" t="e">
        <f t="shared" si="6"/>
        <v>#VALUE!</v>
      </c>
      <c r="K41" s="106" t="e">
        <f t="shared" si="7"/>
        <v>#VALUE!</v>
      </c>
      <c r="L41" s="106">
        <f>+'FRONIUS-BYD 335Wp'!L43</f>
        <v>9500</v>
      </c>
      <c r="M41" s="106" t="e">
        <f t="shared" si="8"/>
        <v>#VALUE!</v>
      </c>
      <c r="N41" s="106" t="e">
        <f>+IF(F41="","",F41*'Tabela de BDI'!$C$7)</f>
        <v>#VALUE!</v>
      </c>
      <c r="O41" s="106" t="e">
        <f>IF(F41="","",F41*'Tabela de BDI'!$C$8)</f>
        <v>#VALUE!</v>
      </c>
      <c r="P41" s="109" t="e">
        <f t="shared" si="9"/>
        <v>#VALUE!</v>
      </c>
      <c r="Q41" s="110" t="e">
        <f t="shared" si="10"/>
        <v>#VALUE!</v>
      </c>
      <c r="R41" s="111">
        <f>+'Tabela de BDI'!$F$9*C41</f>
        <v>2851.2000000000003</v>
      </c>
      <c r="S41" s="114"/>
    </row>
    <row r="42" spans="1:19" ht="15.75" customHeight="1" x14ac:dyDescent="0.25">
      <c r="A42" s="175"/>
      <c r="B42" s="103" t="s">
        <v>85</v>
      </c>
      <c r="C42" s="104">
        <f t="shared" si="5"/>
        <v>24.64</v>
      </c>
      <c r="D42" s="205" t="e">
        <f>ABS('Preço SFCR-SMA JINKO'!$G$43-C42)</f>
        <v>#DIV/0!</v>
      </c>
      <c r="E42" s="105">
        <f>+'FRONIUS-BYD 335Wp'!E44</f>
        <v>56</v>
      </c>
      <c r="F42" s="112" t="str">
        <f>+IF(K42=0,"",ROUND(M42/(1-'Tabela de BDI'!$C$3),0))</f>
        <v/>
      </c>
      <c r="G42" s="107"/>
      <c r="H42" s="106"/>
      <c r="I42" s="159"/>
      <c r="J42" s="150">
        <f t="shared" si="6"/>
        <v>0</v>
      </c>
      <c r="K42" s="106">
        <f t="shared" si="7"/>
        <v>0</v>
      </c>
      <c r="L42" s="106">
        <f>+'FRONIUS-BYD 335Wp'!L44</f>
        <v>9750</v>
      </c>
      <c r="M42" s="106">
        <f t="shared" si="8"/>
        <v>9750</v>
      </c>
      <c r="N42" s="106" t="str">
        <f>+IF(F42="","",F42*'Tabela de BDI'!$C$7)</f>
        <v/>
      </c>
      <c r="O42" s="106" t="str">
        <f>IF(F42="","",F42*'Tabela de BDI'!$C$8)</f>
        <v/>
      </c>
      <c r="P42" s="109" t="str">
        <f t="shared" si="9"/>
        <v/>
      </c>
      <c r="Q42" s="110" t="str">
        <f t="shared" si="10"/>
        <v/>
      </c>
      <c r="R42" s="111">
        <f>+'Tabela de BDI'!$F$9*C42</f>
        <v>2956.8</v>
      </c>
      <c r="S42" s="114"/>
    </row>
    <row r="43" spans="1:19" ht="15.75" customHeight="1" x14ac:dyDescent="0.25">
      <c r="A43" s="175"/>
      <c r="B43" s="103" t="s">
        <v>85</v>
      </c>
      <c r="C43" s="104">
        <f t="shared" si="5"/>
        <v>25.52</v>
      </c>
      <c r="D43" s="205" t="e">
        <f>ABS('Preço SFCR-SMA JINKO'!$G$43-C43)</f>
        <v>#DIV/0!</v>
      </c>
      <c r="E43" s="105">
        <f>+'FRONIUS-BYD 335Wp'!E45</f>
        <v>58</v>
      </c>
      <c r="F43" s="112" t="str">
        <f>+IF(K43=0,"",ROUND(M43/(1-'Tabela de BDI'!$C$3),0))</f>
        <v/>
      </c>
      <c r="G43" s="107"/>
      <c r="H43" s="106"/>
      <c r="I43" s="159"/>
      <c r="J43" s="150">
        <f t="shared" si="6"/>
        <v>0</v>
      </c>
      <c r="K43" s="106">
        <f t="shared" si="7"/>
        <v>0</v>
      </c>
      <c r="L43" s="106">
        <f>+'FRONIUS-BYD 335Wp'!L45</f>
        <v>10000</v>
      </c>
      <c r="M43" s="106">
        <f t="shared" si="8"/>
        <v>10000</v>
      </c>
      <c r="N43" s="106" t="str">
        <f>+IF(F43="","",F43*'Tabela de BDI'!$C$7)</f>
        <v/>
      </c>
      <c r="O43" s="106" t="str">
        <f>IF(F43="","",F43*'Tabela de BDI'!$C$8)</f>
        <v/>
      </c>
      <c r="P43" s="109" t="str">
        <f t="shared" si="9"/>
        <v/>
      </c>
      <c r="Q43" s="110" t="str">
        <f t="shared" si="10"/>
        <v/>
      </c>
      <c r="R43" s="111">
        <f>+'Tabela de BDI'!$F$9*C43</f>
        <v>3062.4</v>
      </c>
      <c r="S43" s="114"/>
    </row>
    <row r="44" spans="1:19" ht="15.75" customHeight="1" x14ac:dyDescent="0.25">
      <c r="A44" s="175"/>
      <c r="B44" s="103" t="s">
        <v>85</v>
      </c>
      <c r="C44" s="104">
        <f t="shared" si="5"/>
        <v>26.4</v>
      </c>
      <c r="D44" s="205" t="e">
        <f>ABS('Preço SFCR-SMA JINKO'!$G$43-C44)</f>
        <v>#DIV/0!</v>
      </c>
      <c r="E44" s="105">
        <f>+'FRONIUS-BYD 335Wp'!E46</f>
        <v>60</v>
      </c>
      <c r="F44" s="112" t="str">
        <f>+IF(K44=0,"",ROUND(M44/(1-'Tabela de BDI'!$C$3),0))</f>
        <v/>
      </c>
      <c r="G44" s="107"/>
      <c r="H44" s="106"/>
      <c r="I44" s="159"/>
      <c r="J44" s="150">
        <f t="shared" si="6"/>
        <v>0</v>
      </c>
      <c r="K44" s="106">
        <f t="shared" si="7"/>
        <v>0</v>
      </c>
      <c r="L44" s="106">
        <f>+'FRONIUS-BYD 335Wp'!L46</f>
        <v>10250</v>
      </c>
      <c r="M44" s="106">
        <f t="shared" si="8"/>
        <v>10250</v>
      </c>
      <c r="N44" s="106" t="str">
        <f>+IF(F44="","",F44*'Tabela de BDI'!$C$7)</f>
        <v/>
      </c>
      <c r="O44" s="106" t="str">
        <f>IF(F44="","",F44*'Tabela de BDI'!$C$8)</f>
        <v/>
      </c>
      <c r="P44" s="109" t="str">
        <f t="shared" si="9"/>
        <v/>
      </c>
      <c r="Q44" s="110" t="str">
        <f t="shared" si="10"/>
        <v/>
      </c>
      <c r="R44" s="111">
        <f>+'Tabela de BDI'!$F$9*C44</f>
        <v>3168</v>
      </c>
      <c r="S44" s="114"/>
    </row>
    <row r="45" spans="1:19" ht="15.75" customHeight="1" x14ac:dyDescent="0.25">
      <c r="A45" s="175"/>
      <c r="B45" s="103" t="s">
        <v>85</v>
      </c>
      <c r="C45" s="104">
        <f t="shared" si="5"/>
        <v>27.28</v>
      </c>
      <c r="D45" s="205" t="e">
        <f>ABS('Preço SFCR-SMA JINKO'!$G$43-C45)</f>
        <v>#DIV/0!</v>
      </c>
      <c r="E45" s="105">
        <f>+'FRONIUS-BYD 335Wp'!E47</f>
        <v>62</v>
      </c>
      <c r="F45" s="112" t="str">
        <f>+IF(K45=0,"",ROUND(M45/(1-'Tabela de BDI'!$C$3),0))</f>
        <v/>
      </c>
      <c r="G45" s="107"/>
      <c r="H45" s="106"/>
      <c r="I45" s="159"/>
      <c r="J45" s="150">
        <f t="shared" si="6"/>
        <v>0</v>
      </c>
      <c r="K45" s="106">
        <f t="shared" si="7"/>
        <v>0</v>
      </c>
      <c r="L45" s="106">
        <f>+'FRONIUS-BYD 335Wp'!L47</f>
        <v>10500</v>
      </c>
      <c r="M45" s="106">
        <f t="shared" si="8"/>
        <v>10500</v>
      </c>
      <c r="N45" s="106" t="str">
        <f>+IF(F45="","",F45*'Tabela de BDI'!$C$7)</f>
        <v/>
      </c>
      <c r="O45" s="106" t="str">
        <f>IF(F45="","",F45*'Tabela de BDI'!$C$8)</f>
        <v/>
      </c>
      <c r="P45" s="109" t="str">
        <f t="shared" si="9"/>
        <v/>
      </c>
      <c r="Q45" s="110" t="str">
        <f t="shared" si="10"/>
        <v/>
      </c>
      <c r="R45" s="111">
        <f>+'Tabela de BDI'!$F$9*C45</f>
        <v>3273.6000000000004</v>
      </c>
      <c r="S45" s="114"/>
    </row>
    <row r="46" spans="1:19" ht="15.75" customHeight="1" x14ac:dyDescent="0.25">
      <c r="A46" s="175"/>
      <c r="B46" s="103" t="s">
        <v>85</v>
      </c>
      <c r="C46" s="104">
        <f t="shared" si="5"/>
        <v>28.16</v>
      </c>
      <c r="D46" s="205" t="e">
        <f>ABS('Preço SFCR-SMA JINKO'!$G$43-C46)</f>
        <v>#DIV/0!</v>
      </c>
      <c r="E46" s="105">
        <f>+'FRONIUS-BYD 335Wp'!E48</f>
        <v>64</v>
      </c>
      <c r="F46" s="112" t="str">
        <f>+IF(K46=0,"",ROUND(M46/(1-'Tabela de BDI'!$C$3),0))</f>
        <v/>
      </c>
      <c r="G46" s="107"/>
      <c r="H46" s="106"/>
      <c r="I46" s="145"/>
      <c r="J46" s="150">
        <f t="shared" si="6"/>
        <v>0</v>
      </c>
      <c r="K46" s="106">
        <f t="shared" si="7"/>
        <v>0</v>
      </c>
      <c r="L46" s="106">
        <f>+'FRONIUS-BYD 335Wp'!L48</f>
        <v>10750</v>
      </c>
      <c r="M46" s="106">
        <f t="shared" si="8"/>
        <v>10750</v>
      </c>
      <c r="N46" s="106" t="str">
        <f>+IF(F46="","",F46*'Tabela de BDI'!$C$7)</f>
        <v/>
      </c>
      <c r="O46" s="106" t="str">
        <f>IF(F46="","",F46*'Tabela de BDI'!$C$8)</f>
        <v/>
      </c>
      <c r="P46" s="109" t="str">
        <f t="shared" si="9"/>
        <v/>
      </c>
      <c r="Q46" s="110" t="str">
        <f t="shared" si="10"/>
        <v/>
      </c>
      <c r="R46" s="111">
        <f>+'Tabela de BDI'!$F$9*C46</f>
        <v>3379.2</v>
      </c>
      <c r="S46" s="114"/>
    </row>
    <row r="47" spans="1:19" ht="15.75" customHeight="1" x14ac:dyDescent="0.25">
      <c r="A47" s="175"/>
      <c r="B47" s="116" t="s">
        <v>89</v>
      </c>
      <c r="C47" s="104">
        <f t="shared" si="5"/>
        <v>29.04</v>
      </c>
      <c r="D47" s="205" t="e">
        <f>ABS('Preço SFCR-SMA JINKO'!$G$43-C47)</f>
        <v>#DIV/0!</v>
      </c>
      <c r="E47" s="181">
        <v>66</v>
      </c>
      <c r="F47" s="112" t="str">
        <f>+IF(K47=0,"",ROUND(M47/(1-'Tabela de BDI'!$C$3),0))</f>
        <v/>
      </c>
      <c r="G47" s="107"/>
      <c r="H47" s="106"/>
      <c r="I47" s="159"/>
      <c r="J47" s="150">
        <f t="shared" si="6"/>
        <v>0</v>
      </c>
      <c r="K47" s="106">
        <f t="shared" si="7"/>
        <v>0</v>
      </c>
      <c r="L47" s="168">
        <v>12000</v>
      </c>
      <c r="M47" s="106">
        <f t="shared" si="8"/>
        <v>12000</v>
      </c>
      <c r="N47" s="106" t="str">
        <f>+IF(F47="","",F47*'Tabela de BDI'!$C$7)</f>
        <v/>
      </c>
      <c r="O47" s="106" t="str">
        <f>IF(F47="","",F47*'Tabela de BDI'!$C$8)</f>
        <v/>
      </c>
      <c r="P47" s="109" t="str">
        <f t="shared" si="9"/>
        <v/>
      </c>
      <c r="Q47" s="110" t="str">
        <f t="shared" si="10"/>
        <v/>
      </c>
      <c r="R47" s="111">
        <f>+'Tabela de BDI'!$F$9*C47</f>
        <v>3484.7999999999997</v>
      </c>
      <c r="S47" s="114"/>
    </row>
    <row r="48" spans="1:19" ht="15.75" customHeight="1" x14ac:dyDescent="0.25">
      <c r="A48" s="175"/>
      <c r="B48" s="116" t="s">
        <v>89</v>
      </c>
      <c r="C48" s="104">
        <f t="shared" si="5"/>
        <v>29.92</v>
      </c>
      <c r="D48" s="205" t="e">
        <f>ABS('Preço SFCR-SMA JINKO'!$G$43-C48)</f>
        <v>#DIV/0!</v>
      </c>
      <c r="E48" s="181">
        <v>68</v>
      </c>
      <c r="F48" s="112" t="str">
        <f>+IF(K48=0,"",ROUND(M48/(1-'Tabela de BDI'!$C$3),0))</f>
        <v/>
      </c>
      <c r="G48" s="107"/>
      <c r="H48" s="106"/>
      <c r="I48" s="145"/>
      <c r="J48" s="150">
        <f t="shared" si="6"/>
        <v>0</v>
      </c>
      <c r="K48" s="106">
        <f t="shared" si="7"/>
        <v>0</v>
      </c>
      <c r="L48" s="151">
        <f>+((L47+(E48-E47)*125))</f>
        <v>12250</v>
      </c>
      <c r="M48" s="106">
        <f t="shared" si="8"/>
        <v>12250</v>
      </c>
      <c r="N48" s="106" t="str">
        <f>+IF(F48="","",F48*'Tabela de BDI'!$C$7)</f>
        <v/>
      </c>
      <c r="O48" s="106" t="str">
        <f>IF(F48="","",F48*'Tabela de BDI'!$C$8)</f>
        <v/>
      </c>
      <c r="P48" s="109" t="str">
        <f t="shared" si="9"/>
        <v/>
      </c>
      <c r="Q48" s="110" t="str">
        <f t="shared" si="10"/>
        <v/>
      </c>
      <c r="R48" s="111">
        <f>+'Tabela de BDI'!$F$9*C48</f>
        <v>3590.4</v>
      </c>
      <c r="S48" s="114"/>
    </row>
    <row r="49" spans="1:19" ht="15.75" customHeight="1" x14ac:dyDescent="0.25">
      <c r="A49" s="175"/>
      <c r="B49" s="116" t="s">
        <v>89</v>
      </c>
      <c r="C49" s="104">
        <f t="shared" si="5"/>
        <v>31.68</v>
      </c>
      <c r="D49" s="205" t="e">
        <f>ABS('Preço SFCR-SMA JINKO'!$G$43-C49)</f>
        <v>#DIV/0!</v>
      </c>
      <c r="E49" s="181">
        <v>72</v>
      </c>
      <c r="F49" s="112" t="str">
        <f>+IF(K49=0,"",ROUND(M49/(1-'Tabela de BDI'!$C$3),0))</f>
        <v/>
      </c>
      <c r="G49" s="107"/>
      <c r="H49" s="106"/>
      <c r="I49" s="145"/>
      <c r="J49" s="150">
        <f t="shared" si="6"/>
        <v>0</v>
      </c>
      <c r="K49" s="106">
        <f t="shared" si="7"/>
        <v>0</v>
      </c>
      <c r="L49" s="151">
        <f t="shared" ref="L49:L63" si="56">+((L48+(E49-E48)*125))</f>
        <v>12750</v>
      </c>
      <c r="M49" s="106">
        <f t="shared" si="8"/>
        <v>12750</v>
      </c>
      <c r="N49" s="106" t="str">
        <f>+IF(F49="","",F49*'Tabela de BDI'!$C$7)</f>
        <v/>
      </c>
      <c r="O49" s="106" t="str">
        <f>IF(F49="","",F49*'Tabela de BDI'!$C$8)</f>
        <v/>
      </c>
      <c r="P49" s="109" t="str">
        <f t="shared" si="9"/>
        <v/>
      </c>
      <c r="Q49" s="110" t="str">
        <f t="shared" si="10"/>
        <v/>
      </c>
      <c r="R49" s="111">
        <f>+'Tabela de BDI'!$F$9*C49</f>
        <v>3801.6</v>
      </c>
      <c r="S49" s="114"/>
    </row>
    <row r="50" spans="1:19" ht="15.75" customHeight="1" x14ac:dyDescent="0.25">
      <c r="A50" s="175"/>
      <c r="B50" s="116" t="s">
        <v>89</v>
      </c>
      <c r="C50" s="104">
        <f t="shared" si="5"/>
        <v>33.44</v>
      </c>
      <c r="D50" s="205" t="e">
        <f>ABS('Preço SFCR-SMA JINKO'!$G$43-C50)</f>
        <v>#DIV/0!</v>
      </c>
      <c r="E50" s="181">
        <v>76</v>
      </c>
      <c r="F50" s="112" t="str">
        <f>+IF(K50=0,"",ROUND(M50/(1-'Tabela de BDI'!$C$3),0))</f>
        <v/>
      </c>
      <c r="G50" s="107"/>
      <c r="H50" s="106"/>
      <c r="I50" s="145"/>
      <c r="J50" s="150">
        <f t="shared" si="6"/>
        <v>0</v>
      </c>
      <c r="K50" s="106">
        <f t="shared" si="7"/>
        <v>0</v>
      </c>
      <c r="L50" s="151">
        <f t="shared" si="56"/>
        <v>13250</v>
      </c>
      <c r="M50" s="106">
        <f t="shared" si="8"/>
        <v>13250</v>
      </c>
      <c r="N50" s="106" t="str">
        <f>+IF(F50="","",F50*'Tabela de BDI'!$C$7)</f>
        <v/>
      </c>
      <c r="O50" s="106" t="str">
        <f>IF(F50="","",F50*'Tabela de BDI'!$C$8)</f>
        <v/>
      </c>
      <c r="P50" s="109" t="str">
        <f t="shared" si="9"/>
        <v/>
      </c>
      <c r="Q50" s="110" t="str">
        <f t="shared" si="10"/>
        <v/>
      </c>
      <c r="R50" s="111">
        <f>+'Tabela de BDI'!$F$9*C50</f>
        <v>4012.7999999999997</v>
      </c>
      <c r="S50" s="114"/>
    </row>
    <row r="51" spans="1:19" ht="15.75" customHeight="1" x14ac:dyDescent="0.25">
      <c r="A51" s="175"/>
      <c r="B51" s="116" t="s">
        <v>89</v>
      </c>
      <c r="C51" s="104">
        <f t="shared" si="5"/>
        <v>34.32</v>
      </c>
      <c r="D51" s="205" t="e">
        <f>ABS('Preço SFCR-SMA JINKO'!$G$43-C51)</f>
        <v>#DIV/0!</v>
      </c>
      <c r="E51" s="181">
        <v>78</v>
      </c>
      <c r="F51" s="112" t="str">
        <f>+IF(K51=0,"",ROUND(M51/(1-'Tabela de BDI'!$C$3),0))</f>
        <v/>
      </c>
      <c r="G51" s="107"/>
      <c r="H51" s="106"/>
      <c r="I51" s="159"/>
      <c r="J51" s="150">
        <f t="shared" si="6"/>
        <v>0</v>
      </c>
      <c r="K51" s="106">
        <f t="shared" si="7"/>
        <v>0</v>
      </c>
      <c r="L51" s="151">
        <f t="shared" si="56"/>
        <v>13500</v>
      </c>
      <c r="M51" s="106">
        <f t="shared" si="8"/>
        <v>13500</v>
      </c>
      <c r="N51" s="106" t="str">
        <f>+IF(F51="","",F51*'Tabela de BDI'!$C$7)</f>
        <v/>
      </c>
      <c r="O51" s="106" t="str">
        <f>IF(F51="","",F51*'Tabela de BDI'!$C$8)</f>
        <v/>
      </c>
      <c r="P51" s="109" t="str">
        <f t="shared" si="9"/>
        <v/>
      </c>
      <c r="Q51" s="110" t="str">
        <f t="shared" si="10"/>
        <v/>
      </c>
      <c r="R51" s="111">
        <f>+'Tabela de BDI'!$F$9*C51</f>
        <v>4118.3999999999996</v>
      </c>
      <c r="S51" s="114"/>
    </row>
    <row r="52" spans="1:19" ht="15.75" customHeight="1" x14ac:dyDescent="0.25">
      <c r="A52" s="175"/>
      <c r="B52" s="116" t="s">
        <v>89</v>
      </c>
      <c r="C52" s="104">
        <f t="shared" si="5"/>
        <v>35.200000000000003</v>
      </c>
      <c r="D52" s="205" t="e">
        <f>ABS('Preço SFCR-SMA JINKO'!$G$43-C52)</f>
        <v>#DIV/0!</v>
      </c>
      <c r="E52" s="181">
        <v>80</v>
      </c>
      <c r="F52" s="112" t="str">
        <f>+IF(K52=0,"",ROUND(M52/(1-'Tabela de BDI'!$C$3),0))</f>
        <v/>
      </c>
      <c r="G52" s="107"/>
      <c r="H52" s="106"/>
      <c r="I52" s="143"/>
      <c r="J52" s="121"/>
      <c r="K52" s="106">
        <f t="shared" si="7"/>
        <v>0</v>
      </c>
      <c r="L52" s="151">
        <f t="shared" si="56"/>
        <v>13750</v>
      </c>
      <c r="M52" s="106">
        <f t="shared" si="8"/>
        <v>13750</v>
      </c>
      <c r="N52" s="106" t="str">
        <f>+IF(F52="","",F52*'Tabela de BDI'!$C$7)</f>
        <v/>
      </c>
      <c r="O52" s="106" t="str">
        <f>IF(F52="","",F52*'Tabela de BDI'!$C$8)</f>
        <v/>
      </c>
      <c r="P52" s="109" t="str">
        <f t="shared" si="9"/>
        <v/>
      </c>
      <c r="Q52" s="110" t="str">
        <f t="shared" si="10"/>
        <v/>
      </c>
      <c r="R52" s="111">
        <f>+'Tabela de BDI'!$F$9*C52</f>
        <v>4224</v>
      </c>
      <c r="S52" s="114"/>
    </row>
    <row r="53" spans="1:19" ht="15.75" customHeight="1" x14ac:dyDescent="0.25">
      <c r="A53" s="175"/>
      <c r="B53" s="116" t="s">
        <v>89</v>
      </c>
      <c r="C53" s="104">
        <f t="shared" si="5"/>
        <v>36.96</v>
      </c>
      <c r="D53" s="205" t="e">
        <f>ABS('Preço SFCR-SMA JINKO'!$G$43-C53)</f>
        <v>#DIV/0!</v>
      </c>
      <c r="E53" s="181">
        <v>84</v>
      </c>
      <c r="F53" s="112" t="str">
        <f>+IF(K53=0,"",ROUND(M53/(1-'Tabela de BDI'!$C$3),0))</f>
        <v/>
      </c>
      <c r="G53" s="107"/>
      <c r="H53" s="106"/>
      <c r="I53" s="143"/>
      <c r="J53" s="121"/>
      <c r="K53" s="106">
        <f t="shared" si="7"/>
        <v>0</v>
      </c>
      <c r="L53" s="151">
        <f t="shared" si="56"/>
        <v>14250</v>
      </c>
      <c r="M53" s="106">
        <f t="shared" si="8"/>
        <v>14250</v>
      </c>
      <c r="N53" s="106" t="str">
        <f>+IF(F53="","",F53*'Tabela de BDI'!$C$7)</f>
        <v/>
      </c>
      <c r="O53" s="106" t="str">
        <f>IF(F53="","",F53*'Tabela de BDI'!$C$8)</f>
        <v/>
      </c>
      <c r="P53" s="109" t="str">
        <f t="shared" si="9"/>
        <v/>
      </c>
      <c r="Q53" s="110" t="str">
        <f t="shared" si="10"/>
        <v/>
      </c>
      <c r="R53" s="111">
        <f>+'Tabela de BDI'!$F$9*C53</f>
        <v>4435.2</v>
      </c>
      <c r="S53" s="114"/>
    </row>
    <row r="54" spans="1:19" ht="15.75" customHeight="1" x14ac:dyDescent="0.25">
      <c r="A54" s="175"/>
      <c r="B54" s="116" t="s">
        <v>89</v>
      </c>
      <c r="C54" s="104">
        <f t="shared" si="5"/>
        <v>38.72</v>
      </c>
      <c r="D54" s="205" t="e">
        <f>ABS('Preço SFCR-SMA JINKO'!$G$43-C54)</f>
        <v>#DIV/0!</v>
      </c>
      <c r="E54" s="181">
        <v>88</v>
      </c>
      <c r="F54" s="112" t="str">
        <f>+IF(K54=0,"",ROUND(M54/(1-'Tabela de BDI'!$C$3),0))</f>
        <v/>
      </c>
      <c r="G54" s="107"/>
      <c r="H54" s="106"/>
      <c r="I54" s="143"/>
      <c r="J54" s="121"/>
      <c r="K54" s="106">
        <f t="shared" si="7"/>
        <v>0</v>
      </c>
      <c r="L54" s="151">
        <f t="shared" si="56"/>
        <v>14750</v>
      </c>
      <c r="M54" s="106">
        <f t="shared" si="8"/>
        <v>14750</v>
      </c>
      <c r="N54" s="106" t="str">
        <f>+IF(F54="","",F54*'Tabela de BDI'!$C$7)</f>
        <v/>
      </c>
      <c r="O54" s="106" t="str">
        <f>IF(F54="","",F54*'Tabela de BDI'!$C$8)</f>
        <v/>
      </c>
      <c r="P54" s="109" t="str">
        <f t="shared" si="9"/>
        <v/>
      </c>
      <c r="Q54" s="110" t="str">
        <f t="shared" si="10"/>
        <v/>
      </c>
      <c r="R54" s="111">
        <f>+'Tabela de BDI'!$F$9*C54</f>
        <v>4646.3999999999996</v>
      </c>
      <c r="S54" s="114"/>
    </row>
    <row r="55" spans="1:19" ht="15.75" customHeight="1" x14ac:dyDescent="0.25">
      <c r="A55" s="175"/>
      <c r="B55" s="116" t="s">
        <v>89</v>
      </c>
      <c r="C55" s="104">
        <f t="shared" si="5"/>
        <v>39.6</v>
      </c>
      <c r="D55" s="205" t="e">
        <f>ABS('Preço SFCR-SMA JINKO'!$G$43-C55)</f>
        <v>#DIV/0!</v>
      </c>
      <c r="E55" s="181">
        <v>90</v>
      </c>
      <c r="F55" s="112" t="str">
        <f>+IF(K55=0,"",ROUND(M55/(1-'Tabela de BDI'!$C$3),0))</f>
        <v/>
      </c>
      <c r="G55" s="107"/>
      <c r="H55" s="106"/>
      <c r="I55" s="143"/>
      <c r="J55" s="121"/>
      <c r="K55" s="106">
        <f t="shared" si="7"/>
        <v>0</v>
      </c>
      <c r="L55" s="151">
        <f t="shared" si="56"/>
        <v>15000</v>
      </c>
      <c r="M55" s="106">
        <f t="shared" si="8"/>
        <v>15000</v>
      </c>
      <c r="N55" s="106" t="str">
        <f>+IF(F55="","",F55*'Tabela de BDI'!$C$7)</f>
        <v/>
      </c>
      <c r="O55" s="106" t="str">
        <f>IF(F55="","",F55*'Tabela de BDI'!$C$8)</f>
        <v/>
      </c>
      <c r="P55" s="109" t="str">
        <f t="shared" si="9"/>
        <v/>
      </c>
      <c r="Q55" s="110" t="str">
        <f t="shared" si="10"/>
        <v/>
      </c>
      <c r="R55" s="111">
        <f>+'Tabela de BDI'!$F$9*C55</f>
        <v>4752</v>
      </c>
      <c r="S55" s="114"/>
    </row>
    <row r="56" spans="1:19" ht="15.75" customHeight="1" x14ac:dyDescent="0.25">
      <c r="A56" s="175"/>
      <c r="B56" s="116" t="s">
        <v>89</v>
      </c>
      <c r="C56" s="104">
        <f t="shared" si="5"/>
        <v>40.479999999999997</v>
      </c>
      <c r="D56" s="205" t="e">
        <f>ABS('Preço SFCR-SMA JINKO'!$G$43-C56)</f>
        <v>#DIV/0!</v>
      </c>
      <c r="E56" s="181">
        <v>92</v>
      </c>
      <c r="F56" s="112" t="str">
        <f>+IF(K56=0,"",ROUND(M56/(1-'Tabela de BDI'!$C$3),0))</f>
        <v/>
      </c>
      <c r="G56" s="107"/>
      <c r="H56" s="106"/>
      <c r="I56" s="143"/>
      <c r="J56" s="121"/>
      <c r="K56" s="106">
        <f t="shared" si="7"/>
        <v>0</v>
      </c>
      <c r="L56" s="151">
        <f t="shared" si="56"/>
        <v>15250</v>
      </c>
      <c r="M56" s="106">
        <f t="shared" si="8"/>
        <v>15250</v>
      </c>
      <c r="N56" s="106" t="str">
        <f>+IF(F56="","",F56*'Tabela de BDI'!$C$7)</f>
        <v/>
      </c>
      <c r="O56" s="106" t="str">
        <f>IF(F56="","",F56*'Tabela de BDI'!$C$8)</f>
        <v/>
      </c>
      <c r="P56" s="109" t="str">
        <f t="shared" si="9"/>
        <v/>
      </c>
      <c r="Q56" s="110" t="str">
        <f t="shared" si="10"/>
        <v/>
      </c>
      <c r="R56" s="111">
        <f>+'Tabela de BDI'!$F$9*C56</f>
        <v>4857.5999999999995</v>
      </c>
      <c r="S56" s="114"/>
    </row>
    <row r="57" spans="1:19" ht="15.75" customHeight="1" x14ac:dyDescent="0.25">
      <c r="A57" s="175"/>
      <c r="B57" s="116" t="s">
        <v>89</v>
      </c>
      <c r="C57" s="104">
        <f t="shared" si="5"/>
        <v>41.8</v>
      </c>
      <c r="D57" s="205" t="e">
        <f>ABS('Preço SFCR-SMA JINKO'!$G$43-C57)</f>
        <v>#DIV/0!</v>
      </c>
      <c r="E57" s="181">
        <v>95</v>
      </c>
      <c r="F57" s="112" t="str">
        <f>+IF(K57=0,"",ROUND(M57/(1-'Tabela de BDI'!$C$3),0))</f>
        <v/>
      </c>
      <c r="G57" s="107"/>
      <c r="H57" s="106"/>
      <c r="I57" s="143"/>
      <c r="J57" s="121"/>
      <c r="K57" s="106">
        <f t="shared" si="7"/>
        <v>0</v>
      </c>
      <c r="L57" s="151">
        <f t="shared" si="56"/>
        <v>15625</v>
      </c>
      <c r="M57" s="106">
        <f t="shared" si="8"/>
        <v>15625</v>
      </c>
      <c r="N57" s="106" t="str">
        <f>+IF(F57="","",F57*'Tabela de BDI'!$C$7)</f>
        <v/>
      </c>
      <c r="O57" s="106" t="str">
        <f>IF(F57="","",F57*'Tabela de BDI'!$C$8)</f>
        <v/>
      </c>
      <c r="P57" s="109" t="str">
        <f t="shared" si="9"/>
        <v/>
      </c>
      <c r="Q57" s="110" t="str">
        <f t="shared" si="10"/>
        <v/>
      </c>
      <c r="R57" s="111">
        <f>+'Tabela de BDI'!$F$9*C57</f>
        <v>5016</v>
      </c>
      <c r="S57" s="114"/>
    </row>
    <row r="58" spans="1:19" ht="15.75" customHeight="1" x14ac:dyDescent="0.25">
      <c r="A58" s="175"/>
      <c r="B58" s="116" t="s">
        <v>89</v>
      </c>
      <c r="C58" s="104">
        <f t="shared" si="5"/>
        <v>42.24</v>
      </c>
      <c r="D58" s="205" t="e">
        <f>ABS('Preço SFCR-SMA JINKO'!$G$43-C58)</f>
        <v>#DIV/0!</v>
      </c>
      <c r="E58" s="181">
        <v>96</v>
      </c>
      <c r="F58" s="112" t="str">
        <f>+IF(K58=0,"",ROUND(M58/(1-'Tabela de BDI'!$C$3),0))</f>
        <v/>
      </c>
      <c r="G58" s="107"/>
      <c r="H58" s="106"/>
      <c r="I58" s="143"/>
      <c r="J58" s="121"/>
      <c r="K58" s="106">
        <f t="shared" si="7"/>
        <v>0</v>
      </c>
      <c r="L58" s="151">
        <f t="shared" si="56"/>
        <v>15750</v>
      </c>
      <c r="M58" s="106">
        <f t="shared" si="8"/>
        <v>15750</v>
      </c>
      <c r="N58" s="106" t="str">
        <f>+IF(F58="","",F58*'Tabela de BDI'!$C$7)</f>
        <v/>
      </c>
      <c r="O58" s="106" t="str">
        <f>IF(F58="","",F58*'Tabela de BDI'!$C$8)</f>
        <v/>
      </c>
      <c r="P58" s="109" t="str">
        <f t="shared" si="9"/>
        <v/>
      </c>
      <c r="Q58" s="110" t="str">
        <f t="shared" si="10"/>
        <v/>
      </c>
      <c r="R58" s="111">
        <f>+'Tabela de BDI'!$F$9*C58</f>
        <v>5068.8</v>
      </c>
      <c r="S58" s="114"/>
    </row>
    <row r="59" spans="1:19" ht="15.75" customHeight="1" x14ac:dyDescent="0.25">
      <c r="A59" s="175"/>
      <c r="B59" s="116" t="s">
        <v>89</v>
      </c>
      <c r="C59" s="104">
        <f t="shared" si="5"/>
        <v>43.12</v>
      </c>
      <c r="D59" s="205" t="e">
        <f>ABS('Preço SFCR-SMA JINKO'!$G$43-C59)</f>
        <v>#DIV/0!</v>
      </c>
      <c r="E59" s="181">
        <v>98</v>
      </c>
      <c r="F59" s="112" t="str">
        <f>+IF(K59=0,"",ROUND(M59/(1-'Tabela de BDI'!$C$3),0))</f>
        <v/>
      </c>
      <c r="G59" s="107"/>
      <c r="H59" s="106"/>
      <c r="I59" s="143"/>
      <c r="J59" s="121"/>
      <c r="K59" s="106">
        <f t="shared" si="7"/>
        <v>0</v>
      </c>
      <c r="L59" s="151">
        <f t="shared" si="56"/>
        <v>16000</v>
      </c>
      <c r="M59" s="106">
        <f t="shared" si="8"/>
        <v>16000</v>
      </c>
      <c r="N59" s="106" t="str">
        <f>+IF(F59="","",F59*'Tabela de BDI'!$C$7)</f>
        <v/>
      </c>
      <c r="O59" s="106" t="str">
        <f>IF(F59="","",F59*'Tabela de BDI'!$C$8)</f>
        <v/>
      </c>
      <c r="P59" s="109" t="str">
        <f t="shared" si="9"/>
        <v/>
      </c>
      <c r="Q59" s="110" t="str">
        <f t="shared" si="10"/>
        <v/>
      </c>
      <c r="R59" s="111">
        <f>+'Tabela de BDI'!$F$9*C59</f>
        <v>5174.3999999999996</v>
      </c>
      <c r="S59" s="114"/>
    </row>
    <row r="60" spans="1:19" ht="15.75" customHeight="1" x14ac:dyDescent="0.25">
      <c r="A60" s="175"/>
      <c r="B60" s="116" t="s">
        <v>89</v>
      </c>
      <c r="C60" s="104">
        <f t="shared" si="5"/>
        <v>44</v>
      </c>
      <c r="D60" s="205" t="e">
        <f>ABS('Preço SFCR-SMA JINKO'!$G$43-C60)</f>
        <v>#DIV/0!</v>
      </c>
      <c r="E60" s="181">
        <v>100</v>
      </c>
      <c r="F60" s="112" t="str">
        <f>+IF(K60=0,"",ROUND(M60/(1-'Tabela de BDI'!$C$3),0))</f>
        <v/>
      </c>
      <c r="G60" s="107"/>
      <c r="H60" s="106"/>
      <c r="I60" s="143"/>
      <c r="J60" s="121"/>
      <c r="K60" s="106">
        <f t="shared" si="7"/>
        <v>0</v>
      </c>
      <c r="L60" s="151">
        <f t="shared" si="56"/>
        <v>16250</v>
      </c>
      <c r="M60" s="106">
        <f t="shared" si="8"/>
        <v>16250</v>
      </c>
      <c r="N60" s="106" t="str">
        <f>+IF(F60="","",F60*'Tabela de BDI'!$C$7)</f>
        <v/>
      </c>
      <c r="O60" s="106" t="str">
        <f>IF(F60="","",F60*'Tabela de BDI'!$C$8)</f>
        <v/>
      </c>
      <c r="P60" s="109" t="str">
        <f t="shared" si="9"/>
        <v/>
      </c>
      <c r="Q60" s="110" t="str">
        <f t="shared" si="10"/>
        <v/>
      </c>
      <c r="R60" s="111">
        <f>+'Tabela de BDI'!$F$9*C60</f>
        <v>5280</v>
      </c>
      <c r="S60" s="114"/>
    </row>
    <row r="61" spans="1:19" ht="15.75" customHeight="1" x14ac:dyDescent="0.25">
      <c r="A61" s="175"/>
      <c r="B61" s="116" t="s">
        <v>89</v>
      </c>
      <c r="C61" s="104">
        <f t="shared" si="5"/>
        <v>44.88</v>
      </c>
      <c r="D61" s="205" t="e">
        <f>ABS('Preço SFCR-SMA JINKO'!$G$43-C61)</f>
        <v>#DIV/0!</v>
      </c>
      <c r="E61" s="181">
        <v>102</v>
      </c>
      <c r="F61" s="112" t="str">
        <f>+IF(K61=0,"",ROUND(M61/(1-'Tabela de BDI'!$C$3),0))</f>
        <v/>
      </c>
      <c r="G61" s="107"/>
      <c r="H61" s="106"/>
      <c r="I61" s="143"/>
      <c r="J61" s="121"/>
      <c r="K61" s="106">
        <f t="shared" si="7"/>
        <v>0</v>
      </c>
      <c r="L61" s="151">
        <f t="shared" si="56"/>
        <v>16500</v>
      </c>
      <c r="M61" s="106">
        <f t="shared" si="8"/>
        <v>16500</v>
      </c>
      <c r="N61" s="106" t="str">
        <f>+IF(F61="","",F61*'Tabela de BDI'!$C$7)</f>
        <v/>
      </c>
      <c r="O61" s="106" t="str">
        <f>IF(F61="","",F61*'Tabela de BDI'!$C$8)</f>
        <v/>
      </c>
      <c r="P61" s="109" t="str">
        <f t="shared" si="9"/>
        <v/>
      </c>
      <c r="Q61" s="110" t="str">
        <f t="shared" si="10"/>
        <v/>
      </c>
      <c r="R61" s="111">
        <f>+'Tabela de BDI'!$F$9*C61</f>
        <v>5385.6</v>
      </c>
      <c r="S61" s="114"/>
    </row>
    <row r="62" spans="1:19" ht="15.75" customHeight="1" x14ac:dyDescent="0.25">
      <c r="A62" s="175"/>
      <c r="B62" s="116" t="s">
        <v>89</v>
      </c>
      <c r="C62" s="104">
        <f t="shared" si="5"/>
        <v>45.76</v>
      </c>
      <c r="D62" s="205" t="e">
        <f>ABS('Preço SFCR-SMA JINKO'!$G$43-C62)</f>
        <v>#DIV/0!</v>
      </c>
      <c r="E62" s="181">
        <v>104</v>
      </c>
      <c r="F62" s="112" t="str">
        <f>+IF(K62=0,"",ROUND(M62/(1-'Tabela de BDI'!$C$3),0))</f>
        <v/>
      </c>
      <c r="G62" s="107"/>
      <c r="H62" s="106"/>
      <c r="I62" s="143"/>
      <c r="J62" s="121"/>
      <c r="K62" s="106">
        <f t="shared" si="7"/>
        <v>0</v>
      </c>
      <c r="L62" s="151">
        <f t="shared" si="56"/>
        <v>16750</v>
      </c>
      <c r="M62" s="106">
        <f t="shared" si="8"/>
        <v>16750</v>
      </c>
      <c r="N62" s="106" t="str">
        <f>+IF(F62="","",F62*'Tabela de BDI'!$C$7)</f>
        <v/>
      </c>
      <c r="O62" s="106" t="str">
        <f>IF(F62="","",F62*'Tabela de BDI'!$C$8)</f>
        <v/>
      </c>
      <c r="P62" s="109" t="str">
        <f t="shared" si="9"/>
        <v/>
      </c>
      <c r="Q62" s="110" t="str">
        <f t="shared" si="10"/>
        <v/>
      </c>
      <c r="R62" s="111">
        <f>+'Tabela de BDI'!$F$9*C62</f>
        <v>5491.2</v>
      </c>
      <c r="S62" s="114"/>
    </row>
    <row r="63" spans="1:19" ht="15.75" customHeight="1" x14ac:dyDescent="0.25">
      <c r="A63" s="175"/>
      <c r="B63" s="116" t="s">
        <v>89</v>
      </c>
      <c r="C63" s="104">
        <f t="shared" si="5"/>
        <v>47.52</v>
      </c>
      <c r="D63" s="205" t="e">
        <f>ABS('Preço SFCR-SMA JINKO'!$G$43-C63)</f>
        <v>#DIV/0!</v>
      </c>
      <c r="E63" s="181">
        <v>108</v>
      </c>
      <c r="F63" s="112" t="str">
        <f>+IF(K63=0,"",ROUND(M63/(1-'Tabela de BDI'!$C$3),0))</f>
        <v/>
      </c>
      <c r="G63" s="107"/>
      <c r="H63" s="106"/>
      <c r="I63" s="143"/>
      <c r="J63" s="121"/>
      <c r="K63" s="106">
        <f t="shared" si="7"/>
        <v>0</v>
      </c>
      <c r="L63" s="151">
        <f t="shared" si="56"/>
        <v>17250</v>
      </c>
      <c r="M63" s="106">
        <f t="shared" si="8"/>
        <v>17250</v>
      </c>
      <c r="N63" s="106" t="str">
        <f>+IF(F63="","",F63*'Tabela de BDI'!$C$7)</f>
        <v/>
      </c>
      <c r="O63" s="106" t="str">
        <f>IF(F63="","",F63*'Tabela de BDI'!$C$8)</f>
        <v/>
      </c>
      <c r="P63" s="109" t="str">
        <f t="shared" si="9"/>
        <v/>
      </c>
      <c r="Q63" s="110" t="str">
        <f t="shared" si="10"/>
        <v/>
      </c>
      <c r="R63" s="111">
        <f>+'Tabela de BDI'!$F$9*C63</f>
        <v>5702.4000000000005</v>
      </c>
      <c r="S63" s="114"/>
    </row>
    <row r="64" spans="1:19" ht="15.75" customHeight="1" x14ac:dyDescent="0.25">
      <c r="A64" s="175"/>
      <c r="B64" s="117"/>
      <c r="C64" s="104"/>
      <c r="D64" s="201"/>
      <c r="E64" s="105"/>
      <c r="F64" s="106"/>
      <c r="G64" s="107"/>
      <c r="H64" s="106"/>
      <c r="I64" s="143"/>
      <c r="J64" s="106"/>
      <c r="K64" s="106"/>
      <c r="L64" s="106"/>
      <c r="M64" s="106"/>
      <c r="N64" s="106"/>
      <c r="O64" s="106"/>
      <c r="P64" s="106"/>
      <c r="Q64" s="110" t="str">
        <f t="shared" si="10"/>
        <v/>
      </c>
      <c r="R64" s="111"/>
      <c r="S64" s="114"/>
    </row>
    <row r="65" spans="1:19" ht="15.75" customHeight="1" x14ac:dyDescent="0.25">
      <c r="A65" s="175"/>
      <c r="B65" s="117"/>
      <c r="C65" s="104"/>
      <c r="D65" s="201"/>
      <c r="E65" s="105"/>
      <c r="F65" s="106"/>
      <c r="G65" s="107"/>
      <c r="H65" s="106"/>
      <c r="I65" s="143"/>
      <c r="J65" s="106"/>
      <c r="K65" s="106"/>
      <c r="L65" s="106"/>
      <c r="M65" s="106"/>
      <c r="N65" s="106"/>
      <c r="O65" s="106"/>
      <c r="P65" s="106"/>
      <c r="Q65" s="110" t="str">
        <f t="shared" si="10"/>
        <v/>
      </c>
      <c r="R65" s="111"/>
      <c r="S65" s="114"/>
    </row>
    <row r="66" spans="1:19" ht="15.75" customHeight="1" x14ac:dyDescent="0.25">
      <c r="A66" s="175"/>
      <c r="B66" s="175"/>
      <c r="C66" s="175"/>
      <c r="D66" s="199"/>
      <c r="E66" s="175"/>
      <c r="F66" s="175"/>
      <c r="G66" s="175"/>
      <c r="H66" s="175"/>
      <c r="I66" s="175"/>
      <c r="J66" s="175"/>
      <c r="K66" s="118"/>
      <c r="L66" s="118"/>
      <c r="M66" s="118"/>
      <c r="N66" s="118"/>
      <c r="O66" s="118"/>
      <c r="P66" s="118"/>
      <c r="Q66" s="118"/>
      <c r="R66" s="175"/>
      <c r="S66" s="175"/>
    </row>
    <row r="67" spans="1:19" ht="15.75" customHeight="1" x14ac:dyDescent="0.25">
      <c r="A67" s="175"/>
      <c r="B67" s="337" t="s">
        <v>79</v>
      </c>
      <c r="C67" s="338"/>
      <c r="D67" s="198"/>
      <c r="E67" s="175"/>
      <c r="F67" s="119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</row>
    <row r="68" spans="1:19" ht="15.75" customHeight="1" x14ac:dyDescent="0.25">
      <c r="A68" s="175"/>
      <c r="B68" s="119">
        <v>44332</v>
      </c>
      <c r="C68" s="175"/>
      <c r="D68" s="199"/>
      <c r="E68" s="175"/>
      <c r="F68" s="175"/>
      <c r="G68" s="175"/>
      <c r="H68" s="175"/>
      <c r="I68" s="175"/>
      <c r="J68" s="175"/>
      <c r="R68" s="175"/>
      <c r="S68" s="175"/>
    </row>
    <row r="69" spans="1:19" ht="15.75" customHeight="1" x14ac:dyDescent="0.25">
      <c r="A69" s="175"/>
      <c r="B69" s="175"/>
      <c r="C69" s="175"/>
      <c r="D69" s="199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</row>
    <row r="70" spans="1:19" ht="15.75" customHeight="1" x14ac:dyDescent="0.25">
      <c r="A70" s="175"/>
      <c r="B70" s="175"/>
      <c r="C70" s="175"/>
      <c r="D70" s="199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</row>
    <row r="71" spans="1:19" ht="15.75" customHeight="1" x14ac:dyDescent="0.25">
      <c r="A71" s="175"/>
      <c r="B71" s="175"/>
      <c r="C71" s="175"/>
      <c r="D71" s="199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</row>
    <row r="72" spans="1:19" ht="15.75" customHeight="1" x14ac:dyDescent="0.25">
      <c r="A72" s="175"/>
      <c r="B72" s="175"/>
      <c r="C72" s="175"/>
      <c r="D72" s="199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</row>
    <row r="73" spans="1:19" ht="15.75" customHeight="1" x14ac:dyDescent="0.25">
      <c r="A73" s="175"/>
      <c r="B73" s="175"/>
      <c r="C73" s="175"/>
      <c r="D73" s="199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</row>
    <row r="74" spans="1:19" ht="15.75" customHeight="1" x14ac:dyDescent="0.25">
      <c r="A74" s="175"/>
      <c r="B74" s="175"/>
      <c r="C74" s="175"/>
      <c r="D74" s="199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</row>
    <row r="75" spans="1:19" ht="15.75" customHeight="1" x14ac:dyDescent="0.25">
      <c r="A75" s="175"/>
      <c r="B75" s="175"/>
      <c r="C75" s="175"/>
      <c r="D75" s="199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</row>
    <row r="76" spans="1:19" ht="15.75" customHeight="1" x14ac:dyDescent="0.25">
      <c r="A76" s="175"/>
      <c r="B76" s="175"/>
      <c r="C76" s="175"/>
      <c r="D76" s="199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</row>
    <row r="77" spans="1:19" ht="15.75" customHeight="1" x14ac:dyDescent="0.25">
      <c r="A77" s="175"/>
      <c r="B77" s="175"/>
      <c r="C77" s="175"/>
      <c r="D77" s="199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</row>
    <row r="78" spans="1:19" ht="15.75" customHeight="1" x14ac:dyDescent="0.25">
      <c r="A78" s="175"/>
      <c r="B78" s="175"/>
      <c r="C78" s="175"/>
      <c r="D78" s="199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</row>
    <row r="79" spans="1:19" ht="15.75" customHeight="1" x14ac:dyDescent="0.25">
      <c r="A79" s="175"/>
      <c r="B79" s="175"/>
      <c r="C79" s="175"/>
      <c r="D79" s="199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</row>
    <row r="80" spans="1:19" ht="15.75" customHeight="1" x14ac:dyDescent="0.25">
      <c r="A80" s="175"/>
      <c r="B80" s="175"/>
      <c r="C80" s="175"/>
      <c r="D80" s="199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</row>
    <row r="81" spans="1:19" ht="15.75" customHeight="1" x14ac:dyDescent="0.25">
      <c r="A81" s="175"/>
      <c r="B81" s="175"/>
      <c r="C81" s="175"/>
      <c r="D81" s="199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</row>
    <row r="82" spans="1:19" ht="15.75" customHeight="1" x14ac:dyDescent="0.25">
      <c r="A82" s="175"/>
      <c r="B82" s="175"/>
      <c r="C82" s="175"/>
      <c r="D82" s="199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</row>
    <row r="83" spans="1:19" ht="15.75" customHeight="1" x14ac:dyDescent="0.25">
      <c r="A83" s="175"/>
      <c r="B83" s="175"/>
      <c r="C83" s="175"/>
      <c r="D83" s="199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</row>
    <row r="84" spans="1:19" ht="15.75" customHeight="1" x14ac:dyDescent="0.25">
      <c r="A84" s="175"/>
      <c r="B84" s="175"/>
      <c r="C84" s="175"/>
      <c r="D84" s="199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</row>
    <row r="85" spans="1:19" ht="15.75" customHeight="1" x14ac:dyDescent="0.25">
      <c r="A85" s="175"/>
      <c r="B85" s="175"/>
      <c r="C85" s="175"/>
      <c r="D85" s="199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</row>
    <row r="86" spans="1:19" ht="15.75" customHeight="1" x14ac:dyDescent="0.25">
      <c r="A86" s="175"/>
      <c r="B86" s="175"/>
      <c r="C86" s="175"/>
      <c r="D86" s="199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</row>
    <row r="87" spans="1:19" ht="15.75" customHeight="1" x14ac:dyDescent="0.25">
      <c r="A87" s="175"/>
      <c r="B87" s="175"/>
      <c r="C87" s="175"/>
      <c r="D87" s="199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</row>
    <row r="88" spans="1:19" ht="15.75" customHeight="1" x14ac:dyDescent="0.25">
      <c r="A88" s="175"/>
      <c r="B88" s="175"/>
      <c r="C88" s="175"/>
      <c r="D88" s="199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</row>
    <row r="89" spans="1:19" ht="15.75" customHeight="1" x14ac:dyDescent="0.25">
      <c r="A89" s="175"/>
      <c r="B89" s="175"/>
      <c r="C89" s="175"/>
      <c r="D89" s="199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</row>
    <row r="90" spans="1:19" ht="15.75" customHeight="1" x14ac:dyDescent="0.25">
      <c r="A90" s="175"/>
      <c r="B90" s="175"/>
      <c r="C90" s="175"/>
      <c r="D90" s="199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</row>
    <row r="91" spans="1:19" ht="15.75" customHeight="1" x14ac:dyDescent="0.25">
      <c r="A91" s="175"/>
      <c r="B91" s="175"/>
      <c r="C91" s="175"/>
      <c r="D91" s="199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</row>
    <row r="92" spans="1:19" ht="15.75" customHeight="1" x14ac:dyDescent="0.25">
      <c r="A92" s="175"/>
      <c r="B92" s="175"/>
      <c r="C92" s="175"/>
      <c r="D92" s="199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</row>
    <row r="93" spans="1:19" ht="15.75" customHeight="1" x14ac:dyDescent="0.25">
      <c r="A93" s="175"/>
      <c r="B93" s="175"/>
      <c r="C93" s="175"/>
      <c r="D93" s="199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</row>
    <row r="94" spans="1:19" ht="15.75" customHeight="1" x14ac:dyDescent="0.25">
      <c r="A94" s="175"/>
      <c r="B94" s="175"/>
      <c r="C94" s="175"/>
      <c r="D94" s="199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</row>
    <row r="95" spans="1:19" ht="15.75" customHeight="1" x14ac:dyDescent="0.25">
      <c r="A95" s="175"/>
      <c r="B95" s="175"/>
      <c r="C95" s="175"/>
      <c r="D95" s="199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</row>
    <row r="96" spans="1:19" ht="15.75" customHeight="1" x14ac:dyDescent="0.25">
      <c r="A96" s="175"/>
      <c r="B96" s="175"/>
      <c r="C96" s="175"/>
      <c r="D96" s="199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</row>
    <row r="97" spans="1:19" ht="15.75" customHeight="1" x14ac:dyDescent="0.25">
      <c r="A97" s="175"/>
      <c r="B97" s="175"/>
      <c r="C97" s="175"/>
      <c r="D97" s="199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</row>
    <row r="98" spans="1:19" ht="15.75" customHeight="1" x14ac:dyDescent="0.25">
      <c r="A98" s="175"/>
      <c r="B98" s="175"/>
      <c r="C98" s="175"/>
      <c r="D98" s="199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</row>
    <row r="99" spans="1:19" ht="15.75" customHeight="1" x14ac:dyDescent="0.25">
      <c r="A99" s="175"/>
      <c r="B99" s="175"/>
      <c r="C99" s="175"/>
      <c r="D99" s="199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</row>
    <row r="100" spans="1:19" ht="15.75" customHeight="1" x14ac:dyDescent="0.25">
      <c r="A100" s="175"/>
      <c r="B100" s="175"/>
      <c r="C100" s="175"/>
      <c r="D100" s="199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</row>
    <row r="101" spans="1:19" ht="15.75" customHeight="1" x14ac:dyDescent="0.25">
      <c r="A101" s="175"/>
      <c r="B101" s="175"/>
      <c r="C101" s="175"/>
      <c r="D101" s="199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</row>
    <row r="102" spans="1:19" ht="15.75" customHeight="1" x14ac:dyDescent="0.25">
      <c r="A102" s="175"/>
      <c r="B102" s="175"/>
      <c r="C102" s="175"/>
      <c r="D102" s="199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</row>
    <row r="103" spans="1:19" ht="15.75" customHeight="1" x14ac:dyDescent="0.25">
      <c r="A103" s="175"/>
      <c r="B103" s="175"/>
      <c r="C103" s="175"/>
      <c r="D103" s="199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</row>
    <row r="104" spans="1:19" ht="15.75" customHeight="1" x14ac:dyDescent="0.25">
      <c r="A104" s="175"/>
      <c r="B104" s="175"/>
      <c r="C104" s="175"/>
      <c r="D104" s="199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</row>
    <row r="105" spans="1:19" ht="15.75" customHeight="1" x14ac:dyDescent="0.25">
      <c r="A105" s="175"/>
      <c r="B105" s="175"/>
      <c r="C105" s="175"/>
      <c r="D105" s="199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</row>
    <row r="106" spans="1:19" ht="15.75" customHeight="1" x14ac:dyDescent="0.25">
      <c r="A106" s="175"/>
      <c r="B106" s="175"/>
      <c r="C106" s="175"/>
      <c r="D106" s="199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</row>
    <row r="107" spans="1:19" ht="15.75" customHeight="1" x14ac:dyDescent="0.25">
      <c r="A107" s="175"/>
      <c r="B107" s="175"/>
      <c r="C107" s="175"/>
      <c r="D107" s="199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</row>
    <row r="108" spans="1:19" ht="15.75" customHeight="1" x14ac:dyDescent="0.25">
      <c r="A108" s="175"/>
      <c r="B108" s="175"/>
      <c r="C108" s="175"/>
      <c r="D108" s="199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</row>
    <row r="109" spans="1:19" ht="15.75" customHeight="1" x14ac:dyDescent="0.25">
      <c r="A109" s="175"/>
      <c r="B109" s="175"/>
      <c r="C109" s="175"/>
      <c r="D109" s="199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</row>
    <row r="110" spans="1:19" ht="15.75" customHeight="1" x14ac:dyDescent="0.25">
      <c r="A110" s="175"/>
      <c r="B110" s="175"/>
      <c r="C110" s="175"/>
      <c r="D110" s="199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</row>
  </sheetData>
  <mergeCells count="21">
    <mergeCell ref="B3:D3"/>
    <mergeCell ref="B67:C67"/>
    <mergeCell ref="J4:J5"/>
    <mergeCell ref="B4:B5"/>
    <mergeCell ref="C4:C5"/>
    <mergeCell ref="K4:K5"/>
    <mergeCell ref="L4:L5"/>
    <mergeCell ref="D4:D5"/>
    <mergeCell ref="E2:R2"/>
    <mergeCell ref="E3:R3"/>
    <mergeCell ref="E4:E5"/>
    <mergeCell ref="F4:F5"/>
    <mergeCell ref="G4:G5"/>
    <mergeCell ref="H4:H5"/>
    <mergeCell ref="O4:O5"/>
    <mergeCell ref="P4:P5"/>
    <mergeCell ref="Q4:Q5"/>
    <mergeCell ref="R4:R5"/>
    <mergeCell ref="M4:M5"/>
    <mergeCell ref="N4:N5"/>
    <mergeCell ref="B2:D2"/>
  </mergeCells>
  <pageMargins left="0.51181102362204722" right="0.51181102362204722" top="0.78740157480314965" bottom="0.78740157480314965" header="0" footer="0"/>
  <pageSetup paperSize="9" orientation="portrait" r:id="rId1"/>
  <ignoredErrors>
    <ignoredError sqref="I29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76A0-606B-4A3B-B239-C9EFE1F055B6}">
  <sheetPr>
    <pageSetUpPr fitToPage="1"/>
  </sheetPr>
  <dimension ref="A1:O101"/>
  <sheetViews>
    <sheetView showGridLines="0" zoomScale="70" zoomScaleNormal="70" workbookViewId="0">
      <pane ySplit="9" topLeftCell="A10" activePane="bottomLeft" state="frozen"/>
      <selection activeCell="H18" sqref="H18:I18"/>
      <selection pane="bottomLeft" activeCell="F11" sqref="F11:G11"/>
    </sheetView>
  </sheetViews>
  <sheetFormatPr defaultColWidth="14.42578125" defaultRowHeight="15" customHeight="1" x14ac:dyDescent="0.25"/>
  <cols>
    <col min="1" max="1" width="8.7109375" style="253" customWidth="1"/>
    <col min="2" max="2" width="2.42578125" style="253" customWidth="1"/>
    <col min="3" max="3" width="35.140625" style="253" customWidth="1"/>
    <col min="4" max="4" width="17.42578125" style="253" bestFit="1" customWidth="1"/>
    <col min="5" max="5" width="11.5703125" style="253" customWidth="1"/>
    <col min="6" max="6" width="17.42578125" style="253" bestFit="1" customWidth="1"/>
    <col min="7" max="7" width="10" style="253" customWidth="1"/>
    <col min="8" max="8" width="16.7109375" style="253" customWidth="1"/>
    <col min="9" max="9" width="10" style="253" customWidth="1"/>
    <col min="10" max="10" width="17.42578125" style="253" bestFit="1" customWidth="1"/>
    <col min="11" max="11" width="8.5703125" style="253" customWidth="1"/>
    <col min="12" max="12" width="19.7109375" style="253" customWidth="1"/>
    <col min="13" max="13" width="8.5703125" style="253" customWidth="1"/>
    <col min="14" max="14" width="26" style="253" customWidth="1"/>
    <col min="15" max="15" width="14.42578125" style="253" customWidth="1"/>
    <col min="16" max="16384" width="14.42578125" style="253"/>
  </cols>
  <sheetData>
    <row r="1" spans="1:15" x14ac:dyDescent="0.25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</row>
    <row r="2" spans="1:15" ht="15" customHeight="1" x14ac:dyDescent="0.25">
      <c r="A2" s="256"/>
      <c r="B2" s="256"/>
      <c r="C2" s="10" t="str">
        <f>+'Preço SFCR-FRONIUS-BYD'!C2</f>
        <v>Versão: Maio/2020</v>
      </c>
      <c r="D2" s="7"/>
      <c r="E2" s="7"/>
      <c r="F2" s="256"/>
      <c r="G2" s="256"/>
      <c r="H2" s="256"/>
      <c r="I2" s="256"/>
      <c r="J2" s="256"/>
      <c r="K2" s="256"/>
      <c r="L2" s="256"/>
      <c r="M2" s="256"/>
      <c r="N2" s="256"/>
      <c r="O2" s="256"/>
    </row>
    <row r="3" spans="1:15" ht="15" customHeight="1" x14ac:dyDescent="0.25">
      <c r="A3" s="256"/>
      <c r="B3" s="256"/>
      <c r="C3" s="10"/>
      <c r="D3" s="346"/>
      <c r="E3" s="347"/>
      <c r="F3" s="347"/>
      <c r="G3" s="347"/>
      <c r="H3" s="347"/>
      <c r="I3" s="347"/>
      <c r="J3" s="256"/>
      <c r="K3" s="256"/>
      <c r="L3" s="256"/>
      <c r="M3" s="256"/>
      <c r="N3" s="256"/>
      <c r="O3" s="256"/>
    </row>
    <row r="4" spans="1:15" ht="15" customHeight="1" x14ac:dyDescent="0.25">
      <c r="A4" s="256"/>
      <c r="B4" s="256"/>
      <c r="C4" s="10"/>
      <c r="D4" s="347"/>
      <c r="E4" s="347"/>
      <c r="F4" s="347"/>
      <c r="G4" s="347"/>
      <c r="H4" s="347"/>
      <c r="I4" s="347"/>
      <c r="J4" s="256"/>
      <c r="K4" s="256"/>
      <c r="L4" s="256"/>
      <c r="M4" s="256"/>
      <c r="N4" s="256"/>
      <c r="O4" s="256"/>
    </row>
    <row r="5" spans="1:15" ht="15" customHeight="1" x14ac:dyDescent="0.25">
      <c r="A5" s="256"/>
      <c r="B5" s="256"/>
      <c r="C5" s="10"/>
      <c r="D5" s="346"/>
      <c r="E5" s="347"/>
      <c r="F5" s="347"/>
      <c r="G5" s="347"/>
      <c r="H5" s="347"/>
      <c r="I5" s="347"/>
      <c r="J5" s="256"/>
      <c r="K5" s="256"/>
      <c r="L5" s="256"/>
      <c r="M5" s="256"/>
      <c r="N5" s="256"/>
      <c r="O5" s="256"/>
    </row>
    <row r="6" spans="1:15" ht="15" customHeight="1" x14ac:dyDescent="0.25">
      <c r="A6" s="256"/>
      <c r="B6" s="256"/>
      <c r="C6" s="10"/>
      <c r="D6" s="347"/>
      <c r="E6" s="347"/>
      <c r="F6" s="347"/>
      <c r="G6" s="347"/>
      <c r="H6" s="347"/>
      <c r="I6" s="347"/>
      <c r="J6" s="256"/>
      <c r="K6" s="256"/>
      <c r="L6" s="256"/>
      <c r="M6" s="256"/>
      <c r="N6" s="256"/>
      <c r="O6" s="256"/>
    </row>
    <row r="7" spans="1:15" ht="15" customHeight="1" thickBot="1" x14ac:dyDescent="0.3">
      <c r="A7" s="256"/>
      <c r="B7" s="256"/>
      <c r="C7" s="10"/>
      <c r="D7" s="7"/>
      <c r="E7" s="7"/>
      <c r="F7" s="256"/>
      <c r="G7" s="256"/>
      <c r="H7" s="256"/>
      <c r="I7" s="256"/>
      <c r="J7" s="256"/>
      <c r="K7" s="256"/>
      <c r="L7" s="256"/>
      <c r="M7" s="256"/>
      <c r="N7" s="256"/>
      <c r="O7" s="256"/>
    </row>
    <row r="8" spans="1:15" ht="19.5" thickBot="1" x14ac:dyDescent="0.35">
      <c r="A8" s="256"/>
      <c r="B8" s="256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256"/>
      <c r="O8" s="256"/>
    </row>
    <row r="9" spans="1:15" ht="21" customHeight="1" thickBot="1" x14ac:dyDescent="0.35">
      <c r="A9" s="256"/>
      <c r="B9" s="256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0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256"/>
    </row>
    <row r="10" spans="1:15" ht="15.75" customHeight="1" x14ac:dyDescent="0.25">
      <c r="A10" s="256"/>
      <c r="B10" s="256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256"/>
    </row>
    <row r="11" spans="1:15" ht="15.75" customHeight="1" x14ac:dyDescent="0.25">
      <c r="A11" s="256"/>
      <c r="B11" s="256"/>
      <c r="C11" s="24" t="s">
        <v>18</v>
      </c>
      <c r="D11" s="374" t="e">
        <f>+VLOOKUP(MIN('ABB-JINKO 440Wp'!D:D),'ABB-JINKO 440Wp'!D:E,2,0)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256"/>
    </row>
    <row r="12" spans="1:15" ht="15.75" customHeight="1" x14ac:dyDescent="0.25">
      <c r="A12" s="256"/>
      <c r="B12" s="256"/>
      <c r="C12" s="25" t="s">
        <v>19</v>
      </c>
      <c r="D12" s="367" t="s">
        <v>237</v>
      </c>
      <c r="E12" s="338"/>
      <c r="F12" s="368" t="str">
        <f t="shared" ref="F12:F13" si="0">+D12</f>
        <v>JINKO MONO - TIGER PRO</v>
      </c>
      <c r="G12" s="338"/>
      <c r="H12" s="369" t="str">
        <f>+F12</f>
        <v>JINKO MONO - TIGER PRO</v>
      </c>
      <c r="I12" s="338"/>
      <c r="J12" s="370" t="str">
        <f>+H12</f>
        <v>JINKO MONO - TIGER PRO</v>
      </c>
      <c r="K12" s="338"/>
      <c r="L12" s="363" t="str">
        <f>+J12</f>
        <v>JINKO MONO - TIGER PRO</v>
      </c>
      <c r="M12" s="354"/>
      <c r="N12" s="2"/>
      <c r="O12" s="256"/>
    </row>
    <row r="13" spans="1:15" ht="15.75" customHeight="1" x14ac:dyDescent="0.25">
      <c r="A13" s="256"/>
      <c r="B13" s="256"/>
      <c r="C13" s="24" t="s">
        <v>21</v>
      </c>
      <c r="D13" s="372">
        <v>440</v>
      </c>
      <c r="E13" s="338"/>
      <c r="F13" s="375">
        <f t="shared" si="0"/>
        <v>440</v>
      </c>
      <c r="G13" s="338"/>
      <c r="H13" s="376">
        <f>+D13</f>
        <v>440</v>
      </c>
      <c r="I13" s="338"/>
      <c r="J13" s="352">
        <f>+D13</f>
        <v>440</v>
      </c>
      <c r="K13" s="338"/>
      <c r="L13" s="364">
        <f>+D13</f>
        <v>440</v>
      </c>
      <c r="M13" s="354"/>
      <c r="N13" s="2"/>
      <c r="O13" s="256"/>
    </row>
    <row r="14" spans="1:15" ht="15.75" customHeight="1" x14ac:dyDescent="0.25">
      <c r="A14" s="256"/>
      <c r="B14" s="256"/>
      <c r="C14" s="25" t="s">
        <v>219</v>
      </c>
      <c r="D14" s="26" t="e">
        <f>+IF(D11="","",VLOOKUP(D11,'ABB-JINKO 440Wp'!$E$6:$G$69,3,0))</f>
        <v>#DIV/0!</v>
      </c>
      <c r="E14" s="27">
        <v>1</v>
      </c>
      <c r="F14" s="28" t="str">
        <f>+IF(F11="","",VLOOKUP(F11,'ABB-JINKO 440Wp'!$E$6:$G$69,3,0))</f>
        <v/>
      </c>
      <c r="G14" s="29">
        <v>1</v>
      </c>
      <c r="H14" s="30" t="str">
        <f>+IF(H11="","",VLOOKUP(H11,'ABB-JINKO 440Wp'!$E$6:$G$69,3,0))</f>
        <v/>
      </c>
      <c r="I14" s="31">
        <v>1</v>
      </c>
      <c r="J14" s="32" t="str">
        <f>+IF(J11="","",VLOOKUP(J11,'ABB-JINKO 440Wp'!$E$6:$G$69,3,0))</f>
        <v/>
      </c>
      <c r="K14" s="33">
        <v>1</v>
      </c>
      <c r="L14" s="34" t="str">
        <f>+IF(L11="","",VLOOKUP(L11,'ABB-JINKO 440Wp'!$E$6:$G$69,3,0))</f>
        <v/>
      </c>
      <c r="M14" s="35">
        <v>1</v>
      </c>
      <c r="N14" s="2"/>
      <c r="O14" s="256"/>
    </row>
    <row r="15" spans="1:15" ht="15.75" hidden="1" customHeight="1" x14ac:dyDescent="0.25">
      <c r="A15" s="256"/>
      <c r="B15" s="256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256"/>
    </row>
    <row r="16" spans="1:15" ht="15.75" customHeight="1" x14ac:dyDescent="0.25">
      <c r="A16" s="256"/>
      <c r="B16" s="256"/>
      <c r="C16" s="24" t="s">
        <v>25</v>
      </c>
      <c r="D16" s="373" t="e">
        <f>+D11*1.94236</f>
        <v>#DIV/0!</v>
      </c>
      <c r="E16" s="338"/>
      <c r="F16" s="355">
        <f>+F11*1.94236</f>
        <v>0</v>
      </c>
      <c r="G16" s="338"/>
      <c r="H16" s="356">
        <f>+H11*1.94236</f>
        <v>0</v>
      </c>
      <c r="I16" s="338"/>
      <c r="J16" s="365">
        <f>+J11*1.94236</f>
        <v>0</v>
      </c>
      <c r="K16" s="338"/>
      <c r="L16" s="366">
        <f>+L11*1.94236</f>
        <v>0</v>
      </c>
      <c r="M16" s="354"/>
      <c r="N16" s="2"/>
      <c r="O16" s="256"/>
    </row>
    <row r="17" spans="1:15" ht="15.75" customHeight="1" x14ac:dyDescent="0.25">
      <c r="A17" s="256"/>
      <c r="B17" s="256"/>
      <c r="C17" s="48" t="s">
        <v>26</v>
      </c>
      <c r="D17" s="371" t="e">
        <f>+D11*D13*$D$45/1000</f>
        <v>#DIV/0!</v>
      </c>
      <c r="E17" s="349"/>
      <c r="F17" s="357">
        <f>+F11*F13*$D$45/1000</f>
        <v>0</v>
      </c>
      <c r="G17" s="349"/>
      <c r="H17" s="358">
        <f>+H11*H13*$D$45/1000</f>
        <v>0</v>
      </c>
      <c r="I17" s="349"/>
      <c r="J17" s="359">
        <f>+J11*J13*$D$45/1000</f>
        <v>0</v>
      </c>
      <c r="K17" s="360"/>
      <c r="L17" s="361">
        <f>+L11*L13*$D$45/1000</f>
        <v>0</v>
      </c>
      <c r="M17" s="362"/>
      <c r="N17" s="2"/>
      <c r="O17" s="256"/>
    </row>
    <row r="18" spans="1:15" ht="15.75" customHeight="1" x14ac:dyDescent="0.25">
      <c r="A18" s="256"/>
      <c r="B18" s="256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256"/>
    </row>
    <row r="19" spans="1:15" ht="15.75" customHeight="1" thickBot="1" x14ac:dyDescent="0.3">
      <c r="A19" s="256"/>
      <c r="B19" s="256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256"/>
    </row>
    <row r="20" spans="1:15" ht="18.75" customHeight="1" thickBot="1" x14ac:dyDescent="0.4">
      <c r="A20" s="256"/>
      <c r="B20" s="256"/>
      <c r="C20" s="51"/>
      <c r="D20" s="52"/>
      <c r="E20" s="53"/>
      <c r="F20" s="255"/>
      <c r="G20" s="2"/>
      <c r="H20" s="255"/>
      <c r="I20" s="2"/>
      <c r="J20" s="55"/>
      <c r="K20" s="256"/>
      <c r="L20" s="255"/>
      <c r="M20" s="2"/>
      <c r="N20" s="2"/>
      <c r="O20" s="256"/>
    </row>
    <row r="21" spans="1:15" ht="43.5" hidden="1" customHeight="1" thickBot="1" x14ac:dyDescent="0.3">
      <c r="A21" s="256"/>
      <c r="B21" s="256"/>
      <c r="C21" s="188" t="s">
        <v>220</v>
      </c>
      <c r="D21" s="452" t="e">
        <f>+IF(D11="","",VLOOKUP(D11,'ABB-JINKO 440Wp'!$E$6:$F$69,2,0))</f>
        <v>#DIV/0!</v>
      </c>
      <c r="E21" s="398"/>
      <c r="F21" s="397" t="str">
        <f>+IF(F11="","",VLOOKUP(F11,'ABB-JINKO 440Wp'!$E$6:$F$69,2,0))</f>
        <v/>
      </c>
      <c r="G21" s="398"/>
      <c r="H21" s="399" t="str">
        <f>+IF(H11="","",VLOOKUP(H11,'ABB-JINKO 440Wp'!$E$6:$F$69,2,0))</f>
        <v/>
      </c>
      <c r="I21" s="398"/>
      <c r="J21" s="400" t="str">
        <f>+IF(J11="","",VLOOKUP(J11,'ABB-JINKO 440Wp'!$E$6:$F$69,2,0))</f>
        <v/>
      </c>
      <c r="K21" s="398"/>
      <c r="L21" s="401" t="str">
        <f>+IF(L11="","",VLOOKUP(L11,'ABB-JINKO 440Wp'!$E$6:$F$69,2,0))</f>
        <v/>
      </c>
      <c r="M21" s="381"/>
      <c r="N21" s="2"/>
      <c r="O21" s="256"/>
    </row>
    <row r="22" spans="1:15" ht="43.5" customHeight="1" thickBot="1" x14ac:dyDescent="0.3">
      <c r="A22" s="256"/>
      <c r="B22" s="256"/>
      <c r="C22" s="189" t="s">
        <v>29</v>
      </c>
      <c r="D22" s="452" t="e">
        <f>ROUND(D21+(D21*$H$44),0)</f>
        <v>#DIV/0!</v>
      </c>
      <c r="E22" s="398"/>
      <c r="F22" s="397" t="e">
        <f>ROUND(F21+(F21*$H$44),0)</f>
        <v>#VALUE!</v>
      </c>
      <c r="G22" s="398"/>
      <c r="H22" s="399" t="e">
        <f>ROUND(H21+(H21*$H$44),0)</f>
        <v>#VALUE!</v>
      </c>
      <c r="I22" s="398"/>
      <c r="J22" s="400" t="e">
        <f>ROUND(J21+(J21*$H$44),0)</f>
        <v>#VALUE!</v>
      </c>
      <c r="K22" s="398"/>
      <c r="L22" s="401" t="e">
        <f>ROUND(L21+(L21*$H$44),0)</f>
        <v>#VALUE!</v>
      </c>
      <c r="M22" s="381"/>
      <c r="N22" s="2"/>
      <c r="O22" s="256"/>
    </row>
    <row r="23" spans="1:15" ht="12.75" customHeight="1" x14ac:dyDescent="0.35">
      <c r="A23" s="256"/>
      <c r="B23" s="256"/>
      <c r="C23" s="51"/>
      <c r="D23" s="56"/>
      <c r="E23" s="57"/>
      <c r="F23" s="56"/>
      <c r="G23" s="57"/>
      <c r="H23" s="56"/>
      <c r="I23" s="57"/>
      <c r="J23" s="255"/>
      <c r="K23" s="58"/>
      <c r="L23" s="255"/>
      <c r="M23" s="58"/>
      <c r="N23" s="2"/>
      <c r="O23" s="256"/>
    </row>
    <row r="24" spans="1:15" ht="15.75" customHeight="1" thickBot="1" x14ac:dyDescent="0.4">
      <c r="A24" s="256"/>
      <c r="B24" s="256"/>
      <c r="C24" s="444" t="s">
        <v>30</v>
      </c>
      <c r="D24" s="347"/>
      <c r="E24" s="347"/>
      <c r="F24" s="347"/>
      <c r="G24" s="347"/>
      <c r="H24" s="347"/>
      <c r="I24" s="57"/>
      <c r="J24" s="255"/>
      <c r="K24" s="58"/>
      <c r="L24" s="255"/>
      <c r="M24" s="58"/>
      <c r="N24" s="2"/>
      <c r="O24" s="256"/>
    </row>
    <row r="25" spans="1:15" ht="15" customHeight="1" x14ac:dyDescent="0.25">
      <c r="A25" s="256"/>
      <c r="B25" s="256"/>
      <c r="C25" s="59" t="s">
        <v>31</v>
      </c>
      <c r="D25" s="389" t="e">
        <f>+$D$42*D22</f>
        <v>#DIV/0!</v>
      </c>
      <c r="E25" s="338"/>
      <c r="F25" s="404" t="e">
        <f t="shared" ref="F25" si="1">+$D$42*F22</f>
        <v>#VALUE!</v>
      </c>
      <c r="G25" s="403"/>
      <c r="H25" s="405" t="e">
        <f t="shared" ref="H25" si="2">+$D$42*H22</f>
        <v>#VALUE!</v>
      </c>
      <c r="I25" s="403"/>
      <c r="J25" s="406" t="e">
        <f t="shared" ref="J25" si="3">+$D$42*J22</f>
        <v>#VALUE!</v>
      </c>
      <c r="K25" s="403"/>
      <c r="L25" s="407" t="e">
        <f t="shared" ref="L25" si="4">+$D$42*L22</f>
        <v>#VALUE!</v>
      </c>
      <c r="M25" s="408"/>
      <c r="N25" s="60" t="s">
        <v>32</v>
      </c>
      <c r="O25" s="256"/>
    </row>
    <row r="26" spans="1:15" ht="15" hidden="1" customHeight="1" x14ac:dyDescent="0.25">
      <c r="A26" s="256"/>
      <c r="B26" s="256"/>
      <c r="C26" s="61"/>
      <c r="D26" s="389" t="e">
        <f>+D22-D25</f>
        <v>#DIV/0!</v>
      </c>
      <c r="E26" s="338"/>
      <c r="F26" s="388" t="e">
        <f t="shared" ref="F26" si="5">+F22-F25</f>
        <v>#VALUE!</v>
      </c>
      <c r="G26" s="338"/>
      <c r="H26" s="385" t="e">
        <f t="shared" ref="H26" si="6">+H22-H25</f>
        <v>#VALUE!</v>
      </c>
      <c r="I26" s="338"/>
      <c r="J26" s="386" t="e">
        <f t="shared" ref="J26" si="7">+J22-J25</f>
        <v>#VALUE!</v>
      </c>
      <c r="K26" s="338"/>
      <c r="L26" s="387" t="e">
        <f t="shared" ref="L26" si="8">+L22-L25</f>
        <v>#VALUE!</v>
      </c>
      <c r="M26" s="354"/>
      <c r="N26" s="62"/>
      <c r="O26" s="256"/>
    </row>
    <row r="27" spans="1:15" ht="15" customHeight="1" x14ac:dyDescent="0.25">
      <c r="A27" s="256"/>
      <c r="B27" s="256"/>
      <c r="C27" s="216">
        <f>+'Preço SFCR-FRONIUS-BYD'!C27</f>
        <v>12</v>
      </c>
      <c r="D27" s="389" t="e">
        <f>+PMT(N27,C27,-$D$26)</f>
        <v>#DIV/0!</v>
      </c>
      <c r="E27" s="338"/>
      <c r="F27" s="388" t="e">
        <f>+PMT(N27,C27,-$F$26)</f>
        <v>#VALUE!</v>
      </c>
      <c r="G27" s="338"/>
      <c r="H27" s="385" t="e">
        <f>+PMT(N27,C27,-$H$26)</f>
        <v>#VALUE!</v>
      </c>
      <c r="I27" s="338"/>
      <c r="J27" s="386" t="e">
        <f>+PMT(N27,C27,-$J$26)</f>
        <v>#VALUE!</v>
      </c>
      <c r="K27" s="338"/>
      <c r="L27" s="387" t="e">
        <f>+PMT(N27,C27,-$L$26)</f>
        <v>#VALUE!</v>
      </c>
      <c r="M27" s="354"/>
      <c r="N27" s="90">
        <f>+'Preço SFCR-FRONIUS-BYD'!N27</f>
        <v>1.6799999999999999E-2</v>
      </c>
      <c r="O27" s="256">
        <f>+'Preço SFCR-FRONIUS-BYD'!O27</f>
        <v>0</v>
      </c>
    </row>
    <row r="28" spans="1:15" ht="15" customHeight="1" x14ac:dyDescent="0.25">
      <c r="A28" s="256"/>
      <c r="B28" s="256"/>
      <c r="C28" s="218">
        <f>+'Preço SFCR-FRONIUS-BYD'!C28</f>
        <v>24</v>
      </c>
      <c r="D28" s="389" t="e">
        <f t="shared" ref="D28:D31" si="9">+PMT(N28,C28,-$D$26)</f>
        <v>#DIV/0!</v>
      </c>
      <c r="E28" s="338"/>
      <c r="F28" s="388" t="e">
        <f t="shared" ref="F28:F31" si="10">+PMT(N28,C28,-$F$26)</f>
        <v>#VALUE!</v>
      </c>
      <c r="G28" s="338"/>
      <c r="H28" s="385" t="e">
        <f t="shared" ref="H28:H31" si="11">+PMT(N28,C28,-$H$26)</f>
        <v>#VALUE!</v>
      </c>
      <c r="I28" s="338"/>
      <c r="J28" s="386" t="e">
        <f t="shared" ref="J28:J31" si="12">+PMT(N28,C28,-$J$26)</f>
        <v>#VALUE!</v>
      </c>
      <c r="K28" s="338"/>
      <c r="L28" s="387" t="e">
        <f t="shared" ref="L28:L31" si="13">+PMT(N28,C28,-$L$26)</f>
        <v>#VALUE!</v>
      </c>
      <c r="M28" s="354"/>
      <c r="N28" s="90">
        <f>+'Preço SFCR-FRONIUS-BYD'!N28</f>
        <v>1.55E-2</v>
      </c>
      <c r="O28" s="256">
        <f>+'Preço SFCR-FRONIUS-BYD'!O28</f>
        <v>0</v>
      </c>
    </row>
    <row r="29" spans="1:15" ht="15" customHeight="1" x14ac:dyDescent="0.25">
      <c r="A29" s="256"/>
      <c r="B29" s="256"/>
      <c r="C29" s="216">
        <f>+'Preço SFCR-FRONIUS-BYD'!C29</f>
        <v>36</v>
      </c>
      <c r="D29" s="389" t="e">
        <f t="shared" si="9"/>
        <v>#DIV/0!</v>
      </c>
      <c r="E29" s="338"/>
      <c r="F29" s="388" t="e">
        <f t="shared" si="10"/>
        <v>#VALUE!</v>
      </c>
      <c r="G29" s="338"/>
      <c r="H29" s="385" t="e">
        <f t="shared" si="11"/>
        <v>#VALUE!</v>
      </c>
      <c r="I29" s="338"/>
      <c r="J29" s="386" t="e">
        <f t="shared" si="12"/>
        <v>#VALUE!</v>
      </c>
      <c r="K29" s="338"/>
      <c r="L29" s="387" t="e">
        <f t="shared" si="13"/>
        <v>#VALUE!</v>
      </c>
      <c r="M29" s="354"/>
      <c r="N29" s="90">
        <f>+'Preço SFCR-FRONIUS-BYD'!N29</f>
        <v>1.5800000000000002E-2</v>
      </c>
      <c r="O29" s="256">
        <f>+'Preço SFCR-FRONIUS-BYD'!O29</f>
        <v>0</v>
      </c>
    </row>
    <row r="30" spans="1:15" ht="15" customHeight="1" x14ac:dyDescent="0.25">
      <c r="A30" s="256"/>
      <c r="B30" s="256"/>
      <c r="C30" s="218">
        <f>+'Preço SFCR-FRONIUS-BYD'!C30</f>
        <v>48</v>
      </c>
      <c r="D30" s="389" t="e">
        <f t="shared" si="9"/>
        <v>#DIV/0!</v>
      </c>
      <c r="E30" s="338"/>
      <c r="F30" s="388" t="e">
        <f t="shared" si="10"/>
        <v>#VALUE!</v>
      </c>
      <c r="G30" s="338"/>
      <c r="H30" s="385" t="e">
        <f t="shared" si="11"/>
        <v>#VALUE!</v>
      </c>
      <c r="I30" s="338"/>
      <c r="J30" s="386" t="e">
        <f t="shared" si="12"/>
        <v>#VALUE!</v>
      </c>
      <c r="K30" s="338"/>
      <c r="L30" s="387" t="e">
        <f t="shared" si="13"/>
        <v>#VALUE!</v>
      </c>
      <c r="M30" s="354"/>
      <c r="N30" s="90">
        <f>+'Preço SFCR-FRONIUS-BYD'!N30</f>
        <v>1.61E-2</v>
      </c>
      <c r="O30" s="256">
        <f>+'Preço SFCR-FRONIUS-BYD'!O30</f>
        <v>0</v>
      </c>
    </row>
    <row r="31" spans="1:15" ht="15" customHeight="1" thickBot="1" x14ac:dyDescent="0.3">
      <c r="A31" s="256"/>
      <c r="B31" s="256"/>
      <c r="C31" s="219">
        <f>+'Preço SFCR-FRONIUS-BYD'!C31</f>
        <v>60</v>
      </c>
      <c r="D31" s="418" t="e">
        <f t="shared" si="9"/>
        <v>#DIV/0!</v>
      </c>
      <c r="E31" s="391"/>
      <c r="F31" s="421" t="e">
        <f t="shared" si="10"/>
        <v>#VALUE!</v>
      </c>
      <c r="G31" s="391"/>
      <c r="H31" s="414" t="e">
        <f t="shared" si="11"/>
        <v>#VALUE!</v>
      </c>
      <c r="I31" s="391"/>
      <c r="J31" s="415" t="e">
        <f t="shared" si="12"/>
        <v>#VALUE!</v>
      </c>
      <c r="K31" s="391"/>
      <c r="L31" s="419" t="e">
        <f t="shared" si="13"/>
        <v>#VALUE!</v>
      </c>
      <c r="M31" s="420"/>
      <c r="N31" s="90">
        <f>+'Preço SFCR-FRONIUS-BYD'!N31</f>
        <v>1.6400000000000001E-2</v>
      </c>
      <c r="O31" s="256">
        <f>+'Preço SFCR-FRONIUS-BYD'!O31</f>
        <v>0</v>
      </c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256"/>
    </row>
    <row r="33" spans="1:15" ht="14.25" customHeight="1" x14ac:dyDescent="0.25">
      <c r="A33" s="65"/>
      <c r="B33" s="65"/>
      <c r="C33" s="65" t="str">
        <f>+'Preço SFCR-FRONIUS-BYD'!C33</f>
        <v>Observação: Proposta apenas orientativa, caso tenha interesse formalizamos uma proposta.</v>
      </c>
      <c r="D33" s="65"/>
      <c r="E33" s="65"/>
      <c r="F33" s="65"/>
      <c r="G33" s="65"/>
      <c r="H33" s="255"/>
      <c r="I33" s="255"/>
      <c r="J33" s="65"/>
      <c r="K33" s="65"/>
      <c r="L33" s="65"/>
      <c r="M33" s="65"/>
      <c r="N33" s="65"/>
      <c r="O33" s="256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255"/>
      <c r="I34" s="255"/>
      <c r="J34" s="65"/>
      <c r="K34" s="65"/>
      <c r="L34" s="65"/>
      <c r="M34" s="65"/>
      <c r="N34" s="65"/>
      <c r="O34" s="256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256"/>
    </row>
    <row r="36" spans="1:15" ht="14.25" customHeight="1" x14ac:dyDescent="0.25">
      <c r="A36" s="256"/>
      <c r="B36" s="256"/>
      <c r="C36" s="73" t="s">
        <v>34</v>
      </c>
      <c r="D36" s="416" t="e">
        <f>+D22/(D10*1000)</f>
        <v>#DIV/0!</v>
      </c>
      <c r="E36" s="417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256"/>
    </row>
    <row r="37" spans="1:15" ht="14.25" customHeight="1" x14ac:dyDescent="0.25">
      <c r="A37" s="256"/>
      <c r="B37" s="256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256"/>
    </row>
    <row r="38" spans="1:15" ht="14.25" customHeight="1" x14ac:dyDescent="0.25">
      <c r="A38" s="256"/>
      <c r="B38" s="256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256"/>
    </row>
    <row r="39" spans="1:15" ht="14.25" customHeight="1" x14ac:dyDescent="0.25">
      <c r="A39" s="256"/>
      <c r="B39" s="256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256"/>
      <c r="O39" s="256"/>
    </row>
    <row r="40" spans="1:15" ht="14.25" customHeight="1" x14ac:dyDescent="0.25">
      <c r="A40" s="256"/>
      <c r="B40" s="256"/>
      <c r="C40" s="256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</row>
    <row r="41" spans="1:15" ht="14.25" customHeight="1" x14ac:dyDescent="0.25">
      <c r="A41" s="256"/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</row>
    <row r="42" spans="1:15" ht="14.25" customHeight="1" x14ac:dyDescent="0.25">
      <c r="A42" s="256"/>
      <c r="B42" s="256"/>
      <c r="C42" s="77" t="s">
        <v>38</v>
      </c>
      <c r="D42" s="91">
        <f>+'Preço SFCR-FRONIUS-BYD'!D42</f>
        <v>0</v>
      </c>
      <c r="E42" s="92"/>
      <c r="F42" s="93"/>
      <c r="G42" s="93"/>
      <c r="H42" s="2"/>
      <c r="I42" s="256"/>
      <c r="J42" s="256"/>
      <c r="K42" s="256"/>
      <c r="L42" s="256"/>
      <c r="M42" s="256"/>
      <c r="N42" s="256"/>
      <c r="O42" s="256"/>
    </row>
    <row r="43" spans="1:15" ht="14.25" customHeight="1" x14ac:dyDescent="0.25">
      <c r="A43" s="256"/>
      <c r="B43" s="256"/>
      <c r="C43" s="80" t="s">
        <v>39</v>
      </c>
      <c r="D43" s="81" t="e">
        <f>+'Preço SFCR-FRONIUS-BYD'!D43</f>
        <v>#DIV/0!</v>
      </c>
      <c r="E43" s="94"/>
      <c r="F43" s="95" t="s">
        <v>40</v>
      </c>
      <c r="G43" s="96" t="e">
        <f>+D43/D45</f>
        <v>#DIV/0!</v>
      </c>
      <c r="H43" s="2"/>
      <c r="I43" s="256"/>
      <c r="J43" s="256"/>
      <c r="K43" s="256"/>
      <c r="L43" s="256"/>
      <c r="M43" s="256"/>
      <c r="N43" s="256"/>
      <c r="O43" s="256"/>
    </row>
    <row r="44" spans="1:15" ht="14.25" customHeight="1" x14ac:dyDescent="0.25">
      <c r="A44" s="256"/>
      <c r="B44" s="256"/>
      <c r="C44" s="84" t="s">
        <v>41</v>
      </c>
      <c r="D44" s="97">
        <f>+'Preço SFCR-FRONIUS-BYD'!D44</f>
        <v>0.85</v>
      </c>
      <c r="E44" s="77"/>
      <c r="F44" s="505" t="s">
        <v>42</v>
      </c>
      <c r="G44" s="412"/>
      <c r="H44" s="98">
        <v>0.05</v>
      </c>
      <c r="I44" s="256"/>
      <c r="J44" s="256"/>
      <c r="K44" s="256"/>
      <c r="L44" s="256"/>
      <c r="M44" s="256"/>
      <c r="N44" s="256"/>
      <c r="O44" s="256"/>
    </row>
    <row r="45" spans="1:15" ht="14.25" customHeight="1" x14ac:dyDescent="0.25">
      <c r="A45" s="256"/>
      <c r="B45" s="256"/>
      <c r="C45" s="87" t="s">
        <v>43</v>
      </c>
      <c r="D45" s="97">
        <f>+'Preço SFCR-FRONIUS-BYD'!D45</f>
        <v>120</v>
      </c>
      <c r="E45" s="77"/>
      <c r="F45" s="2"/>
      <c r="G45" s="2"/>
      <c r="H45" s="2"/>
      <c r="I45" s="256"/>
      <c r="J45" s="256"/>
      <c r="K45" s="256"/>
      <c r="L45" s="256"/>
      <c r="M45" s="256"/>
      <c r="N45" s="256"/>
      <c r="O45" s="256"/>
    </row>
    <row r="46" spans="1:15" ht="14.25" customHeight="1" x14ac:dyDescent="0.25">
      <c r="A46" s="256"/>
      <c r="B46" s="256"/>
      <c r="C46" s="256"/>
      <c r="D46" s="2"/>
      <c r="E46" s="2"/>
      <c r="F46" s="2"/>
      <c r="G46" s="2"/>
      <c r="H46" s="2"/>
      <c r="I46" s="256"/>
      <c r="J46" s="256"/>
      <c r="K46" s="256"/>
      <c r="L46" s="256"/>
      <c r="M46" s="256"/>
      <c r="N46" s="256"/>
      <c r="O46" s="256"/>
    </row>
    <row r="47" spans="1:15" ht="14.25" customHeight="1" x14ac:dyDescent="0.25">
      <c r="A47" s="256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</row>
    <row r="48" spans="1:15" ht="14.25" customHeight="1" x14ac:dyDescent="0.25">
      <c r="A48" s="256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</row>
    <row r="49" spans="1:15" ht="14.25" customHeight="1" x14ac:dyDescent="0.25">
      <c r="A49" s="256"/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</row>
    <row r="50" spans="1:15" ht="14.25" customHeight="1" x14ac:dyDescent="0.25">
      <c r="A50" s="256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</row>
    <row r="51" spans="1:15" ht="14.25" customHeight="1" x14ac:dyDescent="0.25">
      <c r="A51" s="256"/>
      <c r="B51" s="256"/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</row>
    <row r="52" spans="1:15" ht="14.25" customHeight="1" x14ac:dyDescent="0.25">
      <c r="A52" s="256"/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</row>
    <row r="53" spans="1:15" ht="14.25" customHeight="1" x14ac:dyDescent="0.25">
      <c r="A53" s="25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</row>
    <row r="54" spans="1:15" ht="14.25" customHeight="1" x14ac:dyDescent="0.25">
      <c r="A54" s="256"/>
      <c r="B54" s="256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</row>
    <row r="55" spans="1:15" ht="14.25" customHeight="1" x14ac:dyDescent="0.25">
      <c r="A55" s="256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</row>
    <row r="56" spans="1:15" ht="14.25" customHeight="1" x14ac:dyDescent="0.25">
      <c r="A56" s="256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</row>
    <row r="57" spans="1:15" ht="14.25" customHeight="1" x14ac:dyDescent="0.25">
      <c r="A57" s="256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</row>
    <row r="58" spans="1:15" ht="14.25" customHeight="1" x14ac:dyDescent="0.25">
      <c r="A58" s="256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</row>
    <row r="59" spans="1:15" ht="14.25" customHeight="1" x14ac:dyDescent="0.25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</row>
    <row r="60" spans="1:15" ht="14.25" customHeight="1" x14ac:dyDescent="0.25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</row>
    <row r="61" spans="1:15" ht="14.25" customHeight="1" x14ac:dyDescent="0.25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</row>
    <row r="62" spans="1:15" ht="14.25" customHeight="1" x14ac:dyDescent="0.25">
      <c r="A62" s="256"/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</row>
    <row r="63" spans="1:15" ht="14.25" customHeight="1" x14ac:dyDescent="0.25">
      <c r="A63" s="256"/>
      <c r="B63" s="256"/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</row>
    <row r="64" spans="1:15" ht="14.25" customHeight="1" x14ac:dyDescent="0.25">
      <c r="A64" s="256"/>
      <c r="B64" s="256"/>
      <c r="C64" s="256"/>
      <c r="D64" s="256"/>
      <c r="E64" s="256"/>
      <c r="F64" s="256"/>
      <c r="G64" s="256"/>
      <c r="H64" s="256"/>
      <c r="I64" s="256"/>
      <c r="J64" s="256"/>
      <c r="K64" s="256"/>
      <c r="L64" s="256"/>
      <c r="M64" s="256"/>
      <c r="N64" s="256"/>
      <c r="O64" s="256"/>
    </row>
    <row r="65" spans="1:15" ht="14.25" customHeight="1" x14ac:dyDescent="0.25">
      <c r="A65" s="256"/>
      <c r="B65" s="256"/>
      <c r="C65" s="256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</row>
    <row r="66" spans="1:15" ht="14.25" customHeight="1" x14ac:dyDescent="0.25">
      <c r="A66" s="256"/>
      <c r="B66" s="256"/>
      <c r="C66" s="256"/>
      <c r="D66" s="256"/>
      <c r="E66" s="256"/>
      <c r="F66" s="256"/>
      <c r="G66" s="256"/>
      <c r="H66" s="256"/>
      <c r="I66" s="256"/>
      <c r="J66" s="256"/>
      <c r="K66" s="256"/>
      <c r="L66" s="256"/>
      <c r="M66" s="256"/>
      <c r="N66" s="256"/>
      <c r="O66" s="256"/>
    </row>
    <row r="67" spans="1:15" ht="14.25" customHeight="1" x14ac:dyDescent="0.25">
      <c r="A67" s="256"/>
      <c r="B67" s="256"/>
      <c r="C67" s="256"/>
      <c r="D67" s="256"/>
      <c r="E67" s="256"/>
      <c r="F67" s="256"/>
      <c r="G67" s="256"/>
      <c r="H67" s="256"/>
      <c r="I67" s="256"/>
      <c r="J67" s="256"/>
      <c r="K67" s="256"/>
      <c r="L67" s="256"/>
      <c r="M67" s="256"/>
      <c r="N67" s="256"/>
      <c r="O67" s="256"/>
    </row>
    <row r="68" spans="1:15" ht="14.25" customHeight="1" x14ac:dyDescent="0.25">
      <c r="A68" s="256"/>
      <c r="B68" s="256"/>
      <c r="C68" s="256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O68" s="256"/>
    </row>
    <row r="69" spans="1:15" ht="14.25" customHeight="1" x14ac:dyDescent="0.25">
      <c r="A69" s="256"/>
      <c r="B69" s="256"/>
      <c r="C69" s="256"/>
      <c r="D69" s="256"/>
      <c r="E69" s="256"/>
      <c r="F69" s="256"/>
      <c r="G69" s="256"/>
      <c r="H69" s="256"/>
      <c r="I69" s="256"/>
      <c r="J69" s="256"/>
      <c r="K69" s="256"/>
      <c r="L69" s="256"/>
      <c r="M69" s="256"/>
      <c r="N69" s="256"/>
      <c r="O69" s="256"/>
    </row>
    <row r="70" spans="1:15" ht="14.25" customHeight="1" x14ac:dyDescent="0.25">
      <c r="A70" s="256"/>
      <c r="B70" s="256"/>
      <c r="C70" s="256"/>
      <c r="D70" s="256"/>
      <c r="E70" s="256"/>
      <c r="F70" s="256"/>
      <c r="G70" s="256"/>
      <c r="H70" s="256"/>
      <c r="I70" s="256"/>
      <c r="J70" s="256"/>
      <c r="K70" s="256"/>
      <c r="L70" s="256"/>
      <c r="M70" s="256"/>
      <c r="N70" s="256"/>
      <c r="O70" s="256"/>
    </row>
    <row r="71" spans="1:15" ht="14.25" customHeight="1" x14ac:dyDescent="0.25">
      <c r="A71" s="256"/>
      <c r="B71" s="256"/>
      <c r="C71" s="256"/>
      <c r="D71" s="256"/>
      <c r="E71" s="256"/>
      <c r="F71" s="256"/>
      <c r="G71" s="256"/>
      <c r="H71" s="256"/>
      <c r="I71" s="256"/>
      <c r="J71" s="256"/>
      <c r="K71" s="256"/>
      <c r="L71" s="256"/>
      <c r="M71" s="256"/>
      <c r="N71" s="256"/>
      <c r="O71" s="256"/>
    </row>
    <row r="72" spans="1:15" ht="14.25" customHeight="1" x14ac:dyDescent="0.25">
      <c r="A72" s="256"/>
      <c r="B72" s="256"/>
      <c r="C72" s="256"/>
      <c r="D72" s="256"/>
      <c r="E72" s="256"/>
      <c r="F72" s="256"/>
      <c r="G72" s="256"/>
      <c r="H72" s="256"/>
      <c r="I72" s="256"/>
      <c r="J72" s="256"/>
      <c r="K72" s="256"/>
      <c r="L72" s="256"/>
      <c r="M72" s="256"/>
      <c r="N72" s="256"/>
      <c r="O72" s="256"/>
    </row>
    <row r="73" spans="1:15" ht="14.25" customHeight="1" x14ac:dyDescent="0.25">
      <c r="A73" s="256"/>
      <c r="B73" s="256"/>
      <c r="C73" s="256"/>
      <c r="D73" s="256"/>
      <c r="E73" s="256"/>
      <c r="F73" s="256"/>
      <c r="G73" s="256"/>
      <c r="H73" s="256"/>
      <c r="I73" s="256"/>
      <c r="J73" s="256"/>
      <c r="K73" s="256"/>
      <c r="L73" s="256"/>
      <c r="M73" s="256"/>
      <c r="N73" s="256"/>
      <c r="O73" s="256"/>
    </row>
    <row r="74" spans="1:15" ht="14.25" customHeight="1" x14ac:dyDescent="0.25">
      <c r="A74" s="256"/>
      <c r="B74" s="256"/>
      <c r="C74" s="256"/>
      <c r="D74" s="256"/>
      <c r="E74" s="256"/>
      <c r="F74" s="256"/>
      <c r="G74" s="256"/>
      <c r="H74" s="256"/>
      <c r="I74" s="256"/>
      <c r="J74" s="256"/>
      <c r="K74" s="256"/>
      <c r="L74" s="256"/>
      <c r="M74" s="256"/>
      <c r="N74" s="256"/>
      <c r="O74" s="256"/>
    </row>
    <row r="75" spans="1:15" ht="14.25" customHeight="1" x14ac:dyDescent="0.25">
      <c r="A75" s="256"/>
      <c r="B75" s="256"/>
      <c r="C75" s="256"/>
      <c r="D75" s="256"/>
      <c r="E75" s="256"/>
      <c r="F75" s="256"/>
      <c r="G75" s="256"/>
      <c r="H75" s="256"/>
      <c r="I75" s="256"/>
      <c r="J75" s="256"/>
      <c r="K75" s="256"/>
      <c r="L75" s="256"/>
      <c r="M75" s="256"/>
      <c r="N75" s="256"/>
      <c r="O75" s="256"/>
    </row>
    <row r="76" spans="1:15" ht="14.25" customHeight="1" x14ac:dyDescent="0.25">
      <c r="A76" s="256"/>
      <c r="B76" s="256"/>
      <c r="C76" s="256"/>
      <c r="D76" s="256"/>
      <c r="E76" s="256"/>
      <c r="F76" s="256"/>
      <c r="G76" s="256"/>
      <c r="H76" s="256"/>
      <c r="I76" s="256"/>
      <c r="J76" s="256"/>
      <c r="K76" s="256"/>
      <c r="L76" s="256"/>
      <c r="M76" s="256"/>
      <c r="N76" s="256"/>
      <c r="O76" s="256"/>
    </row>
    <row r="77" spans="1:15" ht="14.25" customHeight="1" x14ac:dyDescent="0.25">
      <c r="A77" s="256"/>
      <c r="B77" s="256"/>
      <c r="C77" s="256"/>
      <c r="D77" s="256"/>
      <c r="E77" s="256"/>
      <c r="F77" s="256"/>
      <c r="G77" s="256"/>
      <c r="H77" s="256"/>
      <c r="I77" s="256"/>
      <c r="J77" s="256"/>
      <c r="K77" s="256"/>
      <c r="L77" s="256"/>
      <c r="M77" s="256"/>
      <c r="N77" s="256"/>
      <c r="O77" s="256"/>
    </row>
    <row r="78" spans="1:15" ht="14.25" customHeight="1" x14ac:dyDescent="0.25">
      <c r="A78" s="256"/>
      <c r="B78" s="256"/>
      <c r="C78" s="256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</row>
    <row r="79" spans="1:15" ht="14.25" customHeight="1" x14ac:dyDescent="0.25">
      <c r="A79" s="256"/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</row>
    <row r="80" spans="1:15" ht="14.25" customHeight="1" x14ac:dyDescent="0.25">
      <c r="A80" s="256"/>
      <c r="B80" s="256"/>
      <c r="C80" s="256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</row>
    <row r="81" spans="1:15" ht="14.25" customHeight="1" x14ac:dyDescent="0.25">
      <c r="A81" s="256"/>
      <c r="B81" s="256"/>
      <c r="C81" s="256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</row>
    <row r="82" spans="1:15" ht="14.25" customHeight="1" x14ac:dyDescent="0.25">
      <c r="A82" s="256"/>
      <c r="B82" s="256"/>
      <c r="C82" s="256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</row>
    <row r="83" spans="1:15" ht="14.25" customHeight="1" x14ac:dyDescent="0.25">
      <c r="A83" s="256"/>
      <c r="B83" s="256"/>
      <c r="C83" s="256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</row>
    <row r="84" spans="1:15" ht="14.25" customHeight="1" x14ac:dyDescent="0.25">
      <c r="A84" s="256"/>
      <c r="B84" s="256"/>
      <c r="C84" s="256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</row>
    <row r="85" spans="1:15" ht="14.25" customHeight="1" x14ac:dyDescent="0.25">
      <c r="A85" s="256"/>
      <c r="B85" s="256"/>
      <c r="C85" s="256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</row>
    <row r="86" spans="1:15" ht="14.25" customHeight="1" x14ac:dyDescent="0.25">
      <c r="A86" s="256"/>
      <c r="B86" s="256"/>
      <c r="C86" s="256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</row>
    <row r="87" spans="1:15" ht="14.25" customHeight="1" x14ac:dyDescent="0.25">
      <c r="A87" s="256"/>
      <c r="B87" s="256"/>
      <c r="C87" s="256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</row>
    <row r="88" spans="1:15" ht="14.25" customHeight="1" x14ac:dyDescent="0.25">
      <c r="A88" s="256"/>
      <c r="B88" s="256"/>
      <c r="C88" s="256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</row>
    <row r="89" spans="1:15" ht="14.25" customHeight="1" x14ac:dyDescent="0.25">
      <c r="A89" s="256"/>
      <c r="B89" s="256"/>
      <c r="C89" s="256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</row>
    <row r="90" spans="1:15" ht="14.25" customHeight="1" x14ac:dyDescent="0.25">
      <c r="A90" s="256"/>
      <c r="B90" s="256"/>
      <c r="C90" s="256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</row>
    <row r="91" spans="1:15" ht="14.25" customHeight="1" x14ac:dyDescent="0.25">
      <c r="A91" s="256"/>
      <c r="B91" s="256"/>
      <c r="C91" s="256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</row>
    <row r="92" spans="1:15" ht="14.25" customHeight="1" x14ac:dyDescent="0.25">
      <c r="A92" s="256"/>
      <c r="B92" s="256"/>
      <c r="C92" s="256"/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</row>
    <row r="93" spans="1:15" ht="14.25" customHeight="1" x14ac:dyDescent="0.25">
      <c r="A93" s="256"/>
      <c r="B93" s="256"/>
      <c r="C93" s="256"/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</row>
    <row r="94" spans="1:15" ht="14.25" customHeight="1" x14ac:dyDescent="0.25">
      <c r="A94" s="256"/>
      <c r="B94" s="256"/>
      <c r="C94" s="256"/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</row>
    <row r="95" spans="1:15" ht="15.75" customHeight="1" x14ac:dyDescent="0.25">
      <c r="A95" s="256"/>
      <c r="B95" s="256"/>
      <c r="C95" s="256"/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</row>
    <row r="96" spans="1:15" ht="15.75" customHeight="1" x14ac:dyDescent="0.25">
      <c r="A96" s="256"/>
      <c r="B96" s="256"/>
      <c r="C96" s="256"/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</row>
    <row r="97" spans="1:15" ht="15.75" customHeight="1" x14ac:dyDescent="0.25">
      <c r="A97" s="256"/>
      <c r="B97" s="256"/>
      <c r="C97" s="256"/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</row>
    <row r="98" spans="1:15" ht="15.75" customHeight="1" x14ac:dyDescent="0.25">
      <c r="A98" s="256"/>
      <c r="B98" s="256"/>
      <c r="C98" s="256"/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</row>
    <row r="99" spans="1:15" ht="15.75" customHeight="1" x14ac:dyDescent="0.25">
      <c r="A99" s="256"/>
      <c r="B99" s="256"/>
      <c r="C99" s="256"/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</row>
    <row r="100" spans="1:15" ht="15.75" customHeight="1" x14ac:dyDescent="0.25">
      <c r="A100" s="256"/>
      <c r="B100" s="256"/>
      <c r="C100" s="256"/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</row>
    <row r="101" spans="1:15" ht="15.75" customHeight="1" x14ac:dyDescent="0.25">
      <c r="A101" s="256"/>
      <c r="B101" s="256"/>
      <c r="C101" s="256"/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</row>
  </sheetData>
  <mergeCells count="112">
    <mergeCell ref="C8:C9"/>
    <mergeCell ref="D8:I8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L11:M11"/>
    <mergeCell ref="D3:I4"/>
    <mergeCell ref="D5:I6"/>
    <mergeCell ref="D12:E12"/>
    <mergeCell ref="F12:G12"/>
    <mergeCell ref="H12:I12"/>
    <mergeCell ref="J12:K12"/>
    <mergeCell ref="L12:M12"/>
    <mergeCell ref="D13:E13"/>
    <mergeCell ref="F13:G13"/>
    <mergeCell ref="H13:I13"/>
    <mergeCell ref="J13:K13"/>
    <mergeCell ref="L13:M13"/>
    <mergeCell ref="D16:E16"/>
    <mergeCell ref="F16:G16"/>
    <mergeCell ref="H16:I16"/>
    <mergeCell ref="J16:K16"/>
    <mergeCell ref="L16:M16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9:E19"/>
    <mergeCell ref="F19:G19"/>
    <mergeCell ref="H19:I19"/>
    <mergeCell ref="J19:K19"/>
    <mergeCell ref="L19:M19"/>
    <mergeCell ref="C24:H24"/>
    <mergeCell ref="D25:E25"/>
    <mergeCell ref="F25:G25"/>
    <mergeCell ref="H25:I25"/>
    <mergeCell ref="J25:K25"/>
    <mergeCell ref="L25:M25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26:E26"/>
    <mergeCell ref="F26:G26"/>
    <mergeCell ref="H26:I26"/>
    <mergeCell ref="J26:K26"/>
    <mergeCell ref="L26:M26"/>
    <mergeCell ref="D27:E27"/>
    <mergeCell ref="F27:G27"/>
    <mergeCell ref="H27:I27"/>
    <mergeCell ref="J27:K27"/>
    <mergeCell ref="L27:M27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H32:I32"/>
    <mergeCell ref="D36:E36"/>
    <mergeCell ref="F36:G36"/>
    <mergeCell ref="H36:I36"/>
    <mergeCell ref="J36:K36"/>
    <mergeCell ref="L36:M36"/>
    <mergeCell ref="D30:E30"/>
    <mergeCell ref="F30:G30"/>
    <mergeCell ref="H30:I30"/>
    <mergeCell ref="J30:K30"/>
    <mergeCell ref="L30:M30"/>
    <mergeCell ref="D31:E31"/>
    <mergeCell ref="F31:G31"/>
    <mergeCell ref="H31:I31"/>
    <mergeCell ref="J31:K31"/>
    <mergeCell ref="L31:M31"/>
    <mergeCell ref="D39:E39"/>
    <mergeCell ref="F39:G39"/>
    <mergeCell ref="H39:I39"/>
    <mergeCell ref="J39:K39"/>
    <mergeCell ref="L39:M39"/>
    <mergeCell ref="F44:G44"/>
    <mergeCell ref="D37:E37"/>
    <mergeCell ref="F37:G37"/>
    <mergeCell ref="H37:I37"/>
    <mergeCell ref="J37:K37"/>
    <mergeCell ref="L37:M37"/>
    <mergeCell ref="D38:E38"/>
    <mergeCell ref="F38:G38"/>
    <mergeCell ref="H38:I38"/>
    <mergeCell ref="J38:K38"/>
    <mergeCell ref="L38:M38"/>
  </mergeCells>
  <dataValidations disablePrompts="1" count="2">
    <dataValidation type="list" allowBlank="1" showErrorMessage="1" sqref="D15" xr:uid="{ED5DC22B-542D-43BE-8CF0-85C0ABACE713}">
      <formula1>#REF!</formula1>
    </dataValidation>
    <dataValidation type="list" allowBlank="1" showErrorMessage="1" sqref="F15 L15 J15 H15" xr:uid="{1C8E41AA-62F5-44B5-8844-87A75EDCBF7F}">
      <formula1>$C$8:$C$26</formula1>
    </dataValidation>
  </dataValidations>
  <pageMargins left="0.51181102362204722" right="0.51181102362204722" top="0.78740157480314965" bottom="0.78740157480314965" header="0" footer="0"/>
  <pageSetup paperSize="9" scale="61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CAFE-98F8-446A-9BDD-B1F186530DC5}">
  <sheetPr>
    <pageSetUpPr fitToPage="1"/>
  </sheetPr>
  <dimension ref="A1:S109"/>
  <sheetViews>
    <sheetView topLeftCell="B1" zoomScale="85" zoomScaleNormal="85" workbookViewId="0">
      <pane ySplit="5" topLeftCell="A6" activePane="bottomLeft" state="frozen"/>
      <selection pane="bottomLeft" activeCell="D6" sqref="D6"/>
    </sheetView>
  </sheetViews>
  <sheetFormatPr defaultColWidth="14.42578125" defaultRowHeight="15" customHeight="1" x14ac:dyDescent="0.25"/>
  <cols>
    <col min="1" max="1" width="4" style="174" customWidth="1"/>
    <col min="2" max="2" width="12.85546875" style="174" customWidth="1"/>
    <col min="3" max="3" width="6.85546875" style="174" customWidth="1"/>
    <col min="4" max="4" width="6.85546875" style="253" customWidth="1"/>
    <col min="5" max="5" width="9" style="174" customWidth="1"/>
    <col min="6" max="6" width="14.42578125" style="174" customWidth="1"/>
    <col min="7" max="7" width="24" style="174" bestFit="1" customWidth="1"/>
    <col min="8" max="9" width="15.140625" style="174" customWidth="1"/>
    <col min="10" max="10" width="15" style="174" bestFit="1" customWidth="1"/>
    <col min="11" max="17" width="15.7109375" style="174" customWidth="1"/>
    <col min="18" max="18" width="15" style="174" customWidth="1"/>
    <col min="19" max="19" width="1.42578125" style="174" customWidth="1"/>
    <col min="20" max="16384" width="14.42578125" style="174"/>
  </cols>
  <sheetData>
    <row r="1" spans="1:19" ht="15.75" thickBot="1" x14ac:dyDescent="0.3">
      <c r="A1" s="175"/>
      <c r="B1" s="175"/>
      <c r="C1" s="175"/>
      <c r="D1" s="256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19" ht="18.75" customHeight="1" x14ac:dyDescent="0.25">
      <c r="A2" s="175"/>
      <c r="B2" s="340" t="s">
        <v>49</v>
      </c>
      <c r="C2" s="341"/>
      <c r="D2" s="342"/>
      <c r="E2" s="328" t="s">
        <v>50</v>
      </c>
      <c r="F2" s="329"/>
      <c r="G2" s="329"/>
      <c r="H2" s="329"/>
      <c r="I2" s="330"/>
      <c r="J2" s="329"/>
      <c r="K2" s="329"/>
      <c r="L2" s="329"/>
      <c r="M2" s="329"/>
      <c r="N2" s="329"/>
      <c r="O2" s="329"/>
      <c r="P2" s="329"/>
      <c r="Q2" s="329"/>
      <c r="R2" s="330"/>
      <c r="S2" s="175"/>
    </row>
    <row r="3" spans="1:19" ht="18.75" customHeight="1" thickBot="1" x14ac:dyDescent="0.3">
      <c r="A3" s="175"/>
      <c r="B3" s="343">
        <v>0.44</v>
      </c>
      <c r="C3" s="344"/>
      <c r="D3" s="345"/>
      <c r="E3" s="331" t="s">
        <v>51</v>
      </c>
      <c r="F3" s="332"/>
      <c r="G3" s="332"/>
      <c r="H3" s="332"/>
      <c r="I3" s="333"/>
      <c r="J3" s="332"/>
      <c r="K3" s="332"/>
      <c r="L3" s="332"/>
      <c r="M3" s="332"/>
      <c r="N3" s="332"/>
      <c r="O3" s="332"/>
      <c r="P3" s="332"/>
      <c r="Q3" s="332"/>
      <c r="R3" s="333"/>
      <c r="S3" s="101"/>
    </row>
    <row r="4" spans="1:19" ht="30" customHeight="1" x14ac:dyDescent="0.25">
      <c r="A4" s="175"/>
      <c r="B4" s="339" t="s">
        <v>52</v>
      </c>
      <c r="C4" s="326" t="s">
        <v>53</v>
      </c>
      <c r="D4" s="326" t="s">
        <v>225</v>
      </c>
      <c r="E4" s="326" t="s">
        <v>54</v>
      </c>
      <c r="F4" s="334" t="s">
        <v>55</v>
      </c>
      <c r="G4" s="326" t="s">
        <v>56</v>
      </c>
      <c r="H4" s="326" t="s">
        <v>57</v>
      </c>
      <c r="I4" s="225" t="s">
        <v>233</v>
      </c>
      <c r="J4" s="326" t="s">
        <v>58</v>
      </c>
      <c r="K4" s="326" t="s">
        <v>59</v>
      </c>
      <c r="L4" s="326" t="s">
        <v>60</v>
      </c>
      <c r="M4" s="326" t="s">
        <v>61</v>
      </c>
      <c r="N4" s="326" t="s">
        <v>62</v>
      </c>
      <c r="O4" s="326" t="s">
        <v>63</v>
      </c>
      <c r="P4" s="326" t="s">
        <v>64</v>
      </c>
      <c r="Q4" s="326" t="s">
        <v>65</v>
      </c>
      <c r="R4" s="326" t="s">
        <v>66</v>
      </c>
      <c r="S4" s="102"/>
    </row>
    <row r="5" spans="1:19" x14ac:dyDescent="0.25">
      <c r="A5" s="175"/>
      <c r="B5" s="327"/>
      <c r="C5" s="327"/>
      <c r="D5" s="336"/>
      <c r="E5" s="327"/>
      <c r="F5" s="335"/>
      <c r="G5" s="327"/>
      <c r="H5" s="327"/>
      <c r="I5" s="226">
        <v>1.4999999999999999E-2</v>
      </c>
      <c r="J5" s="327"/>
      <c r="K5" s="327"/>
      <c r="L5" s="335"/>
      <c r="M5" s="335"/>
      <c r="N5" s="335"/>
      <c r="O5" s="335"/>
      <c r="P5" s="327"/>
      <c r="Q5" s="327"/>
      <c r="R5" s="327"/>
      <c r="S5" s="102"/>
    </row>
    <row r="6" spans="1:19" x14ac:dyDescent="0.25">
      <c r="A6" s="175"/>
      <c r="B6" s="103" t="s">
        <v>85</v>
      </c>
      <c r="C6" s="104">
        <f t="shared" ref="C6" si="0">+E6*$B$3</f>
        <v>1.32</v>
      </c>
      <c r="D6" s="205" t="e">
        <f>ABS('Preço SFCR-ABB-JINKO 440Wp'!$G$43-C6)</f>
        <v>#DIV/0!</v>
      </c>
      <c r="E6" s="105">
        <f>+'FRONIUS-BYD 335Wp'!E6</f>
        <v>3</v>
      </c>
      <c r="F6" s="112" t="str">
        <f>+IF(K6=0,"",ROUND(M6/(1-'Tabela de BDI'!$C$3),0))</f>
        <v/>
      </c>
      <c r="G6" s="107"/>
      <c r="H6" s="106"/>
      <c r="I6" s="146"/>
      <c r="J6" s="150">
        <f>+I6/(1-$I$5)</f>
        <v>0</v>
      </c>
      <c r="K6" s="106">
        <f t="shared" ref="K6" si="1">+H6+J6</f>
        <v>0</v>
      </c>
      <c r="L6" s="106">
        <f>+'FRONIUS-BYD 335Wp'!L6</f>
        <v>2500</v>
      </c>
      <c r="M6" s="106">
        <f t="shared" ref="M6" si="2">+K6+L6</f>
        <v>2500</v>
      </c>
      <c r="N6" s="106" t="str">
        <f>+IF(F6="","",F6*'Tabela de BDI'!$C$7)</f>
        <v/>
      </c>
      <c r="O6" s="106" t="str">
        <f>IF(F6="","",F6*'Tabela de BDI'!$C$8)</f>
        <v/>
      </c>
      <c r="P6" s="109" t="str">
        <f t="shared" ref="P6" si="3">IF(F6="","",(F6-K6)/K6)</f>
        <v/>
      </c>
      <c r="Q6" s="110" t="str">
        <f t="shared" ref="Q6" si="4">IF(F6="","",(F6/C6)/1000)</f>
        <v/>
      </c>
      <c r="R6" s="111">
        <f>+'Tabela de BDI'!$F$9*C6</f>
        <v>158.4</v>
      </c>
      <c r="S6" s="102"/>
    </row>
    <row r="7" spans="1:19" x14ac:dyDescent="0.25">
      <c r="A7" s="175"/>
      <c r="B7" s="103" t="s">
        <v>85</v>
      </c>
      <c r="C7" s="104">
        <f t="shared" ref="C7:C62" si="5">+E7*$B$3</f>
        <v>1.76</v>
      </c>
      <c r="D7" s="205" t="e">
        <f>ABS('Preço SFCR-ABB-JINKO 440Wp'!$G$43-C7)</f>
        <v>#DIV/0!</v>
      </c>
      <c r="E7" s="105">
        <f>+'FRONIUS-BYD 335Wp'!E7</f>
        <v>4</v>
      </c>
      <c r="F7" s="112" t="str">
        <f>+IF(K7=0,"",ROUND(M7/(1-'Tabela de BDI'!$C$3),0))</f>
        <v/>
      </c>
      <c r="G7" s="107"/>
      <c r="H7" s="106"/>
      <c r="I7" s="146"/>
      <c r="J7" s="150">
        <f t="shared" ref="J7:J50" si="6">+I7/(1-$I$5)</f>
        <v>0</v>
      </c>
      <c r="K7" s="106">
        <f t="shared" ref="K7:K62" si="7">+H7+J7</f>
        <v>0</v>
      </c>
      <c r="L7" s="106">
        <f>+'FRONIUS-BYD 335Wp'!L7</f>
        <v>2625</v>
      </c>
      <c r="M7" s="106">
        <f t="shared" ref="M7:M62" si="8">+K7+L7</f>
        <v>2625</v>
      </c>
      <c r="N7" s="106" t="str">
        <f>+IF(F7="","",F7*'Tabela de BDI'!$C$7)</f>
        <v/>
      </c>
      <c r="O7" s="106" t="str">
        <f>IF(F7="","",F7*'Tabela de BDI'!$C$8)</f>
        <v/>
      </c>
      <c r="P7" s="109" t="str">
        <f t="shared" ref="P7:P62" si="9">IF(F7="","",(F7-K7)/K7)</f>
        <v/>
      </c>
      <c r="Q7" s="110" t="str">
        <f t="shared" ref="Q7:Q64" si="10">IF(F7="","",(F7/C7)/1000)</f>
        <v/>
      </c>
      <c r="R7" s="111">
        <f>+'Tabela de BDI'!$F$9*C7</f>
        <v>211.2</v>
      </c>
      <c r="S7" s="102"/>
    </row>
    <row r="8" spans="1:19" x14ac:dyDescent="0.25">
      <c r="A8" s="175"/>
      <c r="B8" s="103" t="s">
        <v>85</v>
      </c>
      <c r="C8" s="104">
        <f t="shared" ref="C8:C13" si="11">+E8*$B$3</f>
        <v>2.2000000000000002</v>
      </c>
      <c r="D8" s="205" t="e">
        <f>ABS('Preço SFCR-ABB-JINKO 440Wp'!$G$43-C8)</f>
        <v>#DIV/0!</v>
      </c>
      <c r="E8" s="105">
        <f>+'FRONIUS-BYD 335Wp'!E8</f>
        <v>5</v>
      </c>
      <c r="F8" s="112"/>
      <c r="G8" s="107"/>
      <c r="H8" s="143"/>
      <c r="I8" s="146"/>
      <c r="J8" s="150">
        <f t="shared" si="6"/>
        <v>0</v>
      </c>
      <c r="K8" s="143"/>
      <c r="L8" s="106">
        <f>+'FRONIUS-BYD 335Wp'!L8</f>
        <v>2750</v>
      </c>
      <c r="M8" s="143"/>
      <c r="N8" s="143"/>
      <c r="O8" s="143"/>
      <c r="P8" s="178"/>
      <c r="Q8" s="179"/>
      <c r="R8" s="180"/>
      <c r="S8" s="102"/>
    </row>
    <row r="9" spans="1:19" x14ac:dyDescent="0.25">
      <c r="A9" s="175"/>
      <c r="B9" s="103" t="s">
        <v>85</v>
      </c>
      <c r="C9" s="104">
        <f t="shared" si="11"/>
        <v>2.64</v>
      </c>
      <c r="D9" s="205" t="e">
        <f>ABS('Preço SFCR-ABB-JINKO 440Wp'!$G$43-C9)</f>
        <v>#DIV/0!</v>
      </c>
      <c r="E9" s="105">
        <f>+'FRONIUS-BYD 335Wp'!E9</f>
        <v>6</v>
      </c>
      <c r="F9" s="112">
        <f>+IF(K9=0,"",ROUND(M9/(1-'Tabela de BDI'!$C$3),0))</f>
        <v>17982</v>
      </c>
      <c r="G9" s="156" t="s">
        <v>208</v>
      </c>
      <c r="H9" s="106"/>
      <c r="I9" s="148">
        <v>12577.47</v>
      </c>
      <c r="J9" s="150">
        <f t="shared" si="6"/>
        <v>12769.005076142132</v>
      </c>
      <c r="K9" s="106">
        <f t="shared" si="7"/>
        <v>12769.005076142132</v>
      </c>
      <c r="L9" s="106">
        <f>+'FRONIUS-BYD 335Wp'!L9</f>
        <v>2875</v>
      </c>
      <c r="M9" s="106">
        <f t="shared" si="8"/>
        <v>15644.005076142132</v>
      </c>
      <c r="N9" s="106">
        <f>+IF(F9="","",F9*'Tabela de BDI'!$C$7)</f>
        <v>1438.56</v>
      </c>
      <c r="O9" s="106">
        <f>IF(F9="","",F9*'Tabela de BDI'!$C$8)</f>
        <v>899.1</v>
      </c>
      <c r="P9" s="109">
        <f t="shared" si="9"/>
        <v>0.40825380621062907</v>
      </c>
      <c r="Q9" s="110">
        <f t="shared" si="10"/>
        <v>6.8113636363636356</v>
      </c>
      <c r="R9" s="111">
        <f>+'Tabela de BDI'!$F$9*C9</f>
        <v>316.8</v>
      </c>
      <c r="S9" s="102"/>
    </row>
    <row r="10" spans="1:19" x14ac:dyDescent="0.25">
      <c r="A10" s="175"/>
      <c r="B10" s="103" t="s">
        <v>85</v>
      </c>
      <c r="C10" s="104">
        <f t="shared" si="11"/>
        <v>3.08</v>
      </c>
      <c r="D10" s="205" t="e">
        <f>ABS('Preço SFCR-ABB-JINKO 440Wp'!$G$43-C10)</f>
        <v>#DIV/0!</v>
      </c>
      <c r="E10" s="105">
        <f>+'FRONIUS-BYD 335Wp'!E10</f>
        <v>7</v>
      </c>
      <c r="F10" s="112" t="str">
        <f>+IF(K10=0,"",ROUND(M10/(1-'Tabela de BDI'!$C$3),0))</f>
        <v/>
      </c>
      <c r="G10" s="156"/>
      <c r="H10" s="106"/>
      <c r="I10" s="146"/>
      <c r="J10" s="150">
        <f t="shared" si="6"/>
        <v>0</v>
      </c>
      <c r="K10" s="106">
        <f t="shared" ref="K10" si="12">+H10+J10</f>
        <v>0</v>
      </c>
      <c r="L10" s="106">
        <f>+'FRONIUS-BYD 335Wp'!L10</f>
        <v>3000</v>
      </c>
      <c r="M10" s="106">
        <f t="shared" ref="M10" si="13">+K10+L10</f>
        <v>3000</v>
      </c>
      <c r="N10" s="106" t="str">
        <f>+IF(F10="","",F10*'Tabela de BDI'!$C$7)</f>
        <v/>
      </c>
      <c r="O10" s="106" t="str">
        <f>IF(F10="","",F10*'Tabela de BDI'!$C$8)</f>
        <v/>
      </c>
      <c r="P10" s="109" t="str">
        <f t="shared" ref="P10" si="14">IF(F10="","",(F10-K10)/K10)</f>
        <v/>
      </c>
      <c r="Q10" s="110" t="str">
        <f t="shared" ref="Q10" si="15">IF(F10="","",(F10/C10)/1000)</f>
        <v/>
      </c>
      <c r="R10" s="111">
        <f>+'Tabela de BDI'!$F$9*C10</f>
        <v>369.6</v>
      </c>
      <c r="S10" s="102"/>
    </row>
    <row r="11" spans="1:19" x14ac:dyDescent="0.25">
      <c r="A11" s="175"/>
      <c r="B11" s="103" t="s">
        <v>85</v>
      </c>
      <c r="C11" s="104">
        <f t="shared" si="11"/>
        <v>3.52</v>
      </c>
      <c r="D11" s="205" t="e">
        <f>ABS('Preço SFCR-ABB-JINKO 440Wp'!$G$43-C11)</f>
        <v>#DIV/0!</v>
      </c>
      <c r="E11" s="105">
        <f>+'FRONIUS-BYD 335Wp'!E11</f>
        <v>8</v>
      </c>
      <c r="F11" s="112">
        <f>+IF(K11=0,"",ROUND(M11/(1-'Tabela de BDI'!$C$3),0))</f>
        <v>20384</v>
      </c>
      <c r="G11" s="156" t="s">
        <v>208</v>
      </c>
      <c r="H11" s="106"/>
      <c r="I11" s="231">
        <v>14389.87</v>
      </c>
      <c r="J11" s="150">
        <f t="shared" si="6"/>
        <v>14609.005076142133</v>
      </c>
      <c r="K11" s="106">
        <f t="shared" si="7"/>
        <v>14609.005076142133</v>
      </c>
      <c r="L11" s="106">
        <f>+'FRONIUS-BYD 335Wp'!L11</f>
        <v>3125</v>
      </c>
      <c r="M11" s="106">
        <f t="shared" si="8"/>
        <v>17734.005076142133</v>
      </c>
      <c r="N11" s="106">
        <f>+IF(F11="","",F11*'Tabela de BDI'!$C$7)</f>
        <v>1630.72</v>
      </c>
      <c r="O11" s="106">
        <f>IF(F11="","",F11*'Tabela de BDI'!$C$8)</f>
        <v>1019.2</v>
      </c>
      <c r="P11" s="109">
        <f t="shared" si="9"/>
        <v>0.39530377967278357</v>
      </c>
      <c r="Q11" s="110">
        <f t="shared" si="10"/>
        <v>5.790909090909091</v>
      </c>
      <c r="R11" s="111">
        <f>+'Tabela de BDI'!$F$9*C11</f>
        <v>422.4</v>
      </c>
      <c r="S11" s="102"/>
    </row>
    <row r="12" spans="1:19" x14ac:dyDescent="0.25">
      <c r="A12" s="175"/>
      <c r="B12" s="103" t="s">
        <v>85</v>
      </c>
      <c r="C12" s="104">
        <f t="shared" si="11"/>
        <v>3.96</v>
      </c>
      <c r="D12" s="205" t="e">
        <f>ABS('Preço SFCR-ABB-JINKO 440Wp'!$G$43-C12)</f>
        <v>#DIV/0!</v>
      </c>
      <c r="E12" s="105">
        <f>+'FRONIUS-BYD 335Wp'!E12</f>
        <v>9</v>
      </c>
      <c r="F12" s="112" t="str">
        <f>+IF(K12=0,"",ROUND(M12/(1-'Tabela de BDI'!$C$3),0))</f>
        <v/>
      </c>
      <c r="G12" s="156"/>
      <c r="H12" s="157"/>
      <c r="I12" s="170"/>
      <c r="J12" s="150">
        <f t="shared" si="6"/>
        <v>0</v>
      </c>
      <c r="K12" s="106">
        <f t="shared" si="7"/>
        <v>0</v>
      </c>
      <c r="L12" s="106">
        <f>+'FRONIUS-BYD 335Wp'!L12</f>
        <v>3250</v>
      </c>
      <c r="M12" s="106">
        <f t="shared" si="8"/>
        <v>3250</v>
      </c>
      <c r="N12" s="106" t="str">
        <f>+IF(F12="","",F12*'Tabela de BDI'!$C$7)</f>
        <v/>
      </c>
      <c r="O12" s="106" t="str">
        <f>IF(F12="","",F12*'Tabela de BDI'!$C$8)</f>
        <v/>
      </c>
      <c r="P12" s="109" t="str">
        <f t="shared" si="9"/>
        <v/>
      </c>
      <c r="Q12" s="110" t="str">
        <f t="shared" si="10"/>
        <v/>
      </c>
      <c r="R12" s="111">
        <f>+'Tabela de BDI'!$F$9*C12</f>
        <v>475.2</v>
      </c>
      <c r="S12" s="114"/>
    </row>
    <row r="13" spans="1:19" x14ac:dyDescent="0.25">
      <c r="A13" s="175"/>
      <c r="B13" s="103" t="s">
        <v>85</v>
      </c>
      <c r="C13" s="104">
        <f t="shared" si="11"/>
        <v>4.4000000000000004</v>
      </c>
      <c r="D13" s="205" t="e">
        <f>ABS('Preço SFCR-ABB-JINKO 440Wp'!$G$43-C13)</f>
        <v>#DIV/0!</v>
      </c>
      <c r="E13" s="105">
        <f>+'FRONIUS-BYD 335Wp'!E13</f>
        <v>10</v>
      </c>
      <c r="F13" s="112">
        <f>+IF(K13=0,"",ROUND(M13/(1-'Tabela de BDI'!$C$3),0))</f>
        <v>23212</v>
      </c>
      <c r="G13" s="156" t="s">
        <v>208</v>
      </c>
      <c r="H13" s="106"/>
      <c r="I13" s="148">
        <v>16566.72</v>
      </c>
      <c r="J13" s="150">
        <f t="shared" si="6"/>
        <v>16819.005076142133</v>
      </c>
      <c r="K13" s="106">
        <f t="shared" ref="K13" si="16">+H13+J13</f>
        <v>16819.005076142133</v>
      </c>
      <c r="L13" s="106">
        <f>+'FRONIUS-BYD 335Wp'!L13</f>
        <v>3375</v>
      </c>
      <c r="M13" s="106">
        <f t="shared" ref="M13" si="17">+K13+L13</f>
        <v>20194.005076142133</v>
      </c>
      <c r="N13" s="106">
        <f>+IF(F13="","",F13*'Tabela de BDI'!$C$7)</f>
        <v>1856.96</v>
      </c>
      <c r="O13" s="106">
        <f>IF(F13="","",F13*'Tabela de BDI'!$C$8)</f>
        <v>1160.6000000000001</v>
      </c>
      <c r="P13" s="109">
        <f t="shared" ref="P13" si="18">IF(F13="","",(F13-K13)/K13)</f>
        <v>0.3801054161596259</v>
      </c>
      <c r="Q13" s="110">
        <f t="shared" ref="Q13" si="19">IF(F13="","",(F13/C13)/1000)</f>
        <v>5.2754545454545454</v>
      </c>
      <c r="R13" s="111">
        <f>+'Tabela de BDI'!$F$9*C13</f>
        <v>528</v>
      </c>
      <c r="S13" s="114"/>
    </row>
    <row r="14" spans="1:19" x14ac:dyDescent="0.25">
      <c r="A14" s="175"/>
      <c r="B14" s="103" t="s">
        <v>85</v>
      </c>
      <c r="C14" s="104">
        <f t="shared" si="5"/>
        <v>4.84</v>
      </c>
      <c r="D14" s="205" t="e">
        <f>ABS('Preço SFCR-ABB-JINKO 440Wp'!$G$43-C14)</f>
        <v>#DIV/0!</v>
      </c>
      <c r="E14" s="105">
        <f>+'FRONIUS-BYD 335Wp'!E14</f>
        <v>11</v>
      </c>
      <c r="F14" s="112" t="str">
        <f>+IF(K14=0,"",ROUND(M14/(1-'Tabela de BDI'!$C$3),0))</f>
        <v/>
      </c>
      <c r="G14" s="156"/>
      <c r="H14" s="106"/>
      <c r="I14" s="146"/>
      <c r="J14" s="150">
        <f t="shared" si="6"/>
        <v>0</v>
      </c>
      <c r="K14" s="106">
        <f t="shared" si="7"/>
        <v>0</v>
      </c>
      <c r="L14" s="106">
        <f>+'FRONIUS-BYD 335Wp'!L14</f>
        <v>3500</v>
      </c>
      <c r="M14" s="106">
        <f t="shared" si="8"/>
        <v>3500</v>
      </c>
      <c r="N14" s="106" t="str">
        <f>+IF(F14="","",F14*'Tabela de BDI'!$C$7)</f>
        <v/>
      </c>
      <c r="O14" s="106" t="str">
        <f>IF(F14="","",F14*'Tabela de BDI'!$C$8)</f>
        <v/>
      </c>
      <c r="P14" s="109" t="str">
        <f t="shared" si="9"/>
        <v/>
      </c>
      <c r="Q14" s="110" t="str">
        <f t="shared" si="10"/>
        <v/>
      </c>
      <c r="R14" s="111">
        <f>+'Tabela de BDI'!$F$9*C14</f>
        <v>580.79999999999995</v>
      </c>
      <c r="S14" s="114"/>
    </row>
    <row r="15" spans="1:19" x14ac:dyDescent="0.25">
      <c r="A15" s="175"/>
      <c r="B15" s="103" t="s">
        <v>85</v>
      </c>
      <c r="C15" s="104">
        <f t="shared" si="5"/>
        <v>5.28</v>
      </c>
      <c r="D15" s="205" t="e">
        <f>ABS('Preço SFCR-ABB-JINKO 440Wp'!$G$43-C15)</f>
        <v>#DIV/0!</v>
      </c>
      <c r="E15" s="105">
        <f>+'FRONIUS-BYD 335Wp'!E15</f>
        <v>12</v>
      </c>
      <c r="F15" s="112">
        <f>+IF(K15=0,"",ROUND(M15/(1-'Tabela de BDI'!$C$3),0))</f>
        <v>26154</v>
      </c>
      <c r="G15" s="156" t="s">
        <v>209</v>
      </c>
      <c r="H15" s="106"/>
      <c r="I15" s="148">
        <v>18842.07</v>
      </c>
      <c r="J15" s="150">
        <f t="shared" si="6"/>
        <v>19129.005076142133</v>
      </c>
      <c r="K15" s="106">
        <f t="shared" si="7"/>
        <v>19129.005076142133</v>
      </c>
      <c r="L15" s="106">
        <f>+'FRONIUS-BYD 335Wp'!L15</f>
        <v>3625</v>
      </c>
      <c r="M15" s="106">
        <f t="shared" si="8"/>
        <v>22754.005076142133</v>
      </c>
      <c r="N15" s="106">
        <f>+IF(F15="","",F15*'Tabela de BDI'!$C$7)</f>
        <v>2092.3200000000002</v>
      </c>
      <c r="O15" s="106">
        <f>IF(F15="","",F15*'Tabela de BDI'!$C$8)</f>
        <v>1307.7</v>
      </c>
      <c r="P15" s="109">
        <f t="shared" si="9"/>
        <v>0.36724308953315626</v>
      </c>
      <c r="Q15" s="110">
        <f t="shared" si="10"/>
        <v>4.9534090909090907</v>
      </c>
      <c r="R15" s="111">
        <f>+'Tabela de BDI'!$F$9*C15</f>
        <v>633.6</v>
      </c>
      <c r="S15" s="114"/>
    </row>
    <row r="16" spans="1:19" s="286" customFormat="1" x14ac:dyDescent="0.25">
      <c r="A16" s="288"/>
      <c r="B16" s="103" t="s">
        <v>85</v>
      </c>
      <c r="C16" s="104">
        <f t="shared" ref="C16" si="20">+E16*$B$3</f>
        <v>5.72</v>
      </c>
      <c r="D16" s="205" t="e">
        <f>ABS('Preço SFCR-ABB-JINKO 440Wp'!$G$43-C16)</f>
        <v>#DIV/0!</v>
      </c>
      <c r="E16" s="105">
        <f>+'FRONIUS-BYD 335Wp'!E16</f>
        <v>13</v>
      </c>
      <c r="F16" s="112" t="str">
        <f>+IF(K16=0,"",ROUND(M16/(1-'Tabela de BDI'!$C$3),0))</f>
        <v/>
      </c>
      <c r="G16" s="156"/>
      <c r="H16" s="106"/>
      <c r="I16" s="148"/>
      <c r="J16" s="150">
        <f t="shared" ref="J16" si="21">+I16/(1-$I$5)</f>
        <v>0</v>
      </c>
      <c r="K16" s="106">
        <f t="shared" ref="K16" si="22">+H16+J16</f>
        <v>0</v>
      </c>
      <c r="L16" s="106">
        <f>+'FRONIUS-BYD 335Wp'!L16</f>
        <v>3750</v>
      </c>
      <c r="M16" s="106">
        <f t="shared" ref="M16" si="23">+K16+L16</f>
        <v>3750</v>
      </c>
      <c r="N16" s="106" t="str">
        <f>+IF(F16="","",F16*'Tabela de BDI'!$C$7)</f>
        <v/>
      </c>
      <c r="O16" s="106" t="str">
        <f>IF(F16="","",F16*'Tabela de BDI'!$C$8)</f>
        <v/>
      </c>
      <c r="P16" s="109" t="str">
        <f t="shared" ref="P16" si="24">IF(F16="","",(F16-K16)/K16)</f>
        <v/>
      </c>
      <c r="Q16" s="110" t="str">
        <f t="shared" ref="Q16" si="25">IF(F16="","",(F16/C16)/1000)</f>
        <v/>
      </c>
      <c r="R16" s="111">
        <f>+'Tabela de BDI'!$F$9*C16</f>
        <v>686.4</v>
      </c>
      <c r="S16" s="114"/>
    </row>
    <row r="17" spans="1:19" x14ac:dyDescent="0.25">
      <c r="A17" s="175"/>
      <c r="B17" s="103" t="s">
        <v>85</v>
      </c>
      <c r="C17" s="104">
        <f t="shared" si="5"/>
        <v>6.16</v>
      </c>
      <c r="D17" s="205" t="e">
        <f>ABS('Preço SFCR-ABB-JINKO 440Wp'!$G$43-C17)</f>
        <v>#DIV/0!</v>
      </c>
      <c r="E17" s="105">
        <f>+'FRONIUS-BYD 335Wp'!E17</f>
        <v>14</v>
      </c>
      <c r="F17" s="112">
        <f>+IF(K17=0,"",ROUND(M17/(1-'Tabela de BDI'!$C$3),0))</f>
        <v>29591</v>
      </c>
      <c r="G17" s="156" t="s">
        <v>210</v>
      </c>
      <c r="H17" s="106"/>
      <c r="I17" s="148">
        <v>21540.97</v>
      </c>
      <c r="J17" s="150">
        <f t="shared" si="6"/>
        <v>21869.005076142133</v>
      </c>
      <c r="K17" s="106">
        <f t="shared" si="7"/>
        <v>21869.005076142133</v>
      </c>
      <c r="L17" s="106">
        <f>+'FRONIUS-BYD 335Wp'!L17</f>
        <v>3875</v>
      </c>
      <c r="M17" s="106">
        <f t="shared" si="8"/>
        <v>25744.005076142133</v>
      </c>
      <c r="N17" s="106">
        <f>+IF(F17="","",F17*'Tabela de BDI'!$C$7)</f>
        <v>2367.2800000000002</v>
      </c>
      <c r="O17" s="106">
        <f>IF(F17="","",F17*'Tabela de BDI'!$C$8)</f>
        <v>1479.5500000000002</v>
      </c>
      <c r="P17" s="109">
        <f t="shared" si="9"/>
        <v>0.35310225119852995</v>
      </c>
      <c r="Q17" s="110">
        <f t="shared" si="10"/>
        <v>4.8037337662337656</v>
      </c>
      <c r="R17" s="111">
        <f>+'Tabela de BDI'!$F$9*C17</f>
        <v>739.2</v>
      </c>
      <c r="S17" s="114"/>
    </row>
    <row r="18" spans="1:19" s="207" customFormat="1" x14ac:dyDescent="0.25">
      <c r="A18" s="208"/>
      <c r="B18" s="103" t="s">
        <v>85</v>
      </c>
      <c r="C18" s="104">
        <f t="shared" ref="C18" si="26">+E18*$B$3</f>
        <v>6.6</v>
      </c>
      <c r="D18" s="205" t="e">
        <f>ABS('Preço SFCR-ABB-JINKO 440Wp'!$G$43-C18)</f>
        <v>#DIV/0!</v>
      </c>
      <c r="E18" s="105">
        <f>+'FRONIUS-BYD 335Wp'!E18</f>
        <v>15</v>
      </c>
      <c r="F18" s="112" t="str">
        <f>+IF(K18=0,"",ROUND(M18/(1-'Tabela de BDI'!$C$3),0))</f>
        <v/>
      </c>
      <c r="G18" s="156"/>
      <c r="H18" s="106"/>
      <c r="I18" s="146"/>
      <c r="J18" s="150">
        <f t="shared" si="6"/>
        <v>0</v>
      </c>
      <c r="K18" s="106">
        <f t="shared" ref="K18" si="27">+H18+J18</f>
        <v>0</v>
      </c>
      <c r="L18" s="106">
        <f>+'FRONIUS-BYD 335Wp'!L18</f>
        <v>4000</v>
      </c>
      <c r="M18" s="106">
        <f t="shared" ref="M18" si="28">+K18+L18</f>
        <v>4000</v>
      </c>
      <c r="N18" s="106" t="str">
        <f>+IF(F18="","",F18*'Tabela de BDI'!$C$7)</f>
        <v/>
      </c>
      <c r="O18" s="106" t="str">
        <f>IF(F18="","",F18*'Tabela de BDI'!$C$8)</f>
        <v/>
      </c>
      <c r="P18" s="109" t="str">
        <f t="shared" ref="P18" si="29">IF(F18="","",(F18-K18)/K18)</f>
        <v/>
      </c>
      <c r="Q18" s="110" t="str">
        <f t="shared" ref="Q18" si="30">IF(F18="","",(F18/C18)/1000)</f>
        <v/>
      </c>
      <c r="R18" s="111">
        <f>+'Tabela de BDI'!$F$9*C18</f>
        <v>792</v>
      </c>
      <c r="S18" s="114"/>
    </row>
    <row r="19" spans="1:19" x14ac:dyDescent="0.25">
      <c r="A19" s="175"/>
      <c r="B19" s="103" t="s">
        <v>85</v>
      </c>
      <c r="C19" s="104">
        <f t="shared" si="5"/>
        <v>7.04</v>
      </c>
      <c r="D19" s="205" t="e">
        <f>ABS('Preço SFCR-ABB-JINKO 440Wp'!$G$43-C19)</f>
        <v>#DIV/0!</v>
      </c>
      <c r="E19" s="105">
        <f>+'FRONIUS-BYD 335Wp'!E19</f>
        <v>16</v>
      </c>
      <c r="F19" s="112">
        <f>+IF(K19=0,"",ROUND(M19/(1-'Tabela de BDI'!$C$3),0))</f>
        <v>33579</v>
      </c>
      <c r="G19" s="156" t="s">
        <v>211</v>
      </c>
      <c r="H19" s="106"/>
      <c r="I19" s="148">
        <v>24712.67</v>
      </c>
      <c r="J19" s="150">
        <f t="shared" si="6"/>
        <v>25089.00507614213</v>
      </c>
      <c r="K19" s="106">
        <f t="shared" si="7"/>
        <v>25089.00507614213</v>
      </c>
      <c r="L19" s="106">
        <f>+'FRONIUS-BYD 335Wp'!L19</f>
        <v>4125</v>
      </c>
      <c r="M19" s="106">
        <f t="shared" si="8"/>
        <v>29214.00507614213</v>
      </c>
      <c r="N19" s="106">
        <f>+IF(F19="","",F19*'Tabela de BDI'!$C$7)</f>
        <v>2686.32</v>
      </c>
      <c r="O19" s="106">
        <f>IF(F19="","",F19*'Tabela de BDI'!$C$8)</f>
        <v>1678.95</v>
      </c>
      <c r="P19" s="109">
        <f t="shared" si="9"/>
        <v>0.33839504189551362</v>
      </c>
      <c r="Q19" s="110">
        <f t="shared" si="10"/>
        <v>4.769744318181818</v>
      </c>
      <c r="R19" s="111">
        <f>+'Tabela de BDI'!$F$9*C19</f>
        <v>844.8</v>
      </c>
      <c r="S19" s="114"/>
    </row>
    <row r="20" spans="1:19" x14ac:dyDescent="0.25">
      <c r="A20" s="175"/>
      <c r="B20" s="103" t="s">
        <v>85</v>
      </c>
      <c r="C20" s="104">
        <f t="shared" si="5"/>
        <v>7.92</v>
      </c>
      <c r="D20" s="205" t="e">
        <f>ABS('Preço SFCR-ABB-JINKO 440Wp'!$G$43-C20)</f>
        <v>#DIV/0!</v>
      </c>
      <c r="E20" s="105">
        <f>+'FRONIUS-BYD 335Wp'!E21</f>
        <v>18</v>
      </c>
      <c r="F20" s="112">
        <f>+IF(K20=0,"",ROUND(M20/(1-'Tabela de BDI'!$C$3),0))</f>
        <v>35982</v>
      </c>
      <c r="G20" s="156" t="s">
        <v>211</v>
      </c>
      <c r="H20" s="106"/>
      <c r="I20" s="148">
        <v>26525.07</v>
      </c>
      <c r="J20" s="150">
        <f t="shared" si="6"/>
        <v>26929.005076142133</v>
      </c>
      <c r="K20" s="106">
        <f t="shared" si="7"/>
        <v>26929.005076142133</v>
      </c>
      <c r="L20" s="106">
        <f>+'FRONIUS-BYD 335Wp'!L21</f>
        <v>4375</v>
      </c>
      <c r="M20" s="106">
        <f t="shared" si="8"/>
        <v>31304.005076142133</v>
      </c>
      <c r="N20" s="106">
        <f>+IF(F20="","",F20*'Tabela de BDI'!$C$7)</f>
        <v>2878.56</v>
      </c>
      <c r="O20" s="106">
        <f>IF(F20="","",F20*'Tabela de BDI'!$C$8)</f>
        <v>1799.1000000000001</v>
      </c>
      <c r="P20" s="109">
        <f t="shared" si="9"/>
        <v>0.33618007417134049</v>
      </c>
      <c r="Q20" s="110">
        <f t="shared" si="10"/>
        <v>4.543181818181818</v>
      </c>
      <c r="R20" s="111">
        <f>+'Tabela de BDI'!$F$9*C20</f>
        <v>950.4</v>
      </c>
      <c r="S20" s="114"/>
    </row>
    <row r="21" spans="1:19" s="228" customFormat="1" x14ac:dyDescent="0.25">
      <c r="A21" s="229"/>
      <c r="B21" s="103" t="s">
        <v>85</v>
      </c>
      <c r="C21" s="104">
        <f t="shared" ref="C21" si="31">+E21*$B$3</f>
        <v>8.36</v>
      </c>
      <c r="D21" s="205" t="e">
        <f>ABS('Preço SFCR-ABB-JINKO 440Wp'!$G$43-C21)</f>
        <v>#DIV/0!</v>
      </c>
      <c r="E21" s="105">
        <f>+'FRONIUS-BYD 335Wp'!E22</f>
        <v>19</v>
      </c>
      <c r="F21" s="112" t="str">
        <f>+IF(K21=0,"",ROUND(M21/(1-'Tabela de BDI'!$C$3),0))</f>
        <v/>
      </c>
      <c r="G21" s="156"/>
      <c r="H21" s="106"/>
      <c r="I21" s="146"/>
      <c r="J21" s="150">
        <f t="shared" si="6"/>
        <v>0</v>
      </c>
      <c r="K21" s="106">
        <f t="shared" ref="K21" si="32">+H21+J21</f>
        <v>0</v>
      </c>
      <c r="L21" s="106">
        <f>+'FRONIUS-BYD 335Wp'!L22</f>
        <v>4500</v>
      </c>
      <c r="M21" s="106">
        <f t="shared" ref="M21" si="33">+K21+L21</f>
        <v>4500</v>
      </c>
      <c r="N21" s="106" t="str">
        <f>+IF(F21="","",F21*'Tabela de BDI'!$C$7)</f>
        <v/>
      </c>
      <c r="O21" s="106" t="str">
        <f>IF(F21="","",F21*'Tabela de BDI'!$C$8)</f>
        <v/>
      </c>
      <c r="P21" s="109" t="str">
        <f t="shared" ref="P21" si="34">IF(F21="","",(F21-K21)/K21)</f>
        <v/>
      </c>
      <c r="Q21" s="110" t="str">
        <f t="shared" ref="Q21" si="35">IF(F21="","",(F21/C21)/1000)</f>
        <v/>
      </c>
      <c r="R21" s="111">
        <f>+'Tabela de BDI'!$F$9*C21</f>
        <v>1003.1999999999999</v>
      </c>
      <c r="S21" s="114"/>
    </row>
    <row r="22" spans="1:19" x14ac:dyDescent="0.25">
      <c r="A22" s="175"/>
      <c r="B22" s="103" t="s">
        <v>85</v>
      </c>
      <c r="C22" s="104">
        <f t="shared" si="5"/>
        <v>8.8000000000000007</v>
      </c>
      <c r="D22" s="205" t="e">
        <f>ABS('Preço SFCR-ABB-JINKO 440Wp'!$G$43-C22)</f>
        <v>#DIV/0!</v>
      </c>
      <c r="E22" s="105">
        <f>+'FRONIUS-BYD 335Wp'!E23</f>
        <v>20</v>
      </c>
      <c r="F22" s="112" t="str">
        <f>+IF(K22=0,"",ROUND(M22/(1-'Tabela de BDI'!$C$3),0))</f>
        <v/>
      </c>
      <c r="G22" s="156"/>
      <c r="H22" s="106"/>
      <c r="I22" s="146"/>
      <c r="J22" s="150">
        <f t="shared" si="6"/>
        <v>0</v>
      </c>
      <c r="K22" s="106">
        <f t="shared" si="7"/>
        <v>0</v>
      </c>
      <c r="L22" s="106">
        <f>+'FRONIUS-BYD 335Wp'!L23</f>
        <v>4625</v>
      </c>
      <c r="M22" s="106">
        <f t="shared" si="8"/>
        <v>4625</v>
      </c>
      <c r="N22" s="106" t="str">
        <f>+IF(F22="","",F22*'Tabela de BDI'!$C$7)</f>
        <v/>
      </c>
      <c r="O22" s="106" t="str">
        <f>IF(F22="","",F22*'Tabela de BDI'!$C$8)</f>
        <v/>
      </c>
      <c r="P22" s="109" t="str">
        <f t="shared" si="9"/>
        <v/>
      </c>
      <c r="Q22" s="110" t="str">
        <f t="shared" si="10"/>
        <v/>
      </c>
      <c r="R22" s="111">
        <f>+'Tabela de BDI'!$F$9*C22</f>
        <v>1056</v>
      </c>
      <c r="S22" s="114"/>
    </row>
    <row r="23" spans="1:19" x14ac:dyDescent="0.25">
      <c r="A23" s="175"/>
      <c r="B23" s="103" t="s">
        <v>85</v>
      </c>
      <c r="C23" s="104">
        <f t="shared" si="5"/>
        <v>9.68</v>
      </c>
      <c r="D23" s="205" t="e">
        <f>ABS('Preço SFCR-ABB-JINKO 440Wp'!$G$43-C23)</f>
        <v>#DIV/0!</v>
      </c>
      <c r="E23" s="105">
        <f>+'FRONIUS-BYD 335Wp'!E25</f>
        <v>22</v>
      </c>
      <c r="F23" s="112" t="str">
        <f>+IF(K23=0,"",ROUND(M23/(1-'Tabela de BDI'!$C$3),0))</f>
        <v/>
      </c>
      <c r="G23" s="107"/>
      <c r="H23" s="106"/>
      <c r="I23" s="146"/>
      <c r="J23" s="150">
        <f t="shared" si="6"/>
        <v>0</v>
      </c>
      <c r="K23" s="106">
        <f t="shared" si="7"/>
        <v>0</v>
      </c>
      <c r="L23" s="106">
        <f>+'FRONIUS-BYD 335Wp'!L25</f>
        <v>4875</v>
      </c>
      <c r="M23" s="106">
        <f t="shared" si="8"/>
        <v>4875</v>
      </c>
      <c r="N23" s="106" t="str">
        <f>+IF(F23="","",F23*'Tabela de BDI'!$C$7)</f>
        <v/>
      </c>
      <c r="O23" s="106" t="str">
        <f>IF(F23="","",F23*'Tabela de BDI'!$C$8)</f>
        <v/>
      </c>
      <c r="P23" s="109" t="str">
        <f t="shared" si="9"/>
        <v/>
      </c>
      <c r="Q23" s="110" t="str">
        <f t="shared" si="10"/>
        <v/>
      </c>
      <c r="R23" s="111">
        <f>+'Tabela de BDI'!$F$9*C23</f>
        <v>1161.5999999999999</v>
      </c>
      <c r="S23" s="114"/>
    </row>
    <row r="24" spans="1:19" s="228" customFormat="1" x14ac:dyDescent="0.25">
      <c r="A24" s="229"/>
      <c r="B24" s="103" t="s">
        <v>85</v>
      </c>
      <c r="C24" s="104">
        <f t="shared" ref="C24" si="36">+E24*$B$3</f>
        <v>10.119999999999999</v>
      </c>
      <c r="D24" s="205" t="e">
        <f>ABS('Preço SFCR-ABB-JINKO 440Wp'!$G$43-C24)</f>
        <v>#DIV/0!</v>
      </c>
      <c r="E24" s="105">
        <f>+'FRONIUS-BYD 335Wp'!E26</f>
        <v>23</v>
      </c>
      <c r="F24" s="112" t="str">
        <f>+IF(K24=0,"",ROUND(M24/(1-'Tabela de BDI'!$C$3),0))</f>
        <v/>
      </c>
      <c r="G24" s="107"/>
      <c r="H24" s="106"/>
      <c r="I24" s="146"/>
      <c r="J24" s="150">
        <f t="shared" si="6"/>
        <v>0</v>
      </c>
      <c r="K24" s="106">
        <f t="shared" ref="K24" si="37">+H24+J24</f>
        <v>0</v>
      </c>
      <c r="L24" s="106">
        <f>+'FRONIUS-BYD 335Wp'!L26</f>
        <v>5000</v>
      </c>
      <c r="M24" s="106">
        <f t="shared" ref="M24" si="38">+K24+L24</f>
        <v>5000</v>
      </c>
      <c r="N24" s="106" t="str">
        <f>+IF(F24="","",F24*'Tabela de BDI'!$C$7)</f>
        <v/>
      </c>
      <c r="O24" s="106" t="str">
        <f>IF(F24="","",F24*'Tabela de BDI'!$C$8)</f>
        <v/>
      </c>
      <c r="P24" s="109" t="str">
        <f t="shared" ref="P24" si="39">IF(F24="","",(F24-K24)/K24)</f>
        <v/>
      </c>
      <c r="Q24" s="110" t="str">
        <f t="shared" ref="Q24" si="40">IF(F24="","",(F24/C24)/1000)</f>
        <v/>
      </c>
      <c r="R24" s="111">
        <f>+'Tabela de BDI'!$F$9*C24</f>
        <v>1214.3999999999999</v>
      </c>
      <c r="S24" s="114"/>
    </row>
    <row r="25" spans="1:19" x14ac:dyDescent="0.25">
      <c r="A25" s="175"/>
      <c r="B25" s="103" t="s">
        <v>85</v>
      </c>
      <c r="C25" s="104">
        <f t="shared" si="5"/>
        <v>10.56</v>
      </c>
      <c r="D25" s="201"/>
      <c r="E25" s="105">
        <f>+'FRONIUS-BYD 335Wp'!E27</f>
        <v>24</v>
      </c>
      <c r="F25" s="112" t="str">
        <f>+IF(K25=0,"",ROUND(M25/(1-'Tabela de BDI'!$C$3),0))</f>
        <v/>
      </c>
      <c r="G25" s="107"/>
      <c r="H25" s="106"/>
      <c r="I25" s="146"/>
      <c r="J25" s="150">
        <f t="shared" si="6"/>
        <v>0</v>
      </c>
      <c r="K25" s="106">
        <f t="shared" si="7"/>
        <v>0</v>
      </c>
      <c r="L25" s="106">
        <f>+'FRONIUS-BYD 335Wp'!L27</f>
        <v>5125</v>
      </c>
      <c r="M25" s="106">
        <f t="shared" si="8"/>
        <v>5125</v>
      </c>
      <c r="N25" s="106" t="str">
        <f>+IF(F25="","",F25*'Tabela de BDI'!$C$7)</f>
        <v/>
      </c>
      <c r="O25" s="106" t="str">
        <f>IF(F25="","",F25*'Tabela de BDI'!$C$8)</f>
        <v/>
      </c>
      <c r="P25" s="109" t="str">
        <f t="shared" si="9"/>
        <v/>
      </c>
      <c r="Q25" s="110" t="str">
        <f t="shared" si="10"/>
        <v/>
      </c>
      <c r="R25" s="111">
        <f>+'Tabela de BDI'!$F$9*C25</f>
        <v>1267.2</v>
      </c>
      <c r="S25" s="114"/>
    </row>
    <row r="26" spans="1:19" s="207" customFormat="1" x14ac:dyDescent="0.25">
      <c r="A26" s="208"/>
      <c r="B26" s="103" t="s">
        <v>85</v>
      </c>
      <c r="C26" s="104">
        <f t="shared" ref="C26" si="41">+E26*$B$3</f>
        <v>11</v>
      </c>
      <c r="D26" s="201"/>
      <c r="E26" s="105">
        <f>+'FRONIUS-BYD 335Wp'!E28</f>
        <v>25</v>
      </c>
      <c r="F26" s="112" t="str">
        <f>+IF(K26=0,"",ROUND(M26/(1-'Tabela de BDI'!$C$3),0))</f>
        <v/>
      </c>
      <c r="G26" s="107"/>
      <c r="H26" s="106"/>
      <c r="I26" s="146"/>
      <c r="J26" s="150">
        <f t="shared" si="6"/>
        <v>0</v>
      </c>
      <c r="K26" s="106">
        <f t="shared" ref="K26" si="42">+H26+J26</f>
        <v>0</v>
      </c>
      <c r="L26" s="106">
        <f>+'FRONIUS-BYD 335Wp'!L28</f>
        <v>5250</v>
      </c>
      <c r="M26" s="106">
        <f t="shared" ref="M26" si="43">+K26+L26</f>
        <v>5250</v>
      </c>
      <c r="N26" s="106" t="str">
        <f>+IF(F26="","",F26*'Tabela de BDI'!$C$7)</f>
        <v/>
      </c>
      <c r="O26" s="106" t="str">
        <f>IF(F26="","",F26*'Tabela de BDI'!$C$8)</f>
        <v/>
      </c>
      <c r="P26" s="109" t="str">
        <f t="shared" ref="P26" si="44">IF(F26="","",(F26-K26)/K26)</f>
        <v/>
      </c>
      <c r="Q26" s="110" t="str">
        <f t="shared" ref="Q26" si="45">IF(F26="","",(F26/C26)/1000)</f>
        <v/>
      </c>
      <c r="R26" s="111">
        <f>+'Tabela de BDI'!$F$9*C26</f>
        <v>1320</v>
      </c>
      <c r="S26" s="114"/>
    </row>
    <row r="27" spans="1:19" x14ac:dyDescent="0.25">
      <c r="A27" s="175"/>
      <c r="B27" s="103" t="s">
        <v>85</v>
      </c>
      <c r="C27" s="104">
        <f t="shared" si="5"/>
        <v>11.44</v>
      </c>
      <c r="D27" s="201"/>
      <c r="E27" s="105">
        <f>+'FRONIUS-BYD 335Wp'!E29</f>
        <v>26</v>
      </c>
      <c r="F27" s="112" t="str">
        <f>+IF(K27=0,"",ROUND(M27/(1-'Tabela de BDI'!$C$3),0))</f>
        <v/>
      </c>
      <c r="G27" s="107"/>
      <c r="H27" s="106"/>
      <c r="I27" s="145"/>
      <c r="J27" s="150">
        <f t="shared" si="6"/>
        <v>0</v>
      </c>
      <c r="K27" s="106">
        <f t="shared" si="7"/>
        <v>0</v>
      </c>
      <c r="L27" s="106">
        <f>+'FRONIUS-BYD 335Wp'!L29</f>
        <v>5375</v>
      </c>
      <c r="M27" s="106">
        <f t="shared" si="8"/>
        <v>5375</v>
      </c>
      <c r="N27" s="106" t="str">
        <f>+IF(F27="","",F27*'Tabela de BDI'!$C$7)</f>
        <v/>
      </c>
      <c r="O27" s="106" t="str">
        <f>IF(F27="","",F27*'Tabela de BDI'!$C$8)</f>
        <v/>
      </c>
      <c r="P27" s="109" t="str">
        <f t="shared" si="9"/>
        <v/>
      </c>
      <c r="Q27" s="110" t="str">
        <f t="shared" si="10"/>
        <v/>
      </c>
      <c r="R27" s="111">
        <f>+'Tabela de BDI'!$F$9*C27</f>
        <v>1372.8</v>
      </c>
      <c r="S27" s="114"/>
    </row>
    <row r="28" spans="1:19" x14ac:dyDescent="0.25">
      <c r="A28" s="175"/>
      <c r="B28" s="103" t="s">
        <v>85</v>
      </c>
      <c r="C28" s="104">
        <f t="shared" si="5"/>
        <v>12.32</v>
      </c>
      <c r="D28" s="201"/>
      <c r="E28" s="105">
        <f>+'FRONIUS-BYD 335Wp'!E30</f>
        <v>28</v>
      </c>
      <c r="F28" s="112" t="str">
        <f>+IF(K28=0,"",ROUND(M28/(1-'Tabela de BDI'!$C$3),0))</f>
        <v/>
      </c>
      <c r="G28" s="107"/>
      <c r="H28" s="106"/>
      <c r="I28" s="145"/>
      <c r="J28" s="150">
        <f t="shared" si="6"/>
        <v>0</v>
      </c>
      <c r="K28" s="106">
        <f t="shared" si="7"/>
        <v>0</v>
      </c>
      <c r="L28" s="106">
        <f>+'FRONIUS-BYD 335Wp'!L30</f>
        <v>5625</v>
      </c>
      <c r="M28" s="106">
        <f t="shared" si="8"/>
        <v>5625</v>
      </c>
      <c r="N28" s="106" t="str">
        <f>+IF(F28="","",F28*'Tabela de BDI'!$C$7)</f>
        <v/>
      </c>
      <c r="O28" s="106" t="str">
        <f>IF(F28="","",F28*'Tabela de BDI'!$C$8)</f>
        <v/>
      </c>
      <c r="P28" s="109" t="str">
        <f t="shared" si="9"/>
        <v/>
      </c>
      <c r="Q28" s="110" t="str">
        <f t="shared" si="10"/>
        <v/>
      </c>
      <c r="R28" s="111">
        <f>+'Tabela de BDI'!$F$9*C28</f>
        <v>1478.4</v>
      </c>
      <c r="S28" s="114"/>
    </row>
    <row r="29" spans="1:19" x14ac:dyDescent="0.25">
      <c r="A29" s="175"/>
      <c r="B29" s="103" t="s">
        <v>85</v>
      </c>
      <c r="C29" s="104">
        <f t="shared" si="5"/>
        <v>13.2</v>
      </c>
      <c r="D29" s="201"/>
      <c r="E29" s="105">
        <f>+'FRONIUS-BYD 335Wp'!E31</f>
        <v>30</v>
      </c>
      <c r="F29" s="112" t="str">
        <f>+IF(K29=0,"",ROUND(M29/(1-'Tabela de BDI'!$C$3),0))</f>
        <v/>
      </c>
      <c r="G29" s="107"/>
      <c r="H29" s="106"/>
      <c r="I29" s="145"/>
      <c r="J29" s="150">
        <f t="shared" si="6"/>
        <v>0</v>
      </c>
      <c r="K29" s="106">
        <f t="shared" si="7"/>
        <v>0</v>
      </c>
      <c r="L29" s="106">
        <f>+'FRONIUS-BYD 335Wp'!L31</f>
        <v>5875</v>
      </c>
      <c r="M29" s="106">
        <f t="shared" si="8"/>
        <v>5875</v>
      </c>
      <c r="N29" s="106" t="str">
        <f>+IF(F29="","",F29*'Tabela de BDI'!$C$7)</f>
        <v/>
      </c>
      <c r="O29" s="106" t="str">
        <f>IF(F29="","",F29*'Tabela de BDI'!$C$8)</f>
        <v/>
      </c>
      <c r="P29" s="109" t="str">
        <f t="shared" si="9"/>
        <v/>
      </c>
      <c r="Q29" s="110" t="str">
        <f t="shared" si="10"/>
        <v/>
      </c>
      <c r="R29" s="111">
        <f>+'Tabela de BDI'!$F$9*C29</f>
        <v>1584</v>
      </c>
      <c r="S29" s="114"/>
    </row>
    <row r="30" spans="1:19" ht="15.75" customHeight="1" x14ac:dyDescent="0.25">
      <c r="A30" s="175"/>
      <c r="B30" s="103" t="s">
        <v>85</v>
      </c>
      <c r="C30" s="104">
        <f t="shared" si="5"/>
        <v>14.08</v>
      </c>
      <c r="D30" s="201"/>
      <c r="E30" s="105">
        <f>+'FRONIUS-BYD 335Wp'!E32</f>
        <v>32</v>
      </c>
      <c r="F30" s="112" t="str">
        <f>+IF(K30=0,"",ROUND(M30/(1-'Tabela de BDI'!$C$3),0))</f>
        <v/>
      </c>
      <c r="G30" s="107"/>
      <c r="H30" s="106"/>
      <c r="I30" s="145"/>
      <c r="J30" s="150">
        <f t="shared" si="6"/>
        <v>0</v>
      </c>
      <c r="K30" s="106">
        <f t="shared" si="7"/>
        <v>0</v>
      </c>
      <c r="L30" s="106">
        <f>+'FRONIUS-BYD 335Wp'!L32</f>
        <v>6125</v>
      </c>
      <c r="M30" s="106">
        <f t="shared" si="8"/>
        <v>6125</v>
      </c>
      <c r="N30" s="106" t="str">
        <f>+IF(F30="","",F30*'Tabela de BDI'!$C$7)</f>
        <v/>
      </c>
      <c r="O30" s="106" t="str">
        <f>IF(F30="","",F30*'Tabela de BDI'!$C$8)</f>
        <v/>
      </c>
      <c r="P30" s="109" t="str">
        <f t="shared" si="9"/>
        <v/>
      </c>
      <c r="Q30" s="110" t="str">
        <f t="shared" si="10"/>
        <v/>
      </c>
      <c r="R30" s="111">
        <f>+'Tabela de BDI'!$F$9*C30</f>
        <v>1689.6</v>
      </c>
      <c r="S30" s="114"/>
    </row>
    <row r="31" spans="1:19" ht="15.75" customHeight="1" x14ac:dyDescent="0.25">
      <c r="A31" s="175"/>
      <c r="B31" s="103" t="s">
        <v>85</v>
      </c>
      <c r="C31" s="104">
        <f t="shared" si="5"/>
        <v>14.96</v>
      </c>
      <c r="D31" s="201"/>
      <c r="E31" s="105">
        <f>+'FRONIUS-BYD 335Wp'!E33</f>
        <v>34</v>
      </c>
      <c r="F31" s="112" t="str">
        <f>+IF(K31=0,"",ROUND(M31/(1-'Tabela de BDI'!$C$3),0))</f>
        <v/>
      </c>
      <c r="G31" s="107"/>
      <c r="H31" s="106"/>
      <c r="I31" s="145"/>
      <c r="J31" s="150">
        <f t="shared" si="6"/>
        <v>0</v>
      </c>
      <c r="K31" s="106">
        <f t="shared" si="7"/>
        <v>0</v>
      </c>
      <c r="L31" s="106">
        <f>+'FRONIUS-BYD 335Wp'!L33</f>
        <v>7000</v>
      </c>
      <c r="M31" s="106">
        <f t="shared" si="8"/>
        <v>7000</v>
      </c>
      <c r="N31" s="106" t="str">
        <f>+IF(F31="","",F31*'Tabela de BDI'!$C$7)</f>
        <v/>
      </c>
      <c r="O31" s="106" t="str">
        <f>IF(F31="","",F31*'Tabela de BDI'!$C$8)</f>
        <v/>
      </c>
      <c r="P31" s="109" t="str">
        <f t="shared" si="9"/>
        <v/>
      </c>
      <c r="Q31" s="110" t="str">
        <f t="shared" si="10"/>
        <v/>
      </c>
      <c r="R31" s="111">
        <f>+'Tabela de BDI'!$F$9*C31</f>
        <v>1795.2</v>
      </c>
      <c r="S31" s="114"/>
    </row>
    <row r="32" spans="1:19" ht="15.75" customHeight="1" x14ac:dyDescent="0.25">
      <c r="A32" s="175"/>
      <c r="B32" s="103" t="s">
        <v>85</v>
      </c>
      <c r="C32" s="104">
        <f t="shared" si="5"/>
        <v>15.84</v>
      </c>
      <c r="D32" s="201"/>
      <c r="E32" s="105">
        <f>+'FRONIUS-BYD 335Wp'!E34</f>
        <v>36</v>
      </c>
      <c r="F32" s="112">
        <f>+IF(K32=0,"",ROUND(M32/(1-'Tabela de BDI'!$C$3),0))</f>
        <v>70239</v>
      </c>
      <c r="G32" s="156" t="s">
        <v>256</v>
      </c>
      <c r="H32" s="106"/>
      <c r="I32" s="145">
        <f>2*I20</f>
        <v>53050.14</v>
      </c>
      <c r="J32" s="150">
        <f t="shared" si="6"/>
        <v>53858.010152284267</v>
      </c>
      <c r="K32" s="106">
        <f t="shared" si="7"/>
        <v>53858.010152284267</v>
      </c>
      <c r="L32" s="106">
        <f>+'FRONIUS-BYD 335Wp'!L34</f>
        <v>7250</v>
      </c>
      <c r="M32" s="106">
        <f t="shared" si="8"/>
        <v>61108.010152284267</v>
      </c>
      <c r="N32" s="106">
        <f>+IF(F32="","",F32*'Tabela de BDI'!$C$7)</f>
        <v>5619.12</v>
      </c>
      <c r="O32" s="106">
        <f>IF(F32="","",F32*'Tabela de BDI'!$C$8)</f>
        <v>3511.9500000000003</v>
      </c>
      <c r="P32" s="109">
        <f t="shared" si="9"/>
        <v>0.30415141223001479</v>
      </c>
      <c r="Q32" s="110">
        <f t="shared" si="10"/>
        <v>4.4342803030303033</v>
      </c>
      <c r="R32" s="111">
        <f>+'Tabela de BDI'!$F$9*C32</f>
        <v>1900.8</v>
      </c>
      <c r="S32" s="114"/>
    </row>
    <row r="33" spans="1:19" ht="15.75" customHeight="1" x14ac:dyDescent="0.25">
      <c r="A33" s="175"/>
      <c r="B33" s="103" t="s">
        <v>85</v>
      </c>
      <c r="C33" s="104">
        <f t="shared" si="5"/>
        <v>16.72</v>
      </c>
      <c r="D33" s="201"/>
      <c r="E33" s="105">
        <f>+'FRONIUS-BYD 335Wp'!E35</f>
        <v>38</v>
      </c>
      <c r="F33" s="112" t="str">
        <f>+IF(K33=0,"",ROUND(M33/(1-'Tabela de BDI'!$C$3),0))</f>
        <v/>
      </c>
      <c r="G33" s="107"/>
      <c r="H33" s="106"/>
      <c r="I33" s="145"/>
      <c r="J33" s="150">
        <f t="shared" si="6"/>
        <v>0</v>
      </c>
      <c r="K33" s="106">
        <f t="shared" si="7"/>
        <v>0</v>
      </c>
      <c r="L33" s="106">
        <f>+'FRONIUS-BYD 335Wp'!L35</f>
        <v>7500</v>
      </c>
      <c r="M33" s="106">
        <f t="shared" si="8"/>
        <v>7500</v>
      </c>
      <c r="N33" s="106" t="str">
        <f>+IF(F33="","",F33*'Tabela de BDI'!$C$7)</f>
        <v/>
      </c>
      <c r="O33" s="106" t="str">
        <f>IF(F33="","",F33*'Tabela de BDI'!$C$8)</f>
        <v/>
      </c>
      <c r="P33" s="109" t="str">
        <f t="shared" si="9"/>
        <v/>
      </c>
      <c r="Q33" s="110" t="str">
        <f t="shared" si="10"/>
        <v/>
      </c>
      <c r="R33" s="111">
        <f>+'Tabela de BDI'!$F$9*C33</f>
        <v>2006.3999999999999</v>
      </c>
      <c r="S33" s="114"/>
    </row>
    <row r="34" spans="1:19" ht="15.75" customHeight="1" x14ac:dyDescent="0.25">
      <c r="A34" s="175"/>
      <c r="B34" s="103" t="s">
        <v>85</v>
      </c>
      <c r="C34" s="104">
        <f t="shared" si="5"/>
        <v>17.600000000000001</v>
      </c>
      <c r="D34" s="201"/>
      <c r="E34" s="105">
        <f>+'FRONIUS-BYD 335Wp'!E36</f>
        <v>40</v>
      </c>
      <c r="F34" s="112" t="str">
        <f>+IF(K34=0,"",ROUND(M34/(1-'Tabela de BDI'!$C$3),0))</f>
        <v/>
      </c>
      <c r="G34" s="107"/>
      <c r="H34" s="106"/>
      <c r="I34" s="145"/>
      <c r="J34" s="150">
        <f t="shared" si="6"/>
        <v>0</v>
      </c>
      <c r="K34" s="106">
        <f t="shared" si="7"/>
        <v>0</v>
      </c>
      <c r="L34" s="106">
        <f>+'FRONIUS-BYD 335Wp'!L36</f>
        <v>7750</v>
      </c>
      <c r="M34" s="106">
        <f t="shared" si="8"/>
        <v>7750</v>
      </c>
      <c r="N34" s="106" t="str">
        <f>+IF(F34="","",F34*'Tabela de BDI'!$C$7)</f>
        <v/>
      </c>
      <c r="O34" s="106" t="str">
        <f>IF(F34="","",F34*'Tabela de BDI'!$C$8)</f>
        <v/>
      </c>
      <c r="P34" s="109" t="str">
        <f t="shared" si="9"/>
        <v/>
      </c>
      <c r="Q34" s="110" t="str">
        <f t="shared" si="10"/>
        <v/>
      </c>
      <c r="R34" s="111">
        <f>+'Tabela de BDI'!$F$9*C34</f>
        <v>2112</v>
      </c>
      <c r="S34" s="114"/>
    </row>
    <row r="35" spans="1:19" ht="15.75" customHeight="1" x14ac:dyDescent="0.25">
      <c r="A35" s="175"/>
      <c r="B35" s="103" t="s">
        <v>85</v>
      </c>
      <c r="C35" s="104">
        <f t="shared" si="5"/>
        <v>18.48</v>
      </c>
      <c r="D35" s="201"/>
      <c r="E35" s="105">
        <f>+'FRONIUS-BYD 335Wp'!E37</f>
        <v>42</v>
      </c>
      <c r="F35" s="112" t="str">
        <f>+IF(K35=0,"",ROUND(M35/(1-'Tabela de BDI'!$C$3),0))</f>
        <v/>
      </c>
      <c r="G35" s="107"/>
      <c r="H35" s="106"/>
      <c r="I35" s="145"/>
      <c r="J35" s="150">
        <f t="shared" si="6"/>
        <v>0</v>
      </c>
      <c r="K35" s="106">
        <f t="shared" si="7"/>
        <v>0</v>
      </c>
      <c r="L35" s="106">
        <f>+'FRONIUS-BYD 335Wp'!L37</f>
        <v>8000</v>
      </c>
      <c r="M35" s="106">
        <f t="shared" si="8"/>
        <v>8000</v>
      </c>
      <c r="N35" s="106" t="str">
        <f>+IF(F35="","",F35*'Tabela de BDI'!$C$7)</f>
        <v/>
      </c>
      <c r="O35" s="106" t="str">
        <f>IF(F35="","",F35*'Tabela de BDI'!$C$8)</f>
        <v/>
      </c>
      <c r="P35" s="109" t="str">
        <f t="shared" si="9"/>
        <v/>
      </c>
      <c r="Q35" s="110" t="str">
        <f t="shared" si="10"/>
        <v/>
      </c>
      <c r="R35" s="111">
        <f>+'Tabela de BDI'!$F$9*C35</f>
        <v>2217.6</v>
      </c>
      <c r="S35" s="114"/>
    </row>
    <row r="36" spans="1:19" ht="15.75" customHeight="1" x14ac:dyDescent="0.25">
      <c r="A36" s="175"/>
      <c r="B36" s="103" t="s">
        <v>85</v>
      </c>
      <c r="C36" s="104">
        <f t="shared" si="5"/>
        <v>19.36</v>
      </c>
      <c r="D36" s="201"/>
      <c r="E36" s="105">
        <f>+'FRONIUS-BYD 335Wp'!E38</f>
        <v>44</v>
      </c>
      <c r="F36" s="112" t="str">
        <f>+IF(K36=0,"",ROUND(M36/(1-'Tabela de BDI'!$C$3),0))</f>
        <v/>
      </c>
      <c r="G36" s="107"/>
      <c r="H36" s="106"/>
      <c r="I36" s="145"/>
      <c r="J36" s="150">
        <f t="shared" si="6"/>
        <v>0</v>
      </c>
      <c r="K36" s="106">
        <f t="shared" si="7"/>
        <v>0</v>
      </c>
      <c r="L36" s="106">
        <f>+'FRONIUS-BYD 335Wp'!L38</f>
        <v>8250</v>
      </c>
      <c r="M36" s="106">
        <f t="shared" si="8"/>
        <v>8250</v>
      </c>
      <c r="N36" s="106" t="str">
        <f>+IF(F36="","",F36*'Tabela de BDI'!$C$7)</f>
        <v/>
      </c>
      <c r="O36" s="106" t="str">
        <f>IF(F36="","",F36*'Tabela de BDI'!$C$8)</f>
        <v/>
      </c>
      <c r="P36" s="109" t="str">
        <f t="shared" si="9"/>
        <v/>
      </c>
      <c r="Q36" s="110" t="str">
        <f t="shared" si="10"/>
        <v/>
      </c>
      <c r="R36" s="111">
        <f>+'Tabela de BDI'!$F$9*C36</f>
        <v>2323.1999999999998</v>
      </c>
      <c r="S36" s="114"/>
    </row>
    <row r="37" spans="1:19" ht="15.75" customHeight="1" x14ac:dyDescent="0.25">
      <c r="A37" s="175"/>
      <c r="B37" s="103" t="s">
        <v>85</v>
      </c>
      <c r="C37" s="104">
        <f t="shared" si="5"/>
        <v>20.239999999999998</v>
      </c>
      <c r="D37" s="201"/>
      <c r="E37" s="105">
        <f>+'FRONIUS-BYD 335Wp'!E39</f>
        <v>46</v>
      </c>
      <c r="F37" s="112" t="str">
        <f>+IF(K37=0,"",ROUND(M37/(1-'Tabela de BDI'!$C$3),0))</f>
        <v/>
      </c>
      <c r="G37" s="107"/>
      <c r="H37" s="106"/>
      <c r="I37" s="145"/>
      <c r="J37" s="150">
        <f t="shared" si="6"/>
        <v>0</v>
      </c>
      <c r="K37" s="106">
        <f t="shared" si="7"/>
        <v>0</v>
      </c>
      <c r="L37" s="106">
        <f>+'FRONIUS-BYD 335Wp'!L39</f>
        <v>8500</v>
      </c>
      <c r="M37" s="106">
        <f t="shared" si="8"/>
        <v>8500</v>
      </c>
      <c r="N37" s="106" t="str">
        <f>+IF(F37="","",F37*'Tabela de BDI'!$C$7)</f>
        <v/>
      </c>
      <c r="O37" s="106" t="str">
        <f>IF(F37="","",F37*'Tabela de BDI'!$C$8)</f>
        <v/>
      </c>
      <c r="P37" s="109" t="str">
        <f t="shared" si="9"/>
        <v/>
      </c>
      <c r="Q37" s="110" t="str">
        <f t="shared" si="10"/>
        <v/>
      </c>
      <c r="R37" s="111">
        <f>+'Tabela de BDI'!$F$9*C37</f>
        <v>2428.7999999999997</v>
      </c>
      <c r="S37" s="114"/>
    </row>
    <row r="38" spans="1:19" ht="15.75" customHeight="1" x14ac:dyDescent="0.25">
      <c r="A38" s="175"/>
      <c r="B38" s="103" t="s">
        <v>85</v>
      </c>
      <c r="C38" s="104">
        <f t="shared" si="5"/>
        <v>21.12</v>
      </c>
      <c r="D38" s="201"/>
      <c r="E38" s="105">
        <f>+'FRONIUS-BYD 335Wp'!E40</f>
        <v>48</v>
      </c>
      <c r="F38" s="112" t="str">
        <f>+IF(K38=0,"",ROUND(M38/(1-'Tabela de BDI'!$C$3),0))</f>
        <v/>
      </c>
      <c r="G38" s="107"/>
      <c r="H38" s="106"/>
      <c r="I38" s="145"/>
      <c r="J38" s="150">
        <f t="shared" si="6"/>
        <v>0</v>
      </c>
      <c r="K38" s="106">
        <f t="shared" si="7"/>
        <v>0</v>
      </c>
      <c r="L38" s="106">
        <f>+'FRONIUS-BYD 335Wp'!L40</f>
        <v>8750</v>
      </c>
      <c r="M38" s="106">
        <f t="shared" si="8"/>
        <v>8750</v>
      </c>
      <c r="N38" s="106" t="str">
        <f>+IF(F38="","",F38*'Tabela de BDI'!$C$7)</f>
        <v/>
      </c>
      <c r="O38" s="106" t="str">
        <f>IF(F38="","",F38*'Tabela de BDI'!$C$8)</f>
        <v/>
      </c>
      <c r="P38" s="109" t="str">
        <f t="shared" si="9"/>
        <v/>
      </c>
      <c r="Q38" s="110" t="str">
        <f t="shared" si="10"/>
        <v/>
      </c>
      <c r="R38" s="111">
        <f>+'Tabela de BDI'!$F$9*C38</f>
        <v>2534.4</v>
      </c>
      <c r="S38" s="114"/>
    </row>
    <row r="39" spans="1:19" ht="15.75" customHeight="1" x14ac:dyDescent="0.25">
      <c r="A39" s="175"/>
      <c r="B39" s="103" t="s">
        <v>85</v>
      </c>
      <c r="C39" s="104">
        <f t="shared" si="5"/>
        <v>22</v>
      </c>
      <c r="D39" s="201"/>
      <c r="E39" s="105">
        <f>+'FRONIUS-BYD 335Wp'!E41</f>
        <v>50</v>
      </c>
      <c r="F39" s="112" t="str">
        <f>+IF(K39=0,"",ROUND(M39/(1-'Tabela de BDI'!$C$3),0))</f>
        <v/>
      </c>
      <c r="G39" s="107"/>
      <c r="H39" s="106"/>
      <c r="I39" s="145"/>
      <c r="J39" s="150">
        <f t="shared" si="6"/>
        <v>0</v>
      </c>
      <c r="K39" s="106">
        <f t="shared" si="7"/>
        <v>0</v>
      </c>
      <c r="L39" s="106">
        <f>+'FRONIUS-BYD 335Wp'!L41</f>
        <v>9000</v>
      </c>
      <c r="M39" s="106">
        <f t="shared" si="8"/>
        <v>9000</v>
      </c>
      <c r="N39" s="106" t="str">
        <f>+IF(F39="","",F39*'Tabela de BDI'!$C$7)</f>
        <v/>
      </c>
      <c r="O39" s="106" t="str">
        <f>IF(F39="","",F39*'Tabela de BDI'!$C$8)</f>
        <v/>
      </c>
      <c r="P39" s="109" t="str">
        <f t="shared" si="9"/>
        <v/>
      </c>
      <c r="Q39" s="110" t="str">
        <f t="shared" si="10"/>
        <v/>
      </c>
      <c r="R39" s="111">
        <f>+'Tabela de BDI'!$F$9*C39</f>
        <v>2640</v>
      </c>
      <c r="S39" s="114"/>
    </row>
    <row r="40" spans="1:19" ht="15.75" customHeight="1" x14ac:dyDescent="0.25">
      <c r="A40" s="175"/>
      <c r="B40" s="103" t="s">
        <v>85</v>
      </c>
      <c r="C40" s="104">
        <f t="shared" si="5"/>
        <v>22.88</v>
      </c>
      <c r="D40" s="201"/>
      <c r="E40" s="105">
        <f>+'FRONIUS-BYD 335Wp'!E42</f>
        <v>52</v>
      </c>
      <c r="F40" s="112" t="str">
        <f>+IF(K40=0,"",ROUND(M40/(1-'Tabela de BDI'!$C$3),0))</f>
        <v/>
      </c>
      <c r="G40" s="107"/>
      <c r="H40" s="106"/>
      <c r="I40" s="146"/>
      <c r="J40" s="150">
        <f t="shared" si="6"/>
        <v>0</v>
      </c>
      <c r="K40" s="106">
        <f t="shared" si="7"/>
        <v>0</v>
      </c>
      <c r="L40" s="106">
        <f>+'FRONIUS-BYD 335Wp'!L42</f>
        <v>9250</v>
      </c>
      <c r="M40" s="106">
        <f t="shared" si="8"/>
        <v>9250</v>
      </c>
      <c r="N40" s="106" t="str">
        <f>+IF(F40="","",F40*'Tabela de BDI'!$C$7)</f>
        <v/>
      </c>
      <c r="O40" s="106" t="str">
        <f>IF(F40="","",F40*'Tabela de BDI'!$C$8)</f>
        <v/>
      </c>
      <c r="P40" s="109" t="str">
        <f t="shared" si="9"/>
        <v/>
      </c>
      <c r="Q40" s="110" t="str">
        <f t="shared" si="10"/>
        <v/>
      </c>
      <c r="R40" s="111">
        <f>+'Tabela de BDI'!$F$9*C40</f>
        <v>2745.6</v>
      </c>
      <c r="S40" s="114"/>
    </row>
    <row r="41" spans="1:19" ht="15.75" customHeight="1" x14ac:dyDescent="0.25">
      <c r="A41" s="175"/>
      <c r="B41" s="103" t="s">
        <v>85</v>
      </c>
      <c r="C41" s="104">
        <f t="shared" si="5"/>
        <v>23.76</v>
      </c>
      <c r="D41" s="201"/>
      <c r="E41" s="105">
        <f>+'FRONIUS-BYD 335Wp'!E43</f>
        <v>54</v>
      </c>
      <c r="F41" s="112" t="str">
        <f>+IF(K41=0,"",ROUND(M41/(1-'Tabela de BDI'!$C$3),0))</f>
        <v/>
      </c>
      <c r="G41" s="107"/>
      <c r="H41" s="106"/>
      <c r="I41" s="159"/>
      <c r="J41" s="150">
        <f t="shared" si="6"/>
        <v>0</v>
      </c>
      <c r="K41" s="106">
        <f t="shared" si="7"/>
        <v>0</v>
      </c>
      <c r="L41" s="106">
        <f>+'FRONIUS-BYD 335Wp'!L43</f>
        <v>9500</v>
      </c>
      <c r="M41" s="106">
        <f t="shared" si="8"/>
        <v>9500</v>
      </c>
      <c r="N41" s="106" t="str">
        <f>+IF(F41="","",F41*'Tabela de BDI'!$C$7)</f>
        <v/>
      </c>
      <c r="O41" s="106" t="str">
        <f>IF(F41="","",F41*'Tabela de BDI'!$C$8)</f>
        <v/>
      </c>
      <c r="P41" s="109" t="str">
        <f t="shared" si="9"/>
        <v/>
      </c>
      <c r="Q41" s="110" t="str">
        <f t="shared" si="10"/>
        <v/>
      </c>
      <c r="R41" s="111">
        <f>+'Tabela de BDI'!$F$9*C41</f>
        <v>2851.2000000000003</v>
      </c>
      <c r="S41" s="114"/>
    </row>
    <row r="42" spans="1:19" ht="15.75" customHeight="1" x14ac:dyDescent="0.25">
      <c r="A42" s="175"/>
      <c r="B42" s="103" t="s">
        <v>85</v>
      </c>
      <c r="C42" s="104">
        <f t="shared" si="5"/>
        <v>24.64</v>
      </c>
      <c r="D42" s="201"/>
      <c r="E42" s="105">
        <f>+'FRONIUS-BYD 335Wp'!E44</f>
        <v>56</v>
      </c>
      <c r="F42" s="112" t="str">
        <f>+IF(K42=0,"",ROUND(M42/(1-'Tabela de BDI'!$C$3),0))</f>
        <v/>
      </c>
      <c r="G42" s="107"/>
      <c r="H42" s="106"/>
      <c r="I42" s="159"/>
      <c r="J42" s="150">
        <f t="shared" si="6"/>
        <v>0</v>
      </c>
      <c r="K42" s="106">
        <f t="shared" si="7"/>
        <v>0</v>
      </c>
      <c r="L42" s="106">
        <f>+'FRONIUS-BYD 335Wp'!L44</f>
        <v>9750</v>
      </c>
      <c r="M42" s="106">
        <f t="shared" si="8"/>
        <v>9750</v>
      </c>
      <c r="N42" s="106" t="str">
        <f>+IF(F42="","",F42*'Tabela de BDI'!$C$7)</f>
        <v/>
      </c>
      <c r="O42" s="106" t="str">
        <f>IF(F42="","",F42*'Tabela de BDI'!$C$8)</f>
        <v/>
      </c>
      <c r="P42" s="109" t="str">
        <f t="shared" si="9"/>
        <v/>
      </c>
      <c r="Q42" s="110" t="str">
        <f t="shared" si="10"/>
        <v/>
      </c>
      <c r="R42" s="111">
        <f>+'Tabela de BDI'!$F$9*C42</f>
        <v>2956.8</v>
      </c>
      <c r="S42" s="114"/>
    </row>
    <row r="43" spans="1:19" ht="15.75" customHeight="1" x14ac:dyDescent="0.25">
      <c r="A43" s="175"/>
      <c r="B43" s="103" t="s">
        <v>85</v>
      </c>
      <c r="C43" s="104">
        <f t="shared" si="5"/>
        <v>25.52</v>
      </c>
      <c r="D43" s="201"/>
      <c r="E43" s="105">
        <f>+'FRONIUS-BYD 335Wp'!E45</f>
        <v>58</v>
      </c>
      <c r="F43" s="112" t="str">
        <f>+IF(K43=0,"",ROUND(M43/(1-'Tabela de BDI'!$C$3),0))</f>
        <v/>
      </c>
      <c r="G43" s="107"/>
      <c r="H43" s="106"/>
      <c r="I43" s="159"/>
      <c r="J43" s="150">
        <f t="shared" si="6"/>
        <v>0</v>
      </c>
      <c r="K43" s="106">
        <f t="shared" si="7"/>
        <v>0</v>
      </c>
      <c r="L43" s="106">
        <f>+'FRONIUS-BYD 335Wp'!L45</f>
        <v>10000</v>
      </c>
      <c r="M43" s="106">
        <f t="shared" si="8"/>
        <v>10000</v>
      </c>
      <c r="N43" s="106" t="str">
        <f>+IF(F43="","",F43*'Tabela de BDI'!$C$7)</f>
        <v/>
      </c>
      <c r="O43" s="106" t="str">
        <f>IF(F43="","",F43*'Tabela de BDI'!$C$8)</f>
        <v/>
      </c>
      <c r="P43" s="109" t="str">
        <f t="shared" si="9"/>
        <v/>
      </c>
      <c r="Q43" s="110" t="str">
        <f t="shared" si="10"/>
        <v/>
      </c>
      <c r="R43" s="111">
        <f>+'Tabela de BDI'!$F$9*C43</f>
        <v>3062.4</v>
      </c>
      <c r="S43" s="114"/>
    </row>
    <row r="44" spans="1:19" ht="15.75" customHeight="1" x14ac:dyDescent="0.25">
      <c r="A44" s="175"/>
      <c r="B44" s="103" t="s">
        <v>85</v>
      </c>
      <c r="C44" s="104">
        <f t="shared" si="5"/>
        <v>26.4</v>
      </c>
      <c r="D44" s="201"/>
      <c r="E44" s="105">
        <f>+'FRONIUS-BYD 335Wp'!E46</f>
        <v>60</v>
      </c>
      <c r="F44" s="112" t="str">
        <f>+IF(K44=0,"",ROUND(M44/(1-'Tabela de BDI'!$C$3),0))</f>
        <v/>
      </c>
      <c r="G44" s="107"/>
      <c r="H44" s="106"/>
      <c r="I44" s="159"/>
      <c r="J44" s="150">
        <f t="shared" si="6"/>
        <v>0</v>
      </c>
      <c r="K44" s="106">
        <f t="shared" si="7"/>
        <v>0</v>
      </c>
      <c r="L44" s="106">
        <f>+'FRONIUS-BYD 335Wp'!L46</f>
        <v>10250</v>
      </c>
      <c r="M44" s="106">
        <f t="shared" si="8"/>
        <v>10250</v>
      </c>
      <c r="N44" s="106" t="str">
        <f>+IF(F44="","",F44*'Tabela de BDI'!$C$7)</f>
        <v/>
      </c>
      <c r="O44" s="106" t="str">
        <f>IF(F44="","",F44*'Tabela de BDI'!$C$8)</f>
        <v/>
      </c>
      <c r="P44" s="109" t="str">
        <f t="shared" si="9"/>
        <v/>
      </c>
      <c r="Q44" s="110" t="str">
        <f t="shared" si="10"/>
        <v/>
      </c>
      <c r="R44" s="111">
        <f>+'Tabela de BDI'!$F$9*C44</f>
        <v>3168</v>
      </c>
      <c r="S44" s="114"/>
    </row>
    <row r="45" spans="1:19" ht="15.75" customHeight="1" x14ac:dyDescent="0.25">
      <c r="A45" s="175"/>
      <c r="B45" s="103" t="s">
        <v>85</v>
      </c>
      <c r="C45" s="104">
        <f t="shared" si="5"/>
        <v>27.28</v>
      </c>
      <c r="D45" s="201"/>
      <c r="E45" s="105">
        <f>+'FRONIUS-BYD 335Wp'!E47</f>
        <v>62</v>
      </c>
      <c r="F45" s="112" t="str">
        <f>+IF(K45=0,"",ROUND(M45/(1-'Tabela de BDI'!$C$3),0))</f>
        <v/>
      </c>
      <c r="G45" s="107"/>
      <c r="H45" s="106"/>
      <c r="I45" s="145"/>
      <c r="J45" s="150">
        <f t="shared" si="6"/>
        <v>0</v>
      </c>
      <c r="K45" s="106">
        <f t="shared" si="7"/>
        <v>0</v>
      </c>
      <c r="L45" s="106">
        <f>+'FRONIUS-BYD 335Wp'!L47</f>
        <v>10500</v>
      </c>
      <c r="M45" s="106">
        <f t="shared" si="8"/>
        <v>10500</v>
      </c>
      <c r="N45" s="106" t="str">
        <f>+IF(F45="","",F45*'Tabela de BDI'!$C$7)</f>
        <v/>
      </c>
      <c r="O45" s="106" t="str">
        <f>IF(F45="","",F45*'Tabela de BDI'!$C$8)</f>
        <v/>
      </c>
      <c r="P45" s="109" t="str">
        <f t="shared" si="9"/>
        <v/>
      </c>
      <c r="Q45" s="110" t="str">
        <f t="shared" si="10"/>
        <v/>
      </c>
      <c r="R45" s="111">
        <f>+'Tabela de BDI'!$F$9*C45</f>
        <v>3273.6000000000004</v>
      </c>
      <c r="S45" s="114"/>
    </row>
    <row r="46" spans="1:19" ht="15.75" customHeight="1" x14ac:dyDescent="0.25">
      <c r="A46" s="175"/>
      <c r="B46" s="116" t="s">
        <v>89</v>
      </c>
      <c r="C46" s="104">
        <f t="shared" si="5"/>
        <v>28.16</v>
      </c>
      <c r="D46" s="201"/>
      <c r="E46" s="105">
        <f>+'FRONIUS-BYD 335Wp'!E48</f>
        <v>64</v>
      </c>
      <c r="F46" s="112" t="str">
        <f>+IF(K46=0,"",ROUND(M46/(1-'Tabela de BDI'!$C$3),0))</f>
        <v/>
      </c>
      <c r="G46" s="107"/>
      <c r="H46" s="106"/>
      <c r="I46" s="159"/>
      <c r="J46" s="150">
        <f t="shared" si="6"/>
        <v>0</v>
      </c>
      <c r="K46" s="106">
        <f t="shared" si="7"/>
        <v>0</v>
      </c>
      <c r="L46" s="106">
        <f>+'FRONIUS-BYD 335Wp'!L48</f>
        <v>10750</v>
      </c>
      <c r="M46" s="106">
        <f t="shared" si="8"/>
        <v>10750</v>
      </c>
      <c r="N46" s="106" t="str">
        <f>+IF(F46="","",F46*'Tabela de BDI'!$C$7)</f>
        <v/>
      </c>
      <c r="O46" s="106" t="str">
        <f>IF(F46="","",F46*'Tabela de BDI'!$C$8)</f>
        <v/>
      </c>
      <c r="P46" s="109" t="str">
        <f t="shared" si="9"/>
        <v/>
      </c>
      <c r="Q46" s="110" t="str">
        <f t="shared" si="10"/>
        <v/>
      </c>
      <c r="R46" s="111">
        <f>+'Tabela de BDI'!$F$9*C46</f>
        <v>3379.2</v>
      </c>
      <c r="S46" s="114"/>
    </row>
    <row r="47" spans="1:19" ht="15.75" customHeight="1" x14ac:dyDescent="0.25">
      <c r="A47" s="175"/>
      <c r="B47" s="116" t="s">
        <v>89</v>
      </c>
      <c r="C47" s="104">
        <f t="shared" si="5"/>
        <v>0</v>
      </c>
      <c r="D47" s="201"/>
      <c r="E47" s="105"/>
      <c r="F47" s="112" t="str">
        <f>+IF(K47=0,"",ROUND(M47/(1-'Tabela de BDI'!$C$3),0))</f>
        <v/>
      </c>
      <c r="G47" s="107"/>
      <c r="H47" s="106"/>
      <c r="I47" s="145"/>
      <c r="J47" s="150">
        <f t="shared" si="6"/>
        <v>0</v>
      </c>
      <c r="K47" s="106">
        <f t="shared" si="7"/>
        <v>0</v>
      </c>
      <c r="L47" s="168">
        <v>12000</v>
      </c>
      <c r="M47" s="106">
        <f t="shared" si="8"/>
        <v>12000</v>
      </c>
      <c r="N47" s="106" t="str">
        <f>+IF(F47="","",F47*'Tabela de BDI'!$C$7)</f>
        <v/>
      </c>
      <c r="O47" s="106" t="str">
        <f>IF(F47="","",F47*'Tabela de BDI'!$C$8)</f>
        <v/>
      </c>
      <c r="P47" s="109" t="str">
        <f t="shared" si="9"/>
        <v/>
      </c>
      <c r="Q47" s="110" t="str">
        <f t="shared" si="10"/>
        <v/>
      </c>
      <c r="R47" s="111">
        <f>+'Tabela de BDI'!$F$9*C47</f>
        <v>0</v>
      </c>
      <c r="S47" s="114"/>
    </row>
    <row r="48" spans="1:19" ht="15.75" customHeight="1" x14ac:dyDescent="0.25">
      <c r="A48" s="175"/>
      <c r="B48" s="116" t="s">
        <v>89</v>
      </c>
      <c r="C48" s="104">
        <f t="shared" si="5"/>
        <v>0</v>
      </c>
      <c r="D48" s="201"/>
      <c r="E48" s="105"/>
      <c r="F48" s="112" t="str">
        <f>+IF(K48=0,"",ROUND(M48/(1-'Tabela de BDI'!$C$3),0))</f>
        <v/>
      </c>
      <c r="G48" s="107"/>
      <c r="H48" s="106"/>
      <c r="I48" s="145"/>
      <c r="J48" s="150">
        <f t="shared" si="6"/>
        <v>0</v>
      </c>
      <c r="K48" s="106">
        <f t="shared" si="7"/>
        <v>0</v>
      </c>
      <c r="L48" s="106">
        <f t="shared" ref="L48:L62" si="46">+((L47+(E48-E47)*125))</f>
        <v>12000</v>
      </c>
      <c r="M48" s="106">
        <f t="shared" si="8"/>
        <v>12000</v>
      </c>
      <c r="N48" s="106" t="str">
        <f>+IF(F48="","",F48*'Tabela de BDI'!$C$7)</f>
        <v/>
      </c>
      <c r="O48" s="106" t="str">
        <f>IF(F48="","",F48*'Tabela de BDI'!$C$8)</f>
        <v/>
      </c>
      <c r="P48" s="109" t="str">
        <f t="shared" si="9"/>
        <v/>
      </c>
      <c r="Q48" s="110" t="str">
        <f t="shared" si="10"/>
        <v/>
      </c>
      <c r="R48" s="111">
        <f>+'Tabela de BDI'!$F$9*C48</f>
        <v>0</v>
      </c>
      <c r="S48" s="114"/>
    </row>
    <row r="49" spans="1:19" ht="15.75" customHeight="1" x14ac:dyDescent="0.25">
      <c r="A49" s="175"/>
      <c r="B49" s="116" t="s">
        <v>89</v>
      </c>
      <c r="C49" s="104">
        <f t="shared" si="5"/>
        <v>0</v>
      </c>
      <c r="D49" s="201"/>
      <c r="E49" s="105"/>
      <c r="F49" s="112" t="str">
        <f>+IF(K49=0,"",ROUND(M49/(1-'Tabela de BDI'!$C$3),0))</f>
        <v/>
      </c>
      <c r="G49" s="107"/>
      <c r="H49" s="106"/>
      <c r="I49" s="145"/>
      <c r="J49" s="150">
        <f t="shared" si="6"/>
        <v>0</v>
      </c>
      <c r="K49" s="106">
        <f t="shared" si="7"/>
        <v>0</v>
      </c>
      <c r="L49" s="106">
        <f t="shared" si="46"/>
        <v>12000</v>
      </c>
      <c r="M49" s="106">
        <f t="shared" si="8"/>
        <v>12000</v>
      </c>
      <c r="N49" s="106" t="str">
        <f>+IF(F49="","",F49*'Tabela de BDI'!$C$7)</f>
        <v/>
      </c>
      <c r="O49" s="106" t="str">
        <f>IF(F49="","",F49*'Tabela de BDI'!$C$8)</f>
        <v/>
      </c>
      <c r="P49" s="109" t="str">
        <f t="shared" si="9"/>
        <v/>
      </c>
      <c r="Q49" s="110" t="str">
        <f t="shared" si="10"/>
        <v/>
      </c>
      <c r="R49" s="111">
        <f>+'Tabela de BDI'!$F$9*C49</f>
        <v>0</v>
      </c>
      <c r="S49" s="114"/>
    </row>
    <row r="50" spans="1:19" ht="15.75" customHeight="1" x14ac:dyDescent="0.25">
      <c r="A50" s="175"/>
      <c r="B50" s="116" t="s">
        <v>89</v>
      </c>
      <c r="C50" s="104">
        <f t="shared" si="5"/>
        <v>0</v>
      </c>
      <c r="D50" s="201"/>
      <c r="E50" s="105"/>
      <c r="F50" s="112" t="str">
        <f>+IF(K50=0,"",ROUND(M50/(1-'Tabela de BDI'!$C$3),0))</f>
        <v/>
      </c>
      <c r="G50" s="107"/>
      <c r="H50" s="106"/>
      <c r="I50" s="159"/>
      <c r="J50" s="150">
        <f t="shared" si="6"/>
        <v>0</v>
      </c>
      <c r="K50" s="106">
        <f t="shared" si="7"/>
        <v>0</v>
      </c>
      <c r="L50" s="106">
        <f t="shared" si="46"/>
        <v>12000</v>
      </c>
      <c r="M50" s="106">
        <f t="shared" si="8"/>
        <v>12000</v>
      </c>
      <c r="N50" s="106" t="str">
        <f>+IF(F50="","",F50*'Tabela de BDI'!$C$7)</f>
        <v/>
      </c>
      <c r="O50" s="106" t="str">
        <f>IF(F50="","",F50*'Tabela de BDI'!$C$8)</f>
        <v/>
      </c>
      <c r="P50" s="109" t="str">
        <f t="shared" si="9"/>
        <v/>
      </c>
      <c r="Q50" s="110" t="str">
        <f t="shared" si="10"/>
        <v/>
      </c>
      <c r="R50" s="111">
        <f>+'Tabela de BDI'!$F$9*C50</f>
        <v>0</v>
      </c>
      <c r="S50" s="114"/>
    </row>
    <row r="51" spans="1:19" ht="15.75" customHeight="1" x14ac:dyDescent="0.25">
      <c r="A51" s="175"/>
      <c r="B51" s="116" t="s">
        <v>89</v>
      </c>
      <c r="C51" s="104">
        <f t="shared" si="5"/>
        <v>0</v>
      </c>
      <c r="D51" s="201"/>
      <c r="E51" s="105"/>
      <c r="F51" s="112" t="str">
        <f>+IF(K51=0,"",ROUND(M51/(1-'Tabela de BDI'!$C$3),0))</f>
        <v/>
      </c>
      <c r="G51" s="107"/>
      <c r="H51" s="106"/>
      <c r="I51" s="143"/>
      <c r="J51" s="121"/>
      <c r="K51" s="106">
        <f t="shared" si="7"/>
        <v>0</v>
      </c>
      <c r="L51" s="106">
        <f t="shared" si="46"/>
        <v>12000</v>
      </c>
      <c r="M51" s="106">
        <f t="shared" si="8"/>
        <v>12000</v>
      </c>
      <c r="N51" s="106" t="str">
        <f>+IF(F51="","",F51*'Tabela de BDI'!$C$7)</f>
        <v/>
      </c>
      <c r="O51" s="106" t="str">
        <f>IF(F51="","",F51*'Tabela de BDI'!$C$8)</f>
        <v/>
      </c>
      <c r="P51" s="109" t="str">
        <f t="shared" si="9"/>
        <v/>
      </c>
      <c r="Q51" s="110" t="str">
        <f t="shared" si="10"/>
        <v/>
      </c>
      <c r="R51" s="111">
        <f>+'Tabela de BDI'!$F$9*C51</f>
        <v>0</v>
      </c>
      <c r="S51" s="114"/>
    </row>
    <row r="52" spans="1:19" ht="15.75" customHeight="1" x14ac:dyDescent="0.25">
      <c r="A52" s="175"/>
      <c r="B52" s="116" t="s">
        <v>89</v>
      </c>
      <c r="C52" s="104">
        <f t="shared" si="5"/>
        <v>0</v>
      </c>
      <c r="D52" s="201"/>
      <c r="E52" s="105"/>
      <c r="F52" s="112" t="str">
        <f>+IF(K52=0,"",ROUND(M52/(1-'Tabela de BDI'!$C$3),0))</f>
        <v/>
      </c>
      <c r="G52" s="107"/>
      <c r="H52" s="106"/>
      <c r="I52" s="143"/>
      <c r="J52" s="121"/>
      <c r="K52" s="106">
        <f t="shared" si="7"/>
        <v>0</v>
      </c>
      <c r="L52" s="106">
        <f t="shared" si="46"/>
        <v>12000</v>
      </c>
      <c r="M52" s="106">
        <f t="shared" si="8"/>
        <v>12000</v>
      </c>
      <c r="N52" s="106" t="str">
        <f>+IF(F52="","",F52*'Tabela de BDI'!$C$7)</f>
        <v/>
      </c>
      <c r="O52" s="106" t="str">
        <f>IF(F52="","",F52*'Tabela de BDI'!$C$8)</f>
        <v/>
      </c>
      <c r="P52" s="109" t="str">
        <f t="shared" si="9"/>
        <v/>
      </c>
      <c r="Q52" s="110" t="str">
        <f t="shared" si="10"/>
        <v/>
      </c>
      <c r="R52" s="111">
        <f>+'Tabela de BDI'!$F$9*C52</f>
        <v>0</v>
      </c>
      <c r="S52" s="114"/>
    </row>
    <row r="53" spans="1:19" ht="15.75" customHeight="1" x14ac:dyDescent="0.25">
      <c r="A53" s="175"/>
      <c r="B53" s="116" t="s">
        <v>89</v>
      </c>
      <c r="C53" s="104">
        <f t="shared" si="5"/>
        <v>0</v>
      </c>
      <c r="D53" s="201"/>
      <c r="E53" s="105"/>
      <c r="F53" s="112" t="str">
        <f>+IF(K53=0,"",ROUND(M53/(1-'Tabela de BDI'!$C$3),0))</f>
        <v/>
      </c>
      <c r="G53" s="107"/>
      <c r="H53" s="106"/>
      <c r="I53" s="143"/>
      <c r="J53" s="121"/>
      <c r="K53" s="106">
        <f t="shared" si="7"/>
        <v>0</v>
      </c>
      <c r="L53" s="106">
        <f t="shared" si="46"/>
        <v>12000</v>
      </c>
      <c r="M53" s="106">
        <f t="shared" si="8"/>
        <v>12000</v>
      </c>
      <c r="N53" s="106" t="str">
        <f>+IF(F53="","",F53*'Tabela de BDI'!$C$7)</f>
        <v/>
      </c>
      <c r="O53" s="106" t="str">
        <f>IF(F53="","",F53*'Tabela de BDI'!$C$8)</f>
        <v/>
      </c>
      <c r="P53" s="109" t="str">
        <f t="shared" si="9"/>
        <v/>
      </c>
      <c r="Q53" s="110" t="str">
        <f t="shared" si="10"/>
        <v/>
      </c>
      <c r="R53" s="111">
        <f>+'Tabela de BDI'!$F$9*C53</f>
        <v>0</v>
      </c>
      <c r="S53" s="114"/>
    </row>
    <row r="54" spans="1:19" ht="15.75" customHeight="1" x14ac:dyDescent="0.25">
      <c r="A54" s="175"/>
      <c r="B54" s="116" t="s">
        <v>89</v>
      </c>
      <c r="C54" s="104">
        <f t="shared" si="5"/>
        <v>0</v>
      </c>
      <c r="D54" s="201"/>
      <c r="E54" s="105"/>
      <c r="F54" s="112" t="str">
        <f>+IF(K54=0,"",ROUND(M54/(1-'Tabela de BDI'!$C$3),0))</f>
        <v/>
      </c>
      <c r="G54" s="107"/>
      <c r="H54" s="106"/>
      <c r="I54" s="143"/>
      <c r="J54" s="121"/>
      <c r="K54" s="106">
        <f t="shared" si="7"/>
        <v>0</v>
      </c>
      <c r="L54" s="106">
        <f t="shared" si="46"/>
        <v>12000</v>
      </c>
      <c r="M54" s="106">
        <f t="shared" si="8"/>
        <v>12000</v>
      </c>
      <c r="N54" s="106" t="str">
        <f>+IF(F54="","",F54*'Tabela de BDI'!$C$7)</f>
        <v/>
      </c>
      <c r="O54" s="106" t="str">
        <f>IF(F54="","",F54*'Tabela de BDI'!$C$8)</f>
        <v/>
      </c>
      <c r="P54" s="109" t="str">
        <f t="shared" si="9"/>
        <v/>
      </c>
      <c r="Q54" s="110" t="str">
        <f t="shared" si="10"/>
        <v/>
      </c>
      <c r="R54" s="111">
        <f>+'Tabela de BDI'!$F$9*C54</f>
        <v>0</v>
      </c>
      <c r="S54" s="114"/>
    </row>
    <row r="55" spans="1:19" ht="15.75" customHeight="1" x14ac:dyDescent="0.25">
      <c r="A55" s="175"/>
      <c r="B55" s="116" t="s">
        <v>89</v>
      </c>
      <c r="C55" s="104">
        <f t="shared" si="5"/>
        <v>0</v>
      </c>
      <c r="D55" s="201"/>
      <c r="E55" s="105"/>
      <c r="F55" s="112" t="str">
        <f>+IF(K55=0,"",ROUND(M55/(1-'Tabela de BDI'!$C$3),0))</f>
        <v/>
      </c>
      <c r="G55" s="107"/>
      <c r="H55" s="106"/>
      <c r="I55" s="143"/>
      <c r="J55" s="121"/>
      <c r="K55" s="106">
        <f t="shared" si="7"/>
        <v>0</v>
      </c>
      <c r="L55" s="106">
        <f t="shared" si="46"/>
        <v>12000</v>
      </c>
      <c r="M55" s="106">
        <f t="shared" si="8"/>
        <v>12000</v>
      </c>
      <c r="N55" s="106" t="str">
        <f>+IF(F55="","",F55*'Tabela de BDI'!$C$7)</f>
        <v/>
      </c>
      <c r="O55" s="106" t="str">
        <f>IF(F55="","",F55*'Tabela de BDI'!$C$8)</f>
        <v/>
      </c>
      <c r="P55" s="109" t="str">
        <f t="shared" si="9"/>
        <v/>
      </c>
      <c r="Q55" s="110" t="str">
        <f t="shared" si="10"/>
        <v/>
      </c>
      <c r="R55" s="111">
        <f>+'Tabela de BDI'!$F$9*C55</f>
        <v>0</v>
      </c>
      <c r="S55" s="114"/>
    </row>
    <row r="56" spans="1:19" ht="15.75" customHeight="1" x14ac:dyDescent="0.25">
      <c r="A56" s="175"/>
      <c r="B56" s="116" t="s">
        <v>89</v>
      </c>
      <c r="C56" s="104">
        <f t="shared" si="5"/>
        <v>0</v>
      </c>
      <c r="D56" s="201"/>
      <c r="E56" s="105"/>
      <c r="F56" s="112" t="str">
        <f>+IF(K56=0,"",ROUND(M56/(1-'Tabela de BDI'!$C$3),0))</f>
        <v/>
      </c>
      <c r="G56" s="107"/>
      <c r="H56" s="106"/>
      <c r="I56" s="143"/>
      <c r="J56" s="121"/>
      <c r="K56" s="106">
        <f t="shared" si="7"/>
        <v>0</v>
      </c>
      <c r="L56" s="106">
        <f t="shared" si="46"/>
        <v>12000</v>
      </c>
      <c r="M56" s="106">
        <f t="shared" si="8"/>
        <v>12000</v>
      </c>
      <c r="N56" s="106" t="str">
        <f>+IF(F56="","",F56*'Tabela de BDI'!$C$7)</f>
        <v/>
      </c>
      <c r="O56" s="106" t="str">
        <f>IF(F56="","",F56*'Tabela de BDI'!$C$8)</f>
        <v/>
      </c>
      <c r="P56" s="109" t="str">
        <f t="shared" si="9"/>
        <v/>
      </c>
      <c r="Q56" s="110" t="str">
        <f t="shared" si="10"/>
        <v/>
      </c>
      <c r="R56" s="111">
        <f>+'Tabela de BDI'!$F$9*C56</f>
        <v>0</v>
      </c>
      <c r="S56" s="114"/>
    </row>
    <row r="57" spans="1:19" ht="15.75" customHeight="1" x14ac:dyDescent="0.25">
      <c r="A57" s="175"/>
      <c r="B57" s="116" t="s">
        <v>89</v>
      </c>
      <c r="C57" s="104">
        <f t="shared" si="5"/>
        <v>0</v>
      </c>
      <c r="D57" s="201"/>
      <c r="E57" s="105"/>
      <c r="F57" s="112" t="str">
        <f>+IF(K57=0,"",ROUND(M57/(1-'Tabela de BDI'!$C$3),0))</f>
        <v/>
      </c>
      <c r="G57" s="107"/>
      <c r="H57" s="106"/>
      <c r="I57" s="143"/>
      <c r="J57" s="121"/>
      <c r="K57" s="106">
        <f t="shared" si="7"/>
        <v>0</v>
      </c>
      <c r="L57" s="106">
        <f t="shared" si="46"/>
        <v>12000</v>
      </c>
      <c r="M57" s="106">
        <f t="shared" si="8"/>
        <v>12000</v>
      </c>
      <c r="N57" s="106" t="str">
        <f>+IF(F57="","",F57*'Tabela de BDI'!$C$7)</f>
        <v/>
      </c>
      <c r="O57" s="106" t="str">
        <f>IF(F57="","",F57*'Tabela de BDI'!$C$8)</f>
        <v/>
      </c>
      <c r="P57" s="109" t="str">
        <f t="shared" si="9"/>
        <v/>
      </c>
      <c r="Q57" s="110" t="str">
        <f t="shared" si="10"/>
        <v/>
      </c>
      <c r="R57" s="111">
        <f>+'Tabela de BDI'!$F$9*C57</f>
        <v>0</v>
      </c>
      <c r="S57" s="114"/>
    </row>
    <row r="58" spans="1:19" ht="15.75" customHeight="1" x14ac:dyDescent="0.25">
      <c r="A58" s="175"/>
      <c r="B58" s="116" t="s">
        <v>89</v>
      </c>
      <c r="C58" s="104">
        <f t="shared" si="5"/>
        <v>0</v>
      </c>
      <c r="D58" s="201"/>
      <c r="E58" s="105"/>
      <c r="F58" s="112" t="str">
        <f>+IF(K58=0,"",ROUND(M58/(1-'Tabela de BDI'!$C$3),0))</f>
        <v/>
      </c>
      <c r="G58" s="107"/>
      <c r="H58" s="106"/>
      <c r="I58" s="143"/>
      <c r="J58" s="121"/>
      <c r="K58" s="106">
        <f t="shared" si="7"/>
        <v>0</v>
      </c>
      <c r="L58" s="106">
        <f t="shared" si="46"/>
        <v>12000</v>
      </c>
      <c r="M58" s="106">
        <f t="shared" si="8"/>
        <v>12000</v>
      </c>
      <c r="N58" s="106" t="str">
        <f>+IF(F58="","",F58*'Tabela de BDI'!$C$7)</f>
        <v/>
      </c>
      <c r="O58" s="106" t="str">
        <f>IF(F58="","",F58*'Tabela de BDI'!$C$8)</f>
        <v/>
      </c>
      <c r="P58" s="109" t="str">
        <f t="shared" si="9"/>
        <v/>
      </c>
      <c r="Q58" s="110" t="str">
        <f t="shared" si="10"/>
        <v/>
      </c>
      <c r="R58" s="111">
        <f>+'Tabela de BDI'!$F$9*C58</f>
        <v>0</v>
      </c>
      <c r="S58" s="114"/>
    </row>
    <row r="59" spans="1:19" ht="15.75" customHeight="1" x14ac:dyDescent="0.25">
      <c r="A59" s="175"/>
      <c r="B59" s="116" t="s">
        <v>89</v>
      </c>
      <c r="C59" s="104">
        <f t="shared" si="5"/>
        <v>0</v>
      </c>
      <c r="D59" s="201"/>
      <c r="E59" s="105"/>
      <c r="F59" s="112" t="str">
        <f>+IF(K59=0,"",ROUND(M59/(1-'Tabela de BDI'!$C$3),0))</f>
        <v/>
      </c>
      <c r="G59" s="107"/>
      <c r="H59" s="106"/>
      <c r="I59" s="143"/>
      <c r="J59" s="121"/>
      <c r="K59" s="106">
        <f t="shared" si="7"/>
        <v>0</v>
      </c>
      <c r="L59" s="106">
        <f t="shared" si="46"/>
        <v>12000</v>
      </c>
      <c r="M59" s="106">
        <f t="shared" si="8"/>
        <v>12000</v>
      </c>
      <c r="N59" s="106" t="str">
        <f>+IF(F59="","",F59*'Tabela de BDI'!$C$7)</f>
        <v/>
      </c>
      <c r="O59" s="106" t="str">
        <f>IF(F59="","",F59*'Tabela de BDI'!$C$8)</f>
        <v/>
      </c>
      <c r="P59" s="109" t="str">
        <f t="shared" si="9"/>
        <v/>
      </c>
      <c r="Q59" s="110" t="str">
        <f t="shared" si="10"/>
        <v/>
      </c>
      <c r="R59" s="111">
        <f>+'Tabela de BDI'!$F$9*C59</f>
        <v>0</v>
      </c>
      <c r="S59" s="114"/>
    </row>
    <row r="60" spans="1:19" ht="15.75" customHeight="1" x14ac:dyDescent="0.25">
      <c r="A60" s="175"/>
      <c r="B60" s="116" t="s">
        <v>89</v>
      </c>
      <c r="C60" s="104">
        <f t="shared" si="5"/>
        <v>0</v>
      </c>
      <c r="D60" s="201"/>
      <c r="E60" s="105"/>
      <c r="F60" s="112" t="str">
        <f>+IF(K60=0,"",ROUND(M60/(1-'Tabela de BDI'!$C$3),0))</f>
        <v/>
      </c>
      <c r="G60" s="107"/>
      <c r="H60" s="106"/>
      <c r="I60" s="143"/>
      <c r="J60" s="121"/>
      <c r="K60" s="106">
        <f t="shared" si="7"/>
        <v>0</v>
      </c>
      <c r="L60" s="106">
        <f t="shared" si="46"/>
        <v>12000</v>
      </c>
      <c r="M60" s="106">
        <f t="shared" si="8"/>
        <v>12000</v>
      </c>
      <c r="N60" s="106" t="str">
        <f>+IF(F60="","",F60*'Tabela de BDI'!$C$7)</f>
        <v/>
      </c>
      <c r="O60" s="106" t="str">
        <f>IF(F60="","",F60*'Tabela de BDI'!$C$8)</f>
        <v/>
      </c>
      <c r="P60" s="109" t="str">
        <f t="shared" si="9"/>
        <v/>
      </c>
      <c r="Q60" s="110" t="str">
        <f t="shared" si="10"/>
        <v/>
      </c>
      <c r="R60" s="111">
        <f>+'Tabela de BDI'!$F$9*C60</f>
        <v>0</v>
      </c>
      <c r="S60" s="114"/>
    </row>
    <row r="61" spans="1:19" ht="15.75" customHeight="1" x14ac:dyDescent="0.25">
      <c r="A61" s="175"/>
      <c r="B61" s="116" t="s">
        <v>89</v>
      </c>
      <c r="C61" s="104">
        <f t="shared" si="5"/>
        <v>0</v>
      </c>
      <c r="D61" s="201"/>
      <c r="E61" s="105"/>
      <c r="F61" s="112" t="str">
        <f>+IF(K61=0,"",ROUND(M61/(1-'Tabela de BDI'!$C$3),0))</f>
        <v/>
      </c>
      <c r="G61" s="107"/>
      <c r="H61" s="106"/>
      <c r="I61" s="143"/>
      <c r="J61" s="121"/>
      <c r="K61" s="106">
        <f t="shared" si="7"/>
        <v>0</v>
      </c>
      <c r="L61" s="106">
        <f t="shared" si="46"/>
        <v>12000</v>
      </c>
      <c r="M61" s="106">
        <f t="shared" si="8"/>
        <v>12000</v>
      </c>
      <c r="N61" s="106" t="str">
        <f>+IF(F61="","",F61*'Tabela de BDI'!$C$7)</f>
        <v/>
      </c>
      <c r="O61" s="106" t="str">
        <f>IF(F61="","",F61*'Tabela de BDI'!$C$8)</f>
        <v/>
      </c>
      <c r="P61" s="109" t="str">
        <f t="shared" si="9"/>
        <v/>
      </c>
      <c r="Q61" s="110" t="str">
        <f t="shared" si="10"/>
        <v/>
      </c>
      <c r="R61" s="111">
        <f>+'Tabela de BDI'!$F$9*C61</f>
        <v>0</v>
      </c>
      <c r="S61" s="114"/>
    </row>
    <row r="62" spans="1:19" ht="15.75" customHeight="1" x14ac:dyDescent="0.25">
      <c r="A62" s="175"/>
      <c r="B62" s="116" t="s">
        <v>89</v>
      </c>
      <c r="C62" s="104">
        <f t="shared" si="5"/>
        <v>0</v>
      </c>
      <c r="D62" s="201"/>
      <c r="E62" s="105"/>
      <c r="F62" s="112" t="str">
        <f>+IF(K62=0,"",ROUND(M62/(1-'Tabela de BDI'!$C$3),0))</f>
        <v/>
      </c>
      <c r="G62" s="107"/>
      <c r="H62" s="106"/>
      <c r="I62" s="143"/>
      <c r="J62" s="121"/>
      <c r="K62" s="106">
        <f t="shared" si="7"/>
        <v>0</v>
      </c>
      <c r="L62" s="106">
        <f t="shared" si="46"/>
        <v>12000</v>
      </c>
      <c r="M62" s="106">
        <f t="shared" si="8"/>
        <v>12000</v>
      </c>
      <c r="N62" s="106" t="str">
        <f>+IF(F62="","",F62*'Tabela de BDI'!$C$7)</f>
        <v/>
      </c>
      <c r="O62" s="106" t="str">
        <f>IF(F62="","",F62*'Tabela de BDI'!$C$8)</f>
        <v/>
      </c>
      <c r="P62" s="109" t="str">
        <f t="shared" si="9"/>
        <v/>
      </c>
      <c r="Q62" s="110" t="str">
        <f t="shared" si="10"/>
        <v/>
      </c>
      <c r="R62" s="111">
        <f>+'Tabela de BDI'!$F$9*C62</f>
        <v>0</v>
      </c>
      <c r="S62" s="114"/>
    </row>
    <row r="63" spans="1:19" ht="15.75" customHeight="1" x14ac:dyDescent="0.25">
      <c r="A63" s="175"/>
      <c r="B63" s="117"/>
      <c r="C63" s="104"/>
      <c r="D63" s="201"/>
      <c r="E63" s="105"/>
      <c r="F63" s="106"/>
      <c r="G63" s="107"/>
      <c r="H63" s="106"/>
      <c r="I63" s="143"/>
      <c r="J63" s="106"/>
      <c r="K63" s="106"/>
      <c r="L63" s="106"/>
      <c r="M63" s="106"/>
      <c r="N63" s="106"/>
      <c r="O63" s="106"/>
      <c r="P63" s="106"/>
      <c r="Q63" s="110" t="str">
        <f t="shared" si="10"/>
        <v/>
      </c>
      <c r="R63" s="111"/>
      <c r="S63" s="114"/>
    </row>
    <row r="64" spans="1:19" ht="15.75" customHeight="1" x14ac:dyDescent="0.25">
      <c r="A64" s="175"/>
      <c r="B64" s="117"/>
      <c r="C64" s="104"/>
      <c r="D64" s="201"/>
      <c r="E64" s="105"/>
      <c r="F64" s="106"/>
      <c r="G64" s="107"/>
      <c r="H64" s="106"/>
      <c r="I64" s="143"/>
      <c r="J64" s="106"/>
      <c r="K64" s="106"/>
      <c r="L64" s="106"/>
      <c r="M64" s="106"/>
      <c r="N64" s="106"/>
      <c r="O64" s="106"/>
      <c r="P64" s="106"/>
      <c r="Q64" s="110" t="str">
        <f t="shared" si="10"/>
        <v/>
      </c>
      <c r="R64" s="111"/>
      <c r="S64" s="114"/>
    </row>
    <row r="65" spans="1:19" ht="15.75" customHeight="1" x14ac:dyDescent="0.25">
      <c r="A65" s="175"/>
      <c r="B65" s="175"/>
      <c r="C65" s="175"/>
      <c r="D65" s="256"/>
      <c r="E65" s="175"/>
      <c r="F65" s="175"/>
      <c r="G65" s="175"/>
      <c r="H65" s="175"/>
      <c r="I65" s="175"/>
      <c r="J65" s="175"/>
      <c r="K65" s="118"/>
      <c r="L65" s="118"/>
      <c r="M65" s="118"/>
      <c r="N65" s="118"/>
      <c r="O65" s="118"/>
      <c r="P65" s="118"/>
      <c r="Q65" s="118"/>
      <c r="R65" s="175"/>
      <c r="S65" s="175"/>
    </row>
    <row r="66" spans="1:19" ht="15.75" customHeight="1" x14ac:dyDescent="0.25">
      <c r="A66" s="175"/>
      <c r="B66" s="337" t="s">
        <v>79</v>
      </c>
      <c r="C66" s="338"/>
      <c r="D66" s="254"/>
      <c r="E66" s="175"/>
      <c r="F66" s="119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</row>
    <row r="67" spans="1:19" ht="15.75" customHeight="1" x14ac:dyDescent="0.25">
      <c r="A67" s="175"/>
      <c r="B67" s="119">
        <v>44332</v>
      </c>
      <c r="C67" s="175"/>
      <c r="D67" s="256"/>
      <c r="E67" s="175"/>
      <c r="F67" s="175"/>
      <c r="G67" s="175"/>
      <c r="H67" s="175"/>
      <c r="I67" s="175"/>
      <c r="J67" s="175"/>
      <c r="R67" s="175"/>
      <c r="S67" s="175"/>
    </row>
    <row r="68" spans="1:19" ht="15.75" customHeight="1" x14ac:dyDescent="0.25">
      <c r="A68" s="175"/>
      <c r="B68" s="175"/>
      <c r="C68" s="175"/>
      <c r="D68" s="256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</row>
    <row r="69" spans="1:19" ht="15.75" customHeight="1" x14ac:dyDescent="0.25">
      <c r="A69" s="175"/>
      <c r="B69" s="175"/>
      <c r="C69" s="175"/>
      <c r="D69" s="256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</row>
    <row r="70" spans="1:19" ht="15.75" customHeight="1" x14ac:dyDescent="0.25">
      <c r="A70" s="175"/>
      <c r="B70" s="175"/>
      <c r="C70" s="175"/>
      <c r="D70" s="256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</row>
    <row r="71" spans="1:19" ht="15.75" customHeight="1" x14ac:dyDescent="0.25">
      <c r="A71" s="175"/>
      <c r="B71" s="175"/>
      <c r="C71" s="175"/>
      <c r="D71" s="256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</row>
    <row r="72" spans="1:19" ht="15.75" customHeight="1" x14ac:dyDescent="0.25">
      <c r="A72" s="175"/>
      <c r="B72" s="175"/>
      <c r="C72" s="175"/>
      <c r="D72" s="256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</row>
    <row r="73" spans="1:19" ht="15.75" customHeight="1" x14ac:dyDescent="0.25">
      <c r="A73" s="175"/>
      <c r="B73" s="175"/>
      <c r="C73" s="175"/>
      <c r="D73" s="256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</row>
    <row r="74" spans="1:19" ht="15.75" customHeight="1" x14ac:dyDescent="0.25">
      <c r="A74" s="175"/>
      <c r="B74" s="175"/>
      <c r="C74" s="175"/>
      <c r="D74" s="256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</row>
    <row r="75" spans="1:19" ht="15.75" customHeight="1" x14ac:dyDescent="0.25">
      <c r="A75" s="175"/>
      <c r="B75" s="175"/>
      <c r="C75" s="175"/>
      <c r="D75" s="256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</row>
    <row r="76" spans="1:19" ht="15.75" customHeight="1" x14ac:dyDescent="0.25">
      <c r="A76" s="175"/>
      <c r="B76" s="175"/>
      <c r="C76" s="175"/>
      <c r="D76" s="256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</row>
    <row r="77" spans="1:19" ht="15.75" customHeight="1" x14ac:dyDescent="0.25">
      <c r="A77" s="175"/>
      <c r="B77" s="175"/>
      <c r="C77" s="175"/>
      <c r="D77" s="256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</row>
    <row r="78" spans="1:19" ht="15.75" customHeight="1" x14ac:dyDescent="0.25">
      <c r="A78" s="175"/>
      <c r="B78" s="175"/>
      <c r="C78" s="175"/>
      <c r="D78" s="256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</row>
    <row r="79" spans="1:19" ht="15.75" customHeight="1" x14ac:dyDescent="0.25">
      <c r="A79" s="175"/>
      <c r="B79" s="175"/>
      <c r="C79" s="175"/>
      <c r="D79" s="256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</row>
    <row r="80" spans="1:19" ht="15.75" customHeight="1" x14ac:dyDescent="0.25">
      <c r="A80" s="175"/>
      <c r="B80" s="175"/>
      <c r="C80" s="175"/>
      <c r="D80" s="256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</row>
    <row r="81" spans="1:19" ht="15.75" customHeight="1" x14ac:dyDescent="0.25">
      <c r="A81" s="175"/>
      <c r="B81" s="175"/>
      <c r="C81" s="175"/>
      <c r="D81" s="256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</row>
    <row r="82" spans="1:19" ht="15.75" customHeight="1" x14ac:dyDescent="0.25">
      <c r="A82" s="175"/>
      <c r="B82" s="175"/>
      <c r="C82" s="175"/>
      <c r="D82" s="256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</row>
    <row r="83" spans="1:19" ht="15.75" customHeight="1" x14ac:dyDescent="0.25">
      <c r="A83" s="175"/>
      <c r="B83" s="175"/>
      <c r="C83" s="175"/>
      <c r="D83" s="256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</row>
    <row r="84" spans="1:19" ht="15.75" customHeight="1" x14ac:dyDescent="0.25">
      <c r="A84" s="175"/>
      <c r="B84" s="175"/>
      <c r="C84" s="175"/>
      <c r="D84" s="256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</row>
    <row r="85" spans="1:19" ht="15.75" customHeight="1" x14ac:dyDescent="0.25">
      <c r="A85" s="175"/>
      <c r="B85" s="175"/>
      <c r="C85" s="175"/>
      <c r="D85" s="256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</row>
    <row r="86" spans="1:19" ht="15.75" customHeight="1" x14ac:dyDescent="0.25">
      <c r="A86" s="175"/>
      <c r="B86" s="175"/>
      <c r="C86" s="175"/>
      <c r="D86" s="256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</row>
    <row r="87" spans="1:19" ht="15.75" customHeight="1" x14ac:dyDescent="0.25">
      <c r="A87" s="175"/>
      <c r="B87" s="175"/>
      <c r="C87" s="175"/>
      <c r="D87" s="256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</row>
    <row r="88" spans="1:19" ht="15.75" customHeight="1" x14ac:dyDescent="0.25">
      <c r="A88" s="175"/>
      <c r="B88" s="175"/>
      <c r="C88" s="175"/>
      <c r="D88" s="256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</row>
    <row r="89" spans="1:19" ht="15.75" customHeight="1" x14ac:dyDescent="0.25">
      <c r="A89" s="175"/>
      <c r="B89" s="175"/>
      <c r="C89" s="175"/>
      <c r="D89" s="256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</row>
    <row r="90" spans="1:19" ht="15.75" customHeight="1" x14ac:dyDescent="0.25">
      <c r="A90" s="175"/>
      <c r="B90" s="175"/>
      <c r="C90" s="175"/>
      <c r="D90" s="256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</row>
    <row r="91" spans="1:19" ht="15.75" customHeight="1" x14ac:dyDescent="0.25">
      <c r="A91" s="175"/>
      <c r="B91" s="175"/>
      <c r="C91" s="175"/>
      <c r="D91" s="256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</row>
    <row r="92" spans="1:19" ht="15.75" customHeight="1" x14ac:dyDescent="0.25">
      <c r="A92" s="175"/>
      <c r="B92" s="175"/>
      <c r="C92" s="175"/>
      <c r="D92" s="256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</row>
    <row r="93" spans="1:19" ht="15.75" customHeight="1" x14ac:dyDescent="0.25">
      <c r="A93" s="175"/>
      <c r="B93" s="175"/>
      <c r="C93" s="175"/>
      <c r="D93" s="256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</row>
    <row r="94" spans="1:19" ht="15.75" customHeight="1" x14ac:dyDescent="0.25">
      <c r="A94" s="175"/>
      <c r="B94" s="175"/>
      <c r="C94" s="175"/>
      <c r="D94" s="256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</row>
    <row r="95" spans="1:19" ht="15.75" customHeight="1" x14ac:dyDescent="0.25">
      <c r="A95" s="175"/>
      <c r="B95" s="175"/>
      <c r="C95" s="175"/>
      <c r="D95" s="256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</row>
    <row r="96" spans="1:19" ht="15.75" customHeight="1" x14ac:dyDescent="0.25">
      <c r="A96" s="175"/>
      <c r="B96" s="175"/>
      <c r="C96" s="175"/>
      <c r="D96" s="256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</row>
    <row r="97" spans="1:19" ht="15.75" customHeight="1" x14ac:dyDescent="0.25">
      <c r="A97" s="175"/>
      <c r="B97" s="175"/>
      <c r="C97" s="175"/>
      <c r="D97" s="256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</row>
    <row r="98" spans="1:19" ht="15.75" customHeight="1" x14ac:dyDescent="0.25">
      <c r="A98" s="175"/>
      <c r="B98" s="175"/>
      <c r="C98" s="175"/>
      <c r="D98" s="256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</row>
    <row r="99" spans="1:19" ht="15.75" customHeight="1" x14ac:dyDescent="0.25">
      <c r="A99" s="175"/>
      <c r="B99" s="175"/>
      <c r="C99" s="175"/>
      <c r="D99" s="256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</row>
    <row r="100" spans="1:19" ht="15.75" customHeight="1" x14ac:dyDescent="0.25">
      <c r="A100" s="175"/>
      <c r="B100" s="175"/>
      <c r="C100" s="175"/>
      <c r="D100" s="256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</row>
    <row r="101" spans="1:19" ht="15.75" customHeight="1" x14ac:dyDescent="0.25">
      <c r="A101" s="175"/>
      <c r="B101" s="175"/>
      <c r="C101" s="175"/>
      <c r="D101" s="256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</row>
    <row r="102" spans="1:19" ht="15.75" customHeight="1" x14ac:dyDescent="0.25">
      <c r="A102" s="175"/>
      <c r="B102" s="175"/>
      <c r="C102" s="175"/>
      <c r="D102" s="256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</row>
    <row r="103" spans="1:19" ht="15.75" customHeight="1" x14ac:dyDescent="0.25">
      <c r="A103" s="175"/>
      <c r="B103" s="175"/>
      <c r="C103" s="175"/>
      <c r="D103" s="256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</row>
    <row r="104" spans="1:19" ht="15.75" customHeight="1" x14ac:dyDescent="0.25">
      <c r="A104" s="175"/>
      <c r="B104" s="175"/>
      <c r="C104" s="175"/>
      <c r="D104" s="256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</row>
    <row r="105" spans="1:19" ht="15.75" customHeight="1" x14ac:dyDescent="0.25">
      <c r="A105" s="175"/>
      <c r="B105" s="175"/>
      <c r="C105" s="175"/>
      <c r="D105" s="256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</row>
    <row r="106" spans="1:19" ht="15.75" customHeight="1" x14ac:dyDescent="0.25">
      <c r="A106" s="175"/>
      <c r="B106" s="175"/>
      <c r="C106" s="175"/>
      <c r="D106" s="256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</row>
    <row r="107" spans="1:19" ht="15.75" customHeight="1" x14ac:dyDescent="0.25">
      <c r="A107" s="175"/>
      <c r="B107" s="175"/>
      <c r="C107" s="175"/>
      <c r="D107" s="256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</row>
    <row r="108" spans="1:19" ht="15.75" customHeight="1" x14ac:dyDescent="0.25">
      <c r="A108" s="175"/>
      <c r="B108" s="175"/>
      <c r="C108" s="175"/>
      <c r="D108" s="256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</row>
    <row r="109" spans="1:19" ht="15.75" customHeight="1" x14ac:dyDescent="0.25">
      <c r="A109" s="175"/>
      <c r="B109" s="175"/>
      <c r="C109" s="175"/>
      <c r="D109" s="256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</row>
  </sheetData>
  <mergeCells count="21">
    <mergeCell ref="P4:P5"/>
    <mergeCell ref="Q4:Q5"/>
    <mergeCell ref="R4:R5"/>
    <mergeCell ref="M4:M5"/>
    <mergeCell ref="N4:N5"/>
    <mergeCell ref="B66:C66"/>
    <mergeCell ref="J4:J5"/>
    <mergeCell ref="K4:K5"/>
    <mergeCell ref="L4:L5"/>
    <mergeCell ref="B2:D2"/>
    <mergeCell ref="B3:D3"/>
    <mergeCell ref="D4:D5"/>
    <mergeCell ref="E2:R2"/>
    <mergeCell ref="E3:R3"/>
    <mergeCell ref="B4:B5"/>
    <mergeCell ref="C4:C5"/>
    <mergeCell ref="E4:E5"/>
    <mergeCell ref="F4:F5"/>
    <mergeCell ref="G4:G5"/>
    <mergeCell ref="H4:H5"/>
    <mergeCell ref="O4:O5"/>
  </mergeCells>
  <pageMargins left="0.51181102362204722" right="0.51181102362204722" top="0.78740157480314965" bottom="0.7874015748031496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01"/>
  <sheetViews>
    <sheetView showGridLines="0" zoomScale="70" zoomScaleNormal="70" workbookViewId="0">
      <pane ySplit="9" topLeftCell="A10" activePane="bottomLeft" state="frozen"/>
      <selection activeCell="H18" sqref="H18:I18"/>
      <selection pane="bottomLeft" activeCell="D11" sqref="D11:E11"/>
    </sheetView>
  </sheetViews>
  <sheetFormatPr defaultColWidth="14.42578125" defaultRowHeight="15" customHeight="1" x14ac:dyDescent="0.25"/>
  <cols>
    <col min="1" max="1" width="8.7109375" customWidth="1"/>
    <col min="2" max="2" width="2.42578125" customWidth="1"/>
    <col min="3" max="3" width="35.140625" customWidth="1"/>
    <col min="4" max="4" width="13" customWidth="1"/>
    <col min="5" max="5" width="11.5703125" customWidth="1"/>
    <col min="6" max="6" width="16" customWidth="1"/>
    <col min="7" max="7" width="10" customWidth="1"/>
    <col min="8" max="8" width="15.28515625" customWidth="1"/>
    <col min="9" max="9" width="10" customWidth="1"/>
    <col min="10" max="10" width="13.85546875" customWidth="1"/>
    <col min="11" max="11" width="8.5703125" customWidth="1"/>
    <col min="12" max="12" width="19.7109375" customWidth="1"/>
    <col min="13" max="13" width="8.5703125" customWidth="1"/>
    <col min="14" max="14" width="26" customWidth="1"/>
    <col min="15" max="18" width="14.42578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5">
      <c r="A2" s="1"/>
      <c r="B2" s="1"/>
      <c r="C2" s="10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 customHeight="1" x14ac:dyDescent="0.25">
      <c r="A3" s="1"/>
      <c r="B3" s="1"/>
      <c r="C3" s="10"/>
      <c r="D3" s="346" t="s">
        <v>12</v>
      </c>
      <c r="E3" s="347"/>
      <c r="F3" s="347"/>
      <c r="G3" s="347"/>
      <c r="H3" s="347"/>
      <c r="I3" s="347"/>
      <c r="J3" s="11"/>
      <c r="K3" s="11"/>
      <c r="L3" s="11"/>
      <c r="M3" s="11"/>
      <c r="N3" s="1"/>
      <c r="O3" s="1"/>
      <c r="P3" s="1"/>
      <c r="Q3" s="1"/>
      <c r="R3" s="1"/>
    </row>
    <row r="4" spans="1:18" ht="15" customHeight="1" x14ac:dyDescent="0.25">
      <c r="A4" s="1"/>
      <c r="B4" s="1"/>
      <c r="C4" s="10"/>
      <c r="D4" s="347"/>
      <c r="E4" s="347"/>
      <c r="F4" s="347"/>
      <c r="G4" s="347"/>
      <c r="H4" s="347"/>
      <c r="I4" s="347"/>
      <c r="J4" s="11"/>
      <c r="K4" s="11"/>
      <c r="L4" s="11"/>
      <c r="M4" s="11"/>
      <c r="N4" s="1"/>
      <c r="O4" s="1"/>
      <c r="P4" s="1"/>
      <c r="Q4" s="1"/>
      <c r="R4" s="1"/>
    </row>
    <row r="5" spans="1:18" ht="15" customHeight="1" x14ac:dyDescent="0.25">
      <c r="A5" s="1"/>
      <c r="B5" s="1"/>
      <c r="C5" s="10"/>
      <c r="D5" s="346" t="s">
        <v>13</v>
      </c>
      <c r="E5" s="347"/>
      <c r="F5" s="347"/>
      <c r="G5" s="347"/>
      <c r="H5" s="347"/>
      <c r="I5" s="347"/>
      <c r="J5" s="11"/>
      <c r="K5" s="11"/>
      <c r="L5" s="11"/>
      <c r="M5" s="11"/>
      <c r="N5" s="1"/>
      <c r="O5" s="1"/>
      <c r="P5" s="1"/>
      <c r="Q5" s="1"/>
      <c r="R5" s="1"/>
    </row>
    <row r="6" spans="1:18" ht="15" customHeight="1" x14ac:dyDescent="0.25">
      <c r="A6" s="1"/>
      <c r="B6" s="1"/>
      <c r="C6" s="10"/>
      <c r="D6" s="347"/>
      <c r="E6" s="347"/>
      <c r="F6" s="347"/>
      <c r="G6" s="347"/>
      <c r="H6" s="347"/>
      <c r="I6" s="347"/>
      <c r="J6" s="11"/>
      <c r="K6" s="11"/>
      <c r="L6" s="12"/>
      <c r="M6" s="11"/>
      <c r="N6" s="1"/>
      <c r="O6" s="1"/>
      <c r="P6" s="1"/>
      <c r="Q6" s="1"/>
      <c r="R6" s="1"/>
    </row>
    <row r="7" spans="1:18" ht="15" customHeight="1" x14ac:dyDescent="0.25">
      <c r="A7" s="1"/>
      <c r="B7" s="1"/>
      <c r="C7" s="10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8.75" x14ac:dyDescent="0.3">
      <c r="A8" s="1"/>
      <c r="B8" s="1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1"/>
      <c r="O8" s="1"/>
      <c r="P8" s="1"/>
      <c r="Q8" s="1"/>
      <c r="R8" s="1"/>
    </row>
    <row r="9" spans="1:18" ht="21" customHeight="1" x14ac:dyDescent="0.3">
      <c r="A9" s="1"/>
      <c r="B9" s="1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0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1"/>
      <c r="P9" s="1"/>
      <c r="Q9" s="1"/>
      <c r="R9" s="1"/>
    </row>
    <row r="10" spans="1:18" ht="15.75" customHeight="1" x14ac:dyDescent="0.25">
      <c r="A10" s="1"/>
      <c r="B10" s="1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350">
        <f>+L11*L13/1000</f>
        <v>0</v>
      </c>
      <c r="M10" s="351"/>
      <c r="N10" s="2"/>
      <c r="O10" s="1"/>
      <c r="P10" s="1"/>
      <c r="Q10" s="1"/>
      <c r="R10" s="1"/>
    </row>
    <row r="11" spans="1:18" ht="15.75" customHeight="1" x14ac:dyDescent="0.25">
      <c r="A11" s="1"/>
      <c r="B11" s="1"/>
      <c r="C11" s="24" t="s">
        <v>18</v>
      </c>
      <c r="D11" s="374" t="e">
        <f>+VLOOKUP(MIN('FRONIUS-BYD 335Wp'!D:D),'FRONIUS-BYD 335Wp'!D:E,2,0)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1"/>
      <c r="P11" s="1"/>
      <c r="Q11" s="1"/>
      <c r="R11" s="1"/>
    </row>
    <row r="12" spans="1:18" ht="15.75" customHeight="1" x14ac:dyDescent="0.25">
      <c r="A12" s="1"/>
      <c r="B12" s="1"/>
      <c r="C12" s="25" t="s">
        <v>19</v>
      </c>
      <c r="D12" s="367" t="s">
        <v>20</v>
      </c>
      <c r="E12" s="338"/>
      <c r="F12" s="368" t="str">
        <f t="shared" ref="F12:F13" si="0">+D12</f>
        <v>BYD HALF CELL</v>
      </c>
      <c r="G12" s="338"/>
      <c r="H12" s="369" t="str">
        <f>+F12</f>
        <v>BYD HALF CELL</v>
      </c>
      <c r="I12" s="338"/>
      <c r="J12" s="370" t="str">
        <f>+H12</f>
        <v>BYD HALF CELL</v>
      </c>
      <c r="K12" s="338"/>
      <c r="L12" s="363" t="str">
        <f>+J12</f>
        <v>BYD HALF CELL</v>
      </c>
      <c r="M12" s="354"/>
      <c r="N12" s="2"/>
      <c r="O12" s="1"/>
      <c r="P12" s="215"/>
      <c r="Q12" s="1"/>
      <c r="R12" s="1"/>
    </row>
    <row r="13" spans="1:18" ht="15.75" customHeight="1" x14ac:dyDescent="0.25">
      <c r="A13" s="1"/>
      <c r="B13" s="1"/>
      <c r="C13" s="24" t="s">
        <v>21</v>
      </c>
      <c r="D13" s="372">
        <v>335</v>
      </c>
      <c r="E13" s="338"/>
      <c r="F13" s="375">
        <f t="shared" si="0"/>
        <v>335</v>
      </c>
      <c r="G13" s="338"/>
      <c r="H13" s="376">
        <f>+D13</f>
        <v>335</v>
      </c>
      <c r="I13" s="338"/>
      <c r="J13" s="352">
        <f>+D13</f>
        <v>335</v>
      </c>
      <c r="K13" s="338"/>
      <c r="L13" s="364">
        <f>+D13</f>
        <v>335</v>
      </c>
      <c r="M13" s="354"/>
      <c r="N13" s="2"/>
      <c r="O13" s="1"/>
      <c r="P13" s="1"/>
      <c r="Q13" s="1"/>
      <c r="R13" s="1"/>
    </row>
    <row r="14" spans="1:18" ht="15.75" customHeight="1" x14ac:dyDescent="0.25">
      <c r="A14" s="1"/>
      <c r="B14" s="1"/>
      <c r="C14" s="190" t="s">
        <v>222</v>
      </c>
      <c r="D14" s="26" t="e">
        <f>+IF(D11="","",VLOOKUP(D11,'FRONIUS-BYD 335Wp'!$E$7:$G$71,3,0))</f>
        <v>#DIV/0!</v>
      </c>
      <c r="E14" s="27">
        <v>1</v>
      </c>
      <c r="F14" s="28" t="str">
        <f>+IF(F11="","",VLOOKUP(F11,'FRONIUS-BYD 335Wp'!$E$7:$G$71,3,0))</f>
        <v/>
      </c>
      <c r="G14" s="29">
        <v>1</v>
      </c>
      <c r="H14" s="30" t="str">
        <f>+IF(H11="","",VLOOKUP(H11,'FRONIUS-BYD 335Wp'!$E$7:$G$71,3,0))</f>
        <v/>
      </c>
      <c r="I14" s="31">
        <v>1</v>
      </c>
      <c r="J14" s="32" t="str">
        <f>+IF(J11="","",VLOOKUP(J11,'FRONIUS-BYD 335Wp'!$E$7:$G$71,3,0))</f>
        <v/>
      </c>
      <c r="K14" s="33">
        <v>1</v>
      </c>
      <c r="L14" s="34" t="str">
        <f>+IF(L11="","",VLOOKUP(L11,'FRONIUS-BYD 335Wp'!$E$7:$G$71,3,0))</f>
        <v/>
      </c>
      <c r="M14" s="35">
        <v>1</v>
      </c>
      <c r="N14" s="2"/>
      <c r="O14" s="1"/>
      <c r="P14" s="1"/>
      <c r="Q14" s="1"/>
      <c r="R14" s="1"/>
    </row>
    <row r="15" spans="1:18" ht="15.75" hidden="1" customHeight="1" x14ac:dyDescent="0.25">
      <c r="A15" s="1"/>
      <c r="B15" s="1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1"/>
      <c r="P15" s="1"/>
      <c r="Q15" s="1"/>
      <c r="R15" s="1"/>
    </row>
    <row r="16" spans="1:18" ht="15.75" customHeight="1" x14ac:dyDescent="0.25">
      <c r="A16" s="1"/>
      <c r="B16" s="1"/>
      <c r="C16" s="24" t="s">
        <v>25</v>
      </c>
      <c r="D16" s="373" t="e">
        <f>+D11*1.94236</f>
        <v>#DIV/0!</v>
      </c>
      <c r="E16" s="338"/>
      <c r="F16" s="355">
        <f>+F11*1.94236</f>
        <v>0</v>
      </c>
      <c r="G16" s="338"/>
      <c r="H16" s="356">
        <f>+H11*1.94236</f>
        <v>0</v>
      </c>
      <c r="I16" s="338"/>
      <c r="J16" s="365">
        <f>+J11*1.94236</f>
        <v>0</v>
      </c>
      <c r="K16" s="338"/>
      <c r="L16" s="366">
        <f>+L11*1.94236</f>
        <v>0</v>
      </c>
      <c r="M16" s="354"/>
      <c r="N16" s="2"/>
      <c r="O16" s="1"/>
      <c r="P16" s="1"/>
      <c r="Q16" s="1"/>
      <c r="R16" s="47"/>
    </row>
    <row r="17" spans="1:18" ht="15.75" customHeight="1" x14ac:dyDescent="0.25">
      <c r="A17" s="1"/>
      <c r="B17" s="1"/>
      <c r="C17" s="48" t="s">
        <v>26</v>
      </c>
      <c r="D17" s="371" t="e">
        <f>+D11*D13*$D$45/1000</f>
        <v>#DIV/0!</v>
      </c>
      <c r="E17" s="349"/>
      <c r="F17" s="357">
        <f>+F11*F13*$D$45/1000</f>
        <v>0</v>
      </c>
      <c r="G17" s="349"/>
      <c r="H17" s="358">
        <f>+H11*H13*$D$45/1000</f>
        <v>0</v>
      </c>
      <c r="I17" s="349"/>
      <c r="J17" s="359">
        <f>+J11*J13*$D$45/1000</f>
        <v>0</v>
      </c>
      <c r="K17" s="360"/>
      <c r="L17" s="361">
        <f>+L11*L13*$D$45/1000</f>
        <v>0</v>
      </c>
      <c r="M17" s="362"/>
      <c r="N17" s="2"/>
      <c r="O17" s="1"/>
      <c r="P17" s="49"/>
      <c r="Q17" s="1"/>
      <c r="R17" s="1"/>
    </row>
    <row r="18" spans="1:18" ht="15.75" customHeight="1" x14ac:dyDescent="0.25">
      <c r="A18" s="1"/>
      <c r="B18" s="1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1"/>
      <c r="P18" s="1"/>
      <c r="Q18" s="1"/>
      <c r="R18" s="1"/>
    </row>
    <row r="19" spans="1:18" ht="15.75" customHeight="1" thickBot="1" x14ac:dyDescent="0.3">
      <c r="A19" s="1"/>
      <c r="B19" s="1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09" t="e">
        <f>+L17/$D$43</f>
        <v>#DIV/0!</v>
      </c>
      <c r="M19" s="410"/>
      <c r="N19" s="2"/>
      <c r="O19" s="1"/>
      <c r="P19" s="1"/>
      <c r="Q19" s="1"/>
      <c r="R19" s="1"/>
    </row>
    <row r="20" spans="1:18" ht="18.75" customHeight="1" thickBot="1" x14ac:dyDescent="0.4">
      <c r="A20" s="1"/>
      <c r="B20" s="1"/>
      <c r="C20" s="51"/>
      <c r="D20" s="52"/>
      <c r="E20" s="53"/>
      <c r="F20" s="54"/>
      <c r="G20" s="2"/>
      <c r="H20" s="54"/>
      <c r="I20" s="2"/>
      <c r="J20" s="55"/>
      <c r="K20" s="1"/>
      <c r="L20" s="54"/>
      <c r="M20" s="2"/>
      <c r="N20" s="2"/>
      <c r="O20" s="1"/>
      <c r="P20" s="1"/>
      <c r="Q20" s="1"/>
      <c r="R20" s="1"/>
    </row>
    <row r="21" spans="1:18" s="174" customFormat="1" ht="43.5" hidden="1" customHeight="1" thickBot="1" x14ac:dyDescent="0.3">
      <c r="A21" s="175"/>
      <c r="B21" s="175"/>
      <c r="C21" s="188" t="s">
        <v>220</v>
      </c>
      <c r="D21" s="395" t="e">
        <f>+IF(D11="","",VLOOKUP(D11,'FRONIUS-BYD 335Wp'!$E$7:$F$71,2,0))</f>
        <v>#DIV/0!</v>
      </c>
      <c r="E21" s="396"/>
      <c r="F21" s="397" t="str">
        <f>+IF(F11="","",VLOOKUP(F11,'FRONIUS-BYD 335Wp'!$E$7:$F$71,2,0))</f>
        <v/>
      </c>
      <c r="G21" s="398"/>
      <c r="H21" s="399" t="str">
        <f>+IF(H11="","",VLOOKUP(H11,'FRONIUS-BYD 335Wp'!$E$7:$F$71,2,0))</f>
        <v/>
      </c>
      <c r="I21" s="398"/>
      <c r="J21" s="400" t="str">
        <f>+IF(J11="","",VLOOKUP(J11,'FRONIUS-BYD 335Wp'!$E$7:$F$71,2,0))</f>
        <v/>
      </c>
      <c r="K21" s="398"/>
      <c r="L21" s="401" t="str">
        <f>+IF(L11="","",VLOOKUP(L11,'FRONIUS-BYD 335Wp'!$E$7:$F$71,2,0))</f>
        <v/>
      </c>
      <c r="M21" s="381"/>
      <c r="N21" s="2"/>
      <c r="O21" s="175"/>
      <c r="P21" s="175"/>
      <c r="Q21" s="175"/>
      <c r="R21" s="175"/>
    </row>
    <row r="22" spans="1:18" ht="43.5" customHeight="1" thickBot="1" x14ac:dyDescent="0.3">
      <c r="A22" s="1"/>
      <c r="B22" s="1"/>
      <c r="C22" s="189" t="s">
        <v>29</v>
      </c>
      <c r="D22" s="395" t="e">
        <f>+D21+(D21*$H$44)</f>
        <v>#DIV/0!</v>
      </c>
      <c r="E22" s="396"/>
      <c r="F22" s="397" t="e">
        <f>+F21+(F21*$H$44)</f>
        <v>#VALUE!</v>
      </c>
      <c r="G22" s="398"/>
      <c r="H22" s="399" t="e">
        <f>+H21+(H21*$H$44)</f>
        <v>#VALUE!</v>
      </c>
      <c r="I22" s="398"/>
      <c r="J22" s="400" t="e">
        <f>+J21+(J21*$H$44)</f>
        <v>#VALUE!</v>
      </c>
      <c r="K22" s="398"/>
      <c r="L22" s="401" t="e">
        <f>+L21+(L21*$H$44)</f>
        <v>#VALUE!</v>
      </c>
      <c r="M22" s="381"/>
      <c r="N22" s="2"/>
      <c r="O22" s="1"/>
      <c r="P22" s="1"/>
      <c r="Q22" s="1"/>
      <c r="R22" s="1"/>
    </row>
    <row r="23" spans="1:18" ht="12.75" customHeight="1" x14ac:dyDescent="0.35">
      <c r="A23" s="1"/>
      <c r="B23" s="1"/>
      <c r="C23" s="51"/>
      <c r="D23" s="56"/>
      <c r="E23" s="57"/>
      <c r="F23" s="56"/>
      <c r="G23" s="57"/>
      <c r="H23" s="56"/>
      <c r="I23" s="57"/>
      <c r="J23" s="54"/>
      <c r="K23" s="58"/>
      <c r="L23" s="54"/>
      <c r="M23" s="58"/>
      <c r="N23" s="2"/>
      <c r="O23" s="1"/>
      <c r="P23" s="1"/>
      <c r="Q23" s="1"/>
      <c r="R23" s="1"/>
    </row>
    <row r="24" spans="1:18" ht="15.75" customHeight="1" thickBot="1" x14ac:dyDescent="0.4">
      <c r="A24" s="1"/>
      <c r="B24" s="1"/>
      <c r="C24" s="271" t="s">
        <v>30</v>
      </c>
      <c r="D24" s="270"/>
      <c r="E24" s="270"/>
      <c r="F24" s="270"/>
      <c r="G24" s="270"/>
      <c r="H24" s="270"/>
      <c r="I24" s="57"/>
      <c r="J24" s="54"/>
      <c r="K24" s="58"/>
      <c r="L24" s="54"/>
      <c r="M24" s="58"/>
      <c r="N24" s="2"/>
      <c r="O24" s="1"/>
      <c r="P24" s="1"/>
      <c r="Q24" s="1"/>
      <c r="R24" s="1"/>
    </row>
    <row r="25" spans="1:18" ht="15" customHeight="1" x14ac:dyDescent="0.25">
      <c r="A25" s="1"/>
      <c r="B25" s="1"/>
      <c r="C25" s="59" t="s">
        <v>31</v>
      </c>
      <c r="D25" s="402" t="e">
        <f>+$D$42*D22</f>
        <v>#DIV/0!</v>
      </c>
      <c r="E25" s="403"/>
      <c r="F25" s="404" t="e">
        <f>+$D$42*F22</f>
        <v>#VALUE!</v>
      </c>
      <c r="G25" s="403"/>
      <c r="H25" s="405" t="e">
        <f>+$D$42*H22</f>
        <v>#VALUE!</v>
      </c>
      <c r="I25" s="403"/>
      <c r="J25" s="406" t="e">
        <f>+$D$42*J22</f>
        <v>#VALUE!</v>
      </c>
      <c r="K25" s="403"/>
      <c r="L25" s="407" t="e">
        <f>+$D$42*L22</f>
        <v>#VALUE!</v>
      </c>
      <c r="M25" s="408"/>
      <c r="N25" s="60" t="s">
        <v>32</v>
      </c>
      <c r="O25" s="1"/>
      <c r="P25" s="1" t="s">
        <v>33</v>
      </c>
      <c r="Q25" s="1"/>
      <c r="R25" s="1"/>
    </row>
    <row r="26" spans="1:18" ht="15" hidden="1" customHeight="1" x14ac:dyDescent="0.25">
      <c r="A26" s="1"/>
      <c r="B26" s="1"/>
      <c r="C26" s="61"/>
      <c r="D26" s="389" t="e">
        <f>+D22-D25</f>
        <v>#DIV/0!</v>
      </c>
      <c r="E26" s="338"/>
      <c r="F26" s="388" t="e">
        <f>+F22-F25</f>
        <v>#VALUE!</v>
      </c>
      <c r="G26" s="338"/>
      <c r="H26" s="385" t="e">
        <f>+H22-H25</f>
        <v>#VALUE!</v>
      </c>
      <c r="I26" s="338"/>
      <c r="J26" s="386" t="e">
        <f>+J22-J25</f>
        <v>#VALUE!</v>
      </c>
      <c r="K26" s="338"/>
      <c r="L26" s="387" t="e">
        <f>+L22-L25</f>
        <v>#VALUE!</v>
      </c>
      <c r="M26" s="354"/>
      <c r="N26" s="62"/>
      <c r="O26" s="1"/>
      <c r="P26" s="1"/>
      <c r="Q26" s="1"/>
      <c r="R26" s="1"/>
    </row>
    <row r="27" spans="1:18" ht="15" customHeight="1" x14ac:dyDescent="0.25">
      <c r="A27" s="1"/>
      <c r="B27" s="1"/>
      <c r="C27" s="216">
        <v>12</v>
      </c>
      <c r="D27" s="389" t="e">
        <f>+PMT(N27,C27,-$D$26)</f>
        <v>#DIV/0!</v>
      </c>
      <c r="E27" s="338"/>
      <c r="F27" s="388" t="e">
        <f>+PMT(N27,C27,-$F$26)</f>
        <v>#VALUE!</v>
      </c>
      <c r="G27" s="338"/>
      <c r="H27" s="385" t="e">
        <f>+PMT(N27,C27,-$H$26)</f>
        <v>#VALUE!</v>
      </c>
      <c r="I27" s="338"/>
      <c r="J27" s="386" t="e">
        <f>+PMT(N27,C27,-$J$26)</f>
        <v>#VALUE!</v>
      </c>
      <c r="K27" s="338"/>
      <c r="L27" s="387" t="e">
        <f>+PMT(N27,C27,-$L$26)</f>
        <v>#VALUE!</v>
      </c>
      <c r="M27" s="354"/>
      <c r="N27" s="63">
        <v>1.6799999999999999E-2</v>
      </c>
      <c r="O27" s="215"/>
      <c r="P27" s="64">
        <v>1.6799999999999999E-2</v>
      </c>
      <c r="Q27" s="1"/>
      <c r="R27" s="1"/>
    </row>
    <row r="28" spans="1:18" ht="15" customHeight="1" x14ac:dyDescent="0.25">
      <c r="A28" s="1"/>
      <c r="B28" s="1"/>
      <c r="C28" s="217">
        <f>+C27+12</f>
        <v>24</v>
      </c>
      <c r="D28" s="389" t="e">
        <f t="shared" ref="D28:D31" si="1">+PMT(N28,C28,-$D$26)</f>
        <v>#DIV/0!</v>
      </c>
      <c r="E28" s="338"/>
      <c r="F28" s="388" t="e">
        <f t="shared" ref="F28:F31" si="2">+PMT(N28,C28,-$F$26)</f>
        <v>#VALUE!</v>
      </c>
      <c r="G28" s="338"/>
      <c r="H28" s="385" t="e">
        <f t="shared" ref="H28:H31" si="3">+PMT(N28,C28,-$H$26)</f>
        <v>#VALUE!</v>
      </c>
      <c r="I28" s="338"/>
      <c r="J28" s="386" t="e">
        <f t="shared" ref="J28:J31" si="4">+PMT(N28,C28,-$J$26)</f>
        <v>#VALUE!</v>
      </c>
      <c r="K28" s="338"/>
      <c r="L28" s="387" t="e">
        <f t="shared" ref="L28:L31" si="5">+PMT(N28,C28,-$L$26)</f>
        <v>#VALUE!</v>
      </c>
      <c r="M28" s="354"/>
      <c r="N28" s="63">
        <v>1.55E-2</v>
      </c>
      <c r="O28" s="215"/>
      <c r="P28" s="64">
        <v>1.55E-2</v>
      </c>
      <c r="Q28" s="1"/>
      <c r="R28" s="1"/>
    </row>
    <row r="29" spans="1:18" ht="15" customHeight="1" x14ac:dyDescent="0.25">
      <c r="A29" s="1"/>
      <c r="B29" s="1"/>
      <c r="C29" s="216">
        <f t="shared" ref="C29:C31" si="6">+C28+12</f>
        <v>36</v>
      </c>
      <c r="D29" s="389" t="e">
        <f t="shared" si="1"/>
        <v>#DIV/0!</v>
      </c>
      <c r="E29" s="338"/>
      <c r="F29" s="388" t="e">
        <f t="shared" si="2"/>
        <v>#VALUE!</v>
      </c>
      <c r="G29" s="338"/>
      <c r="H29" s="385" t="e">
        <f t="shared" si="3"/>
        <v>#VALUE!</v>
      </c>
      <c r="I29" s="338"/>
      <c r="J29" s="386" t="e">
        <f t="shared" si="4"/>
        <v>#VALUE!</v>
      </c>
      <c r="K29" s="338"/>
      <c r="L29" s="387" t="e">
        <f t="shared" si="5"/>
        <v>#VALUE!</v>
      </c>
      <c r="M29" s="354"/>
      <c r="N29" s="63">
        <v>1.5800000000000002E-2</v>
      </c>
      <c r="O29" s="215"/>
      <c r="P29" s="64">
        <v>1.5800000000000002E-2</v>
      </c>
      <c r="Q29" s="1"/>
      <c r="R29" s="1"/>
    </row>
    <row r="30" spans="1:18" ht="15" customHeight="1" x14ac:dyDescent="0.25">
      <c r="A30" s="1"/>
      <c r="B30" s="1"/>
      <c r="C30" s="218">
        <f t="shared" si="6"/>
        <v>48</v>
      </c>
      <c r="D30" s="389" t="e">
        <f t="shared" si="1"/>
        <v>#DIV/0!</v>
      </c>
      <c r="E30" s="338"/>
      <c r="F30" s="388" t="e">
        <f t="shared" si="2"/>
        <v>#VALUE!</v>
      </c>
      <c r="G30" s="338"/>
      <c r="H30" s="385" t="e">
        <f t="shared" si="3"/>
        <v>#VALUE!</v>
      </c>
      <c r="I30" s="338"/>
      <c r="J30" s="386" t="e">
        <f t="shared" si="4"/>
        <v>#VALUE!</v>
      </c>
      <c r="K30" s="338"/>
      <c r="L30" s="387" t="e">
        <f t="shared" si="5"/>
        <v>#VALUE!</v>
      </c>
      <c r="M30" s="354"/>
      <c r="N30" s="63">
        <v>1.61E-2</v>
      </c>
      <c r="O30" s="215"/>
      <c r="P30" s="64">
        <v>1.61E-2</v>
      </c>
      <c r="Q30" s="1"/>
      <c r="R30" s="1"/>
    </row>
    <row r="31" spans="1:18" ht="15" customHeight="1" x14ac:dyDescent="0.25">
      <c r="A31" s="1"/>
      <c r="B31" s="1"/>
      <c r="C31" s="219">
        <f t="shared" si="6"/>
        <v>60</v>
      </c>
      <c r="D31" s="418" t="e">
        <f t="shared" si="1"/>
        <v>#DIV/0!</v>
      </c>
      <c r="E31" s="391"/>
      <c r="F31" s="421" t="e">
        <f t="shared" si="2"/>
        <v>#VALUE!</v>
      </c>
      <c r="G31" s="391"/>
      <c r="H31" s="414" t="e">
        <f t="shared" si="3"/>
        <v>#VALUE!</v>
      </c>
      <c r="I31" s="391"/>
      <c r="J31" s="415" t="e">
        <f t="shared" si="4"/>
        <v>#VALUE!</v>
      </c>
      <c r="K31" s="391"/>
      <c r="L31" s="419" t="e">
        <f t="shared" si="5"/>
        <v>#VALUE!</v>
      </c>
      <c r="M31" s="420"/>
      <c r="N31" s="63">
        <v>1.6400000000000001E-2</v>
      </c>
      <c r="O31" s="215"/>
      <c r="P31" s="64">
        <v>1.6400000000000001E-2</v>
      </c>
      <c r="Q31" s="1"/>
      <c r="R31" s="1"/>
    </row>
    <row r="32" spans="1:18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1"/>
      <c r="P32" s="1"/>
      <c r="Q32" s="1"/>
      <c r="R32" s="1"/>
    </row>
    <row r="33" spans="1:18" ht="14.25" customHeight="1" x14ac:dyDescent="0.25">
      <c r="A33" s="65"/>
      <c r="B33" s="65"/>
      <c r="C33" s="66" t="s">
        <v>207</v>
      </c>
      <c r="D33" s="65"/>
      <c r="E33" s="65"/>
      <c r="F33" s="65"/>
      <c r="G33" s="65"/>
      <c r="H33" s="54"/>
      <c r="I33" s="54"/>
      <c r="J33" s="65"/>
      <c r="K33" s="65"/>
      <c r="L33" s="65"/>
      <c r="M33" s="65"/>
      <c r="N33" s="65"/>
      <c r="O33" s="1"/>
      <c r="P33" s="1"/>
      <c r="Q33" s="1"/>
      <c r="R33" s="1"/>
    </row>
    <row r="34" spans="1:18" ht="14.25" customHeight="1" x14ac:dyDescent="0.25">
      <c r="A34" s="65"/>
      <c r="B34" s="65"/>
      <c r="C34" s="65"/>
      <c r="D34" s="65"/>
      <c r="E34" s="67"/>
      <c r="F34" s="68"/>
      <c r="G34" s="65"/>
      <c r="H34" s="54"/>
      <c r="I34" s="54"/>
      <c r="J34" s="65"/>
      <c r="K34" s="65"/>
      <c r="L34" s="65"/>
      <c r="M34" s="65"/>
      <c r="N34" s="65"/>
      <c r="O34" s="1"/>
      <c r="P34" s="1"/>
      <c r="Q34" s="1"/>
      <c r="R34" s="1"/>
    </row>
    <row r="35" spans="1:18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1"/>
      <c r="P35" s="1"/>
      <c r="Q35" s="1"/>
      <c r="R35" s="1"/>
    </row>
    <row r="36" spans="1:18" ht="14.25" customHeight="1" x14ac:dyDescent="0.25">
      <c r="A36" s="1"/>
      <c r="B36" s="1"/>
      <c r="C36" s="73" t="s">
        <v>34</v>
      </c>
      <c r="D36" s="416" t="e">
        <f>+D22/(D10*1000)</f>
        <v>#DIV/0!</v>
      </c>
      <c r="E36" s="417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1"/>
      <c r="P36" s="1"/>
      <c r="Q36" s="1"/>
      <c r="R36" s="1"/>
    </row>
    <row r="37" spans="1:18" ht="14.25" customHeight="1" x14ac:dyDescent="0.25">
      <c r="A37" s="1"/>
      <c r="B37" s="1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1"/>
      <c r="P37" s="1"/>
      <c r="Q37" s="1"/>
      <c r="R37" s="1"/>
    </row>
    <row r="38" spans="1:18" ht="14.25" customHeight="1" x14ac:dyDescent="0.25">
      <c r="A38" s="1"/>
      <c r="B38" s="1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1"/>
      <c r="P38" s="1"/>
      <c r="Q38" s="1"/>
      <c r="R38" s="1"/>
    </row>
    <row r="39" spans="1:18" ht="14.25" customHeight="1" x14ac:dyDescent="0.25">
      <c r="A39" s="1"/>
      <c r="B39" s="1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1"/>
      <c r="O39" s="1"/>
      <c r="P39" s="1"/>
      <c r="Q39" s="1"/>
      <c r="R39" s="1"/>
    </row>
    <row r="40" spans="1:18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4.25" customHeight="1" x14ac:dyDescent="0.25">
      <c r="A42" s="1"/>
      <c r="B42" s="1"/>
      <c r="C42" s="77" t="s">
        <v>38</v>
      </c>
      <c r="D42" s="78">
        <v>0</v>
      </c>
      <c r="E42" s="65"/>
      <c r="F42" s="79"/>
      <c r="G42" s="7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4.25" customHeight="1" x14ac:dyDescent="0.25">
      <c r="A43" s="1"/>
      <c r="B43" s="1"/>
      <c r="C43" s="80" t="s">
        <v>39</v>
      </c>
      <c r="D43" s="81" t="e">
        <f>+HCONSUMO!D23</f>
        <v>#DIV/0!</v>
      </c>
      <c r="E43" s="82"/>
      <c r="F43" s="83" t="s">
        <v>40</v>
      </c>
      <c r="G43" s="71" t="e">
        <f>+D43/D45</f>
        <v>#DIV/0!</v>
      </c>
      <c r="H43" s="1"/>
      <c r="I43" s="1"/>
      <c r="M43" s="1"/>
      <c r="N43" s="1"/>
      <c r="O43" s="1"/>
      <c r="P43" s="1"/>
      <c r="Q43" s="1"/>
      <c r="R43" s="1"/>
    </row>
    <row r="44" spans="1:18" ht="14.25" customHeight="1" x14ac:dyDescent="0.25">
      <c r="A44" s="1"/>
      <c r="B44" s="1"/>
      <c r="C44" s="84" t="s">
        <v>41</v>
      </c>
      <c r="D44" s="85">
        <v>0.85</v>
      </c>
      <c r="E44" s="70"/>
      <c r="F44" s="411" t="s">
        <v>221</v>
      </c>
      <c r="G44" s="412"/>
      <c r="H44" s="86">
        <v>0.05</v>
      </c>
      <c r="I44" s="1"/>
      <c r="M44" s="1"/>
      <c r="N44" s="1"/>
      <c r="O44" s="1"/>
      <c r="P44" s="1"/>
      <c r="Q44" s="1"/>
      <c r="R44" s="1"/>
    </row>
    <row r="45" spans="1:18" ht="14.25" customHeight="1" x14ac:dyDescent="0.25">
      <c r="A45" s="1"/>
      <c r="B45" s="1"/>
      <c r="C45" s="87" t="s">
        <v>43</v>
      </c>
      <c r="D45" s="85">
        <v>120</v>
      </c>
      <c r="E45" s="7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4.25" customHeight="1" x14ac:dyDescent="0.25">
      <c r="A46" s="1"/>
      <c r="B46" s="1"/>
      <c r="C46" s="1"/>
      <c r="D46" s="1"/>
      <c r="E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4.25" customHeight="1" x14ac:dyDescent="0.25">
      <c r="A47" s="1"/>
      <c r="B47" s="1"/>
      <c r="C47" s="87" t="s">
        <v>44</v>
      </c>
      <c r="D47" s="88">
        <v>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4.25" customHeight="1" x14ac:dyDescent="0.3">
      <c r="A48" s="1"/>
      <c r="B48" s="1"/>
      <c r="C48" s="89" t="e">
        <f>+"Seu consumo atual de energia elétrica é de: "&amp;ROUND((D43),0)&amp;" kWh/Mês"</f>
        <v>#DIV/0!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</sheetData>
  <mergeCells count="111">
    <mergeCell ref="H32:I32"/>
    <mergeCell ref="F39:G39"/>
    <mergeCell ref="H39:I39"/>
    <mergeCell ref="J39:K39"/>
    <mergeCell ref="L39:M39"/>
    <mergeCell ref="D37:E37"/>
    <mergeCell ref="F37:G37"/>
    <mergeCell ref="H37:I37"/>
    <mergeCell ref="J37:K37"/>
    <mergeCell ref="L37:M37"/>
    <mergeCell ref="D25:E25"/>
    <mergeCell ref="F25:G25"/>
    <mergeCell ref="H25:I25"/>
    <mergeCell ref="J25:K25"/>
    <mergeCell ref="L25:M25"/>
    <mergeCell ref="L19:M19"/>
    <mergeCell ref="F29:G29"/>
    <mergeCell ref="F44:G44"/>
    <mergeCell ref="D38:E38"/>
    <mergeCell ref="F38:G38"/>
    <mergeCell ref="H38:I38"/>
    <mergeCell ref="J38:K38"/>
    <mergeCell ref="L38:M38"/>
    <mergeCell ref="D39:E39"/>
    <mergeCell ref="H31:I31"/>
    <mergeCell ref="J31:K31"/>
    <mergeCell ref="D36:E36"/>
    <mergeCell ref="F36:G36"/>
    <mergeCell ref="H36:I36"/>
    <mergeCell ref="J36:K36"/>
    <mergeCell ref="L36:M36"/>
    <mergeCell ref="D31:E31"/>
    <mergeCell ref="L31:M31"/>
    <mergeCell ref="F31:G31"/>
    <mergeCell ref="J18:K18"/>
    <mergeCell ref="L18:M18"/>
    <mergeCell ref="D19:E19"/>
    <mergeCell ref="F19:G19"/>
    <mergeCell ref="H19:I19"/>
    <mergeCell ref="J19:K19"/>
    <mergeCell ref="D18:E18"/>
    <mergeCell ref="D22:E22"/>
    <mergeCell ref="F22:G22"/>
    <mergeCell ref="H22:I22"/>
    <mergeCell ref="J22:K22"/>
    <mergeCell ref="L22:M22"/>
    <mergeCell ref="D21:E21"/>
    <mergeCell ref="F21:G21"/>
    <mergeCell ref="H21:I21"/>
    <mergeCell ref="J21:K21"/>
    <mergeCell ref="L21:M21"/>
    <mergeCell ref="H29:I29"/>
    <mergeCell ref="J29:K29"/>
    <mergeCell ref="L29:M29"/>
    <mergeCell ref="L30:M30"/>
    <mergeCell ref="F28:G28"/>
    <mergeCell ref="H28:I28"/>
    <mergeCell ref="J28:K28"/>
    <mergeCell ref="L28:M28"/>
    <mergeCell ref="D26:E26"/>
    <mergeCell ref="F26:G26"/>
    <mergeCell ref="H26:I26"/>
    <mergeCell ref="J26:K26"/>
    <mergeCell ref="L26:M26"/>
    <mergeCell ref="D29:E29"/>
    <mergeCell ref="D27:E27"/>
    <mergeCell ref="F27:G27"/>
    <mergeCell ref="H27:I27"/>
    <mergeCell ref="J27:K27"/>
    <mergeCell ref="L27:M27"/>
    <mergeCell ref="D28:E28"/>
    <mergeCell ref="D30:E30"/>
    <mergeCell ref="F30:G30"/>
    <mergeCell ref="H30:I30"/>
    <mergeCell ref="J30:K30"/>
    <mergeCell ref="D13:E13"/>
    <mergeCell ref="D16:E16"/>
    <mergeCell ref="D11:E11"/>
    <mergeCell ref="F11:G11"/>
    <mergeCell ref="F13:G13"/>
    <mergeCell ref="H13:I13"/>
    <mergeCell ref="C8:C9"/>
    <mergeCell ref="D8:I8"/>
    <mergeCell ref="D10:E10"/>
    <mergeCell ref="F10:G10"/>
    <mergeCell ref="H10:I10"/>
    <mergeCell ref="H11:I11"/>
    <mergeCell ref="D3:I4"/>
    <mergeCell ref="D5:I6"/>
    <mergeCell ref="J10:K10"/>
    <mergeCell ref="L10:M10"/>
    <mergeCell ref="J11:K11"/>
    <mergeCell ref="L11:M11"/>
    <mergeCell ref="F18:G18"/>
    <mergeCell ref="H18:I18"/>
    <mergeCell ref="F17:G17"/>
    <mergeCell ref="H17:I17"/>
    <mergeCell ref="J17:K17"/>
    <mergeCell ref="L17:M17"/>
    <mergeCell ref="L12:M12"/>
    <mergeCell ref="J13:K13"/>
    <mergeCell ref="L13:M13"/>
    <mergeCell ref="F16:G16"/>
    <mergeCell ref="H16:I16"/>
    <mergeCell ref="J16:K16"/>
    <mergeCell ref="L16:M16"/>
    <mergeCell ref="D12:E12"/>
    <mergeCell ref="F12:G12"/>
    <mergeCell ref="H12:I12"/>
    <mergeCell ref="J12:K12"/>
    <mergeCell ref="D17:E17"/>
  </mergeCells>
  <dataValidations disablePrompts="1" count="2">
    <dataValidation type="list" allowBlank="1" showErrorMessage="1" sqref="D15" xr:uid="{00000000-0002-0000-0100-000000000000}">
      <formula1>#REF!</formula1>
    </dataValidation>
    <dataValidation type="list" allowBlank="1" showErrorMessage="1" sqref="F15 L15 J15 H15" xr:uid="{00000000-0002-0000-0100-000001000000}">
      <formula1>$C$8:$C$26</formula1>
    </dataValidation>
  </dataValidations>
  <pageMargins left="0.511811024" right="0.511811024" top="0.78740157499999996" bottom="0.78740157499999996" header="0" footer="0"/>
  <pageSetup paperSize="9" fitToHeight="0" orientation="portrait"/>
  <ignoredErrors>
    <ignoredError sqref="C10:N10 C12:N26 C11:E11 N11 C32:N41 D27:M27 C28:M28 C29:M29 C30:M30 C31:M31" evalError="1"/>
  </ignoredError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01"/>
  <sheetViews>
    <sheetView showGridLines="0" zoomScale="70" zoomScaleNormal="70" workbookViewId="0">
      <pane ySplit="9" topLeftCell="A10" activePane="bottomLeft" state="frozen"/>
      <selection activeCell="H18" sqref="H18:I18"/>
      <selection pane="bottomLeft" activeCell="O17" sqref="O17"/>
    </sheetView>
  </sheetViews>
  <sheetFormatPr defaultColWidth="14.42578125" defaultRowHeight="15" customHeight="1" x14ac:dyDescent="0.25"/>
  <cols>
    <col min="1" max="1" width="8.7109375" customWidth="1"/>
    <col min="2" max="2" width="2.42578125" customWidth="1"/>
    <col min="3" max="3" width="35.140625" customWidth="1"/>
    <col min="4" max="4" width="15.85546875" customWidth="1"/>
    <col min="5" max="5" width="11.5703125" customWidth="1"/>
    <col min="6" max="6" width="16" customWidth="1"/>
    <col min="7" max="7" width="10" customWidth="1"/>
    <col min="8" max="8" width="16.7109375" customWidth="1"/>
    <col min="9" max="9" width="10" customWidth="1"/>
    <col min="10" max="10" width="15.85546875" customWidth="1"/>
    <col min="11" max="11" width="8.5703125" customWidth="1"/>
    <col min="12" max="12" width="19.7109375" customWidth="1"/>
    <col min="13" max="13" width="8.5703125" customWidth="1"/>
    <col min="14" max="14" width="26" customWidth="1"/>
    <col min="15" max="15" width="14.425781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customHeight="1" x14ac:dyDescent="0.25">
      <c r="A2" s="1"/>
      <c r="B2" s="1"/>
      <c r="C2" s="10" t="str">
        <f>+'Preço SFCR-FRONIUS-BYD'!C2</f>
        <v>Versão: Maio/2020</v>
      </c>
      <c r="D2" s="7"/>
      <c r="E2" s="7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customHeight="1" x14ac:dyDescent="0.25">
      <c r="A3" s="1"/>
      <c r="B3" s="1"/>
      <c r="C3" s="10"/>
      <c r="D3" s="346" t="s">
        <v>12</v>
      </c>
      <c r="E3" s="347"/>
      <c r="F3" s="347"/>
      <c r="G3" s="347"/>
      <c r="H3" s="347"/>
      <c r="I3" s="347"/>
      <c r="J3" s="1"/>
      <c r="K3" s="1"/>
      <c r="L3" s="1"/>
      <c r="M3" s="1"/>
      <c r="N3" s="1"/>
      <c r="O3" s="1"/>
    </row>
    <row r="4" spans="1:15" ht="15" customHeight="1" x14ac:dyDescent="0.25">
      <c r="A4" s="1"/>
      <c r="B4" s="1"/>
      <c r="C4" s="10"/>
      <c r="D4" s="347"/>
      <c r="E4" s="347"/>
      <c r="F4" s="347"/>
      <c r="G4" s="347"/>
      <c r="H4" s="347"/>
      <c r="I4" s="347"/>
      <c r="J4" s="1"/>
      <c r="K4" s="1"/>
      <c r="L4" s="1"/>
      <c r="M4" s="1"/>
      <c r="N4" s="1"/>
      <c r="O4" s="1"/>
    </row>
    <row r="5" spans="1:15" ht="15" customHeight="1" x14ac:dyDescent="0.25">
      <c r="A5" s="1"/>
      <c r="B5" s="1"/>
      <c r="C5" s="10"/>
      <c r="D5" s="346" t="s">
        <v>236</v>
      </c>
      <c r="E5" s="347"/>
      <c r="F5" s="347"/>
      <c r="G5" s="347"/>
      <c r="H5" s="347"/>
      <c r="I5" s="347"/>
      <c r="J5" s="1"/>
      <c r="K5" s="1"/>
      <c r="L5" s="1"/>
      <c r="M5" s="1"/>
      <c r="N5" s="1"/>
      <c r="O5" s="1"/>
    </row>
    <row r="6" spans="1:15" ht="15" customHeight="1" x14ac:dyDescent="0.25">
      <c r="A6" s="1"/>
      <c r="B6" s="1"/>
      <c r="C6" s="10"/>
      <c r="D6" s="347"/>
      <c r="E6" s="347"/>
      <c r="F6" s="347"/>
      <c r="G6" s="347"/>
      <c r="H6" s="347"/>
      <c r="I6" s="347"/>
      <c r="J6" s="1"/>
      <c r="K6" s="1"/>
      <c r="L6" s="1"/>
      <c r="M6" s="1"/>
      <c r="N6" s="1"/>
      <c r="O6" s="1"/>
    </row>
    <row r="7" spans="1:15" ht="15" customHeight="1" x14ac:dyDescent="0.25">
      <c r="A7" s="1"/>
      <c r="B7" s="1"/>
      <c r="C7" s="10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8.75" x14ac:dyDescent="0.3">
      <c r="A8" s="1"/>
      <c r="B8" s="1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1"/>
      <c r="O8" s="1"/>
    </row>
    <row r="9" spans="1:15" ht="21" customHeight="1" x14ac:dyDescent="0.3">
      <c r="A9" s="1"/>
      <c r="B9" s="1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0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1"/>
    </row>
    <row r="10" spans="1:15" ht="15.75" customHeight="1" x14ac:dyDescent="0.25">
      <c r="A10" s="1"/>
      <c r="B10" s="1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1"/>
    </row>
    <row r="11" spans="1:15" ht="15.75" customHeight="1" x14ac:dyDescent="0.25">
      <c r="A11" s="1"/>
      <c r="B11" s="1"/>
      <c r="C11" s="24" t="s">
        <v>18</v>
      </c>
      <c r="D11" s="374" t="e">
        <f>+VLOOKUP(MIN('FRONIUS-JINKO 440Wp'!D:D),'FRONIUS-JINKO 440Wp'!D:E,2,0)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1"/>
    </row>
    <row r="12" spans="1:15" ht="15.75" customHeight="1" x14ac:dyDescent="0.25">
      <c r="A12" s="1"/>
      <c r="B12" s="1"/>
      <c r="C12" s="25" t="s">
        <v>19</v>
      </c>
      <c r="D12" s="367" t="s">
        <v>237</v>
      </c>
      <c r="E12" s="338"/>
      <c r="F12" s="368" t="str">
        <f t="shared" ref="F12:F13" si="0">+D12</f>
        <v>JINKO MONO - TIGER PRO</v>
      </c>
      <c r="G12" s="338"/>
      <c r="H12" s="369" t="str">
        <f>+F12</f>
        <v>JINKO MONO - TIGER PRO</v>
      </c>
      <c r="I12" s="338"/>
      <c r="J12" s="370" t="str">
        <f>+H12</f>
        <v>JINKO MONO - TIGER PRO</v>
      </c>
      <c r="K12" s="338"/>
      <c r="L12" s="363" t="str">
        <f>+J12</f>
        <v>JINKO MONO - TIGER PRO</v>
      </c>
      <c r="M12" s="354"/>
      <c r="N12" s="2"/>
      <c r="O12" s="1"/>
    </row>
    <row r="13" spans="1:15" ht="15.75" customHeight="1" x14ac:dyDescent="0.25">
      <c r="A13" s="1"/>
      <c r="B13" s="1"/>
      <c r="C13" s="24" t="s">
        <v>21</v>
      </c>
      <c r="D13" s="372">
        <v>440</v>
      </c>
      <c r="E13" s="338"/>
      <c r="F13" s="375">
        <f t="shared" si="0"/>
        <v>440</v>
      </c>
      <c r="G13" s="338"/>
      <c r="H13" s="376">
        <f>+D13</f>
        <v>440</v>
      </c>
      <c r="I13" s="338"/>
      <c r="J13" s="352">
        <f>+D13</f>
        <v>440</v>
      </c>
      <c r="K13" s="338"/>
      <c r="L13" s="364">
        <f>+D13</f>
        <v>440</v>
      </c>
      <c r="M13" s="354"/>
      <c r="N13" s="2"/>
      <c r="O13" s="1"/>
    </row>
    <row r="14" spans="1:15" ht="15.75" customHeight="1" x14ac:dyDescent="0.25">
      <c r="A14" s="1"/>
      <c r="B14" s="1"/>
      <c r="C14" s="25" t="s">
        <v>22</v>
      </c>
      <c r="D14" s="26" t="e">
        <f>+IF(D11="","",VLOOKUP(D11,'FRONIUS-JINKO 440Wp'!$E$7:$G$69,3,0))</f>
        <v>#DIV/0!</v>
      </c>
      <c r="E14" s="27">
        <v>1</v>
      </c>
      <c r="F14" s="28" t="str">
        <f>+IF(F11="","",VLOOKUP(F11,'FRONIUS-JINKO 440Wp'!$E$7:$G$69,3,0))</f>
        <v/>
      </c>
      <c r="G14" s="29">
        <v>1</v>
      </c>
      <c r="H14" s="30" t="str">
        <f>+IF(H11="","",VLOOKUP(H11,'FRONIUS-JINKO 440Wp'!$E$7:$G$69,3,0))</f>
        <v/>
      </c>
      <c r="I14" s="31">
        <v>1</v>
      </c>
      <c r="J14" s="32" t="str">
        <f>+IF(J11="","",VLOOKUP(J11,'FRONIUS-JINKO 440Wp'!$E$7:$G$69,3,0))</f>
        <v/>
      </c>
      <c r="K14" s="33">
        <v>1</v>
      </c>
      <c r="L14" s="34" t="str">
        <f>+IF(L11="","",VLOOKUP(L11,'FRONIUS-JINKO 440Wp'!$E$7:$G$69,3,0))</f>
        <v/>
      </c>
      <c r="M14" s="35">
        <v>1</v>
      </c>
      <c r="N14" s="2"/>
      <c r="O14" s="1"/>
    </row>
    <row r="15" spans="1:15" ht="15.75" hidden="1" customHeight="1" x14ac:dyDescent="0.25">
      <c r="A15" s="1"/>
      <c r="B15" s="1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1"/>
    </row>
    <row r="16" spans="1:15" ht="15.75" customHeight="1" x14ac:dyDescent="0.25">
      <c r="A16" s="1"/>
      <c r="B16" s="1"/>
      <c r="C16" s="24" t="s">
        <v>25</v>
      </c>
      <c r="D16" s="373" t="e">
        <f>+D11*1.94236</f>
        <v>#DIV/0!</v>
      </c>
      <c r="E16" s="338"/>
      <c r="F16" s="355">
        <f>+F11*1.94236</f>
        <v>0</v>
      </c>
      <c r="G16" s="338"/>
      <c r="H16" s="356">
        <f>+H11*1.94236</f>
        <v>0</v>
      </c>
      <c r="I16" s="338"/>
      <c r="J16" s="365">
        <f>+J11*1.94236</f>
        <v>0</v>
      </c>
      <c r="K16" s="338"/>
      <c r="L16" s="366">
        <f>+L11*1.94236</f>
        <v>0</v>
      </c>
      <c r="M16" s="354"/>
      <c r="N16" s="2"/>
      <c r="O16" s="1"/>
    </row>
    <row r="17" spans="1:15" ht="15.75" customHeight="1" x14ac:dyDescent="0.25">
      <c r="A17" s="1"/>
      <c r="B17" s="1"/>
      <c r="C17" s="48" t="s">
        <v>26</v>
      </c>
      <c r="D17" s="371" t="e">
        <f>+D11*D13*$D$45/1000</f>
        <v>#DIV/0!</v>
      </c>
      <c r="E17" s="349"/>
      <c r="F17" s="357">
        <f>+F11*F13*$D$45/1000</f>
        <v>0</v>
      </c>
      <c r="G17" s="349"/>
      <c r="H17" s="358">
        <f>+H11*H13*$D$45/1000</f>
        <v>0</v>
      </c>
      <c r="I17" s="349"/>
      <c r="J17" s="359">
        <f>+J11*J13*$D$45/1000</f>
        <v>0</v>
      </c>
      <c r="K17" s="360"/>
      <c r="L17" s="361">
        <f>+L11*L13*$D$45/1000</f>
        <v>0</v>
      </c>
      <c r="M17" s="362"/>
      <c r="N17" s="2"/>
      <c r="O17" s="1"/>
    </row>
    <row r="18" spans="1:15" ht="15.75" customHeight="1" x14ac:dyDescent="0.25">
      <c r="A18" s="1"/>
      <c r="B18" s="1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1"/>
    </row>
    <row r="19" spans="1:15" ht="15.75" customHeight="1" thickBot="1" x14ac:dyDescent="0.3">
      <c r="A19" s="1"/>
      <c r="B19" s="1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1"/>
    </row>
    <row r="20" spans="1:15" ht="18.75" customHeight="1" thickBot="1" x14ac:dyDescent="0.4">
      <c r="A20" s="1"/>
      <c r="B20" s="1"/>
      <c r="C20" s="51"/>
      <c r="D20" s="52"/>
      <c r="E20" s="53"/>
      <c r="F20" s="54"/>
      <c r="G20" s="2"/>
      <c r="H20" s="54"/>
      <c r="I20" s="2"/>
      <c r="J20" s="55"/>
      <c r="K20" s="1"/>
      <c r="L20" s="54"/>
      <c r="M20" s="2"/>
      <c r="N20" s="2"/>
      <c r="O20" s="1"/>
    </row>
    <row r="21" spans="1:15" ht="43.5" hidden="1" customHeight="1" thickBot="1" x14ac:dyDescent="0.3">
      <c r="A21" s="1"/>
      <c r="B21" s="1"/>
      <c r="C21" s="188" t="s">
        <v>220</v>
      </c>
      <c r="D21" s="452" t="e">
        <f>+IF(D11="","",VLOOKUP(D11,'FRONIUS-JINKO 440Wp'!$E$7:$F$69,2,0))</f>
        <v>#DIV/0!</v>
      </c>
      <c r="E21" s="398"/>
      <c r="F21" s="397" t="str">
        <f>+IF(F11="","",VLOOKUP(F11,'FRONIUS-JINKO 440Wp'!$E$7:$F$69,2,0))</f>
        <v/>
      </c>
      <c r="G21" s="398"/>
      <c r="H21" s="399" t="str">
        <f>+IF(H11="","",VLOOKUP(H11,'FRONIUS-JINKO 440Wp'!$E$7:$F$69,2,0))</f>
        <v/>
      </c>
      <c r="I21" s="398"/>
      <c r="J21" s="400" t="str">
        <f>+IF(J11="","",VLOOKUP(J11,'FRONIUS-JINKO 440Wp'!$E$7:$F$69,2,0))</f>
        <v/>
      </c>
      <c r="K21" s="398"/>
      <c r="L21" s="401" t="str">
        <f>+IF(L11="","",VLOOKUP(L11,'FRONIUS-JINKO 440Wp'!$E$7:$F$69,2,0))</f>
        <v/>
      </c>
      <c r="M21" s="381"/>
      <c r="N21" s="2"/>
      <c r="O21" s="1"/>
    </row>
    <row r="22" spans="1:15" s="174" customFormat="1" ht="43.5" customHeight="1" thickBot="1" x14ac:dyDescent="0.3">
      <c r="A22" s="175"/>
      <c r="B22" s="175"/>
      <c r="C22" s="189" t="s">
        <v>29</v>
      </c>
      <c r="D22" s="452" t="e">
        <f>ROUND(D21+(D21*$H$44),0)</f>
        <v>#DIV/0!</v>
      </c>
      <c r="E22" s="398"/>
      <c r="F22" s="397" t="e">
        <f t="shared" ref="F22" si="1">ROUND(F21+(F21*$H$44),0)</f>
        <v>#VALUE!</v>
      </c>
      <c r="G22" s="398"/>
      <c r="H22" s="399" t="e">
        <f t="shared" ref="H22" si="2">ROUND(H21+(H21*$H$44),0)</f>
        <v>#VALUE!</v>
      </c>
      <c r="I22" s="398"/>
      <c r="J22" s="400" t="e">
        <f t="shared" ref="J22" si="3">ROUND(J21+(J21*$H$44),0)</f>
        <v>#VALUE!</v>
      </c>
      <c r="K22" s="398"/>
      <c r="L22" s="401" t="e">
        <f t="shared" ref="L22" si="4">ROUND(L21+(L21*$H$44),0)</f>
        <v>#VALUE!</v>
      </c>
      <c r="M22" s="381"/>
      <c r="N22" s="2"/>
      <c r="O22" s="175"/>
    </row>
    <row r="23" spans="1:15" ht="12.75" customHeight="1" x14ac:dyDescent="0.35">
      <c r="A23" s="1"/>
      <c r="B23" s="1"/>
      <c r="C23" s="51"/>
      <c r="D23" s="56"/>
      <c r="E23" s="57"/>
      <c r="F23" s="56"/>
      <c r="G23" s="57"/>
      <c r="H23" s="56"/>
      <c r="I23" s="57"/>
      <c r="J23" s="54"/>
      <c r="K23" s="58"/>
      <c r="L23" s="54"/>
      <c r="M23" s="58"/>
      <c r="N23" s="2"/>
      <c r="O23" s="1"/>
    </row>
    <row r="24" spans="1:15" ht="15.75" customHeight="1" thickBot="1" x14ac:dyDescent="0.4">
      <c r="A24" s="1"/>
      <c r="B24" s="1"/>
      <c r="C24" s="444" t="s">
        <v>30</v>
      </c>
      <c r="D24" s="347"/>
      <c r="E24" s="347"/>
      <c r="F24" s="347"/>
      <c r="G24" s="347"/>
      <c r="H24" s="347"/>
      <c r="I24" s="57"/>
      <c r="J24" s="54"/>
      <c r="K24" s="58"/>
      <c r="L24" s="54"/>
      <c r="M24" s="58"/>
      <c r="N24" s="2"/>
      <c r="O24" s="1"/>
    </row>
    <row r="25" spans="1:15" ht="15" customHeight="1" x14ac:dyDescent="0.25">
      <c r="A25" s="1"/>
      <c r="B25" s="1"/>
      <c r="C25" s="59" t="s">
        <v>31</v>
      </c>
      <c r="D25" s="389" t="e">
        <f>+$D$42*D22</f>
        <v>#DIV/0!</v>
      </c>
      <c r="E25" s="338"/>
      <c r="F25" s="404" t="e">
        <f t="shared" ref="F25" si="5">+$D$42*F22</f>
        <v>#VALUE!</v>
      </c>
      <c r="G25" s="403"/>
      <c r="H25" s="405" t="e">
        <f t="shared" ref="H25" si="6">+$D$42*H22</f>
        <v>#VALUE!</v>
      </c>
      <c r="I25" s="403"/>
      <c r="J25" s="406" t="e">
        <f t="shared" ref="J25" si="7">+$D$42*J22</f>
        <v>#VALUE!</v>
      </c>
      <c r="K25" s="403"/>
      <c r="L25" s="407" t="e">
        <f t="shared" ref="L25" si="8">+$D$42*L22</f>
        <v>#VALUE!</v>
      </c>
      <c r="M25" s="408"/>
      <c r="N25" s="60" t="s">
        <v>32</v>
      </c>
      <c r="O25" s="1"/>
    </row>
    <row r="26" spans="1:15" ht="15" hidden="1" customHeight="1" x14ac:dyDescent="0.25">
      <c r="A26" s="1"/>
      <c r="B26" s="1"/>
      <c r="C26" s="61"/>
      <c r="D26" s="389" t="e">
        <f>+D22-D25</f>
        <v>#DIV/0!</v>
      </c>
      <c r="E26" s="338"/>
      <c r="F26" s="388" t="e">
        <f t="shared" ref="F26" si="9">+F22-F25</f>
        <v>#VALUE!</v>
      </c>
      <c r="G26" s="338"/>
      <c r="H26" s="385" t="e">
        <f t="shared" ref="H26" si="10">+H22-H25</f>
        <v>#VALUE!</v>
      </c>
      <c r="I26" s="338"/>
      <c r="J26" s="386" t="e">
        <f t="shared" ref="J26" si="11">+J22-J25</f>
        <v>#VALUE!</v>
      </c>
      <c r="K26" s="338"/>
      <c r="L26" s="387" t="e">
        <f t="shared" ref="L26" si="12">+L22-L25</f>
        <v>#VALUE!</v>
      </c>
      <c r="M26" s="354"/>
      <c r="N26" s="62"/>
      <c r="O26" s="1"/>
    </row>
    <row r="27" spans="1:15" ht="15" customHeight="1" x14ac:dyDescent="0.25">
      <c r="A27" s="1"/>
      <c r="B27" s="1"/>
      <c r="C27" s="216">
        <f>+'Preço SFCR-FRONIUS-BYD'!C27</f>
        <v>12</v>
      </c>
      <c r="D27" s="389" t="e">
        <f>+PMT(N27,C27,-$D$26)</f>
        <v>#DIV/0!</v>
      </c>
      <c r="E27" s="338"/>
      <c r="F27" s="388" t="e">
        <f>+PMT(N27,C27,-$F$26)</f>
        <v>#VALUE!</v>
      </c>
      <c r="G27" s="338"/>
      <c r="H27" s="385" t="e">
        <f>+PMT(N27,C27,-$H$26)</f>
        <v>#VALUE!</v>
      </c>
      <c r="I27" s="338"/>
      <c r="J27" s="386" t="e">
        <f>+PMT(N27,C27,-$J$26)</f>
        <v>#VALUE!</v>
      </c>
      <c r="K27" s="338"/>
      <c r="L27" s="387" t="e">
        <f>+PMT(N27,C27,-$L$26)</f>
        <v>#VALUE!</v>
      </c>
      <c r="M27" s="354"/>
      <c r="N27" s="90">
        <f>+'Preço SFCR-FRONIUS-BYD'!N27</f>
        <v>1.6799999999999999E-2</v>
      </c>
      <c r="O27" s="1"/>
    </row>
    <row r="28" spans="1:15" ht="15" customHeight="1" x14ac:dyDescent="0.25">
      <c r="A28" s="1"/>
      <c r="B28" s="1"/>
      <c r="C28" s="218">
        <f>+'Preço SFCR-FRONIUS-BYD'!C28</f>
        <v>24</v>
      </c>
      <c r="D28" s="389" t="e">
        <f t="shared" ref="D28:D31" si="13">+PMT(N28,C28,-$D$26)</f>
        <v>#DIV/0!</v>
      </c>
      <c r="E28" s="338"/>
      <c r="F28" s="388" t="e">
        <f t="shared" ref="F28:F31" si="14">+PMT(N28,C28,-$F$26)</f>
        <v>#VALUE!</v>
      </c>
      <c r="G28" s="338"/>
      <c r="H28" s="385" t="e">
        <f t="shared" ref="H28:H31" si="15">+PMT(N28,C28,-$H$26)</f>
        <v>#VALUE!</v>
      </c>
      <c r="I28" s="338"/>
      <c r="J28" s="386" t="e">
        <f t="shared" ref="J28:J31" si="16">+PMT(N28,C28,-$J$26)</f>
        <v>#VALUE!</v>
      </c>
      <c r="K28" s="338"/>
      <c r="L28" s="387" t="e">
        <f t="shared" ref="L28:L31" si="17">+PMT(N28,C28,-$L$26)</f>
        <v>#VALUE!</v>
      </c>
      <c r="M28" s="354"/>
      <c r="N28" s="90">
        <f>+'Preço SFCR-FRONIUS-BYD'!N28</f>
        <v>1.55E-2</v>
      </c>
      <c r="O28" s="175"/>
    </row>
    <row r="29" spans="1:15" ht="15" customHeight="1" x14ac:dyDescent="0.25">
      <c r="A29" s="1"/>
      <c r="B29" s="1"/>
      <c r="C29" s="216">
        <f>+'Preço SFCR-FRONIUS-BYD'!C29</f>
        <v>36</v>
      </c>
      <c r="D29" s="389" t="e">
        <f t="shared" si="13"/>
        <v>#DIV/0!</v>
      </c>
      <c r="E29" s="338"/>
      <c r="F29" s="388" t="e">
        <f t="shared" si="14"/>
        <v>#VALUE!</v>
      </c>
      <c r="G29" s="338"/>
      <c r="H29" s="385" t="e">
        <f t="shared" si="15"/>
        <v>#VALUE!</v>
      </c>
      <c r="I29" s="338"/>
      <c r="J29" s="386" t="e">
        <f t="shared" si="16"/>
        <v>#VALUE!</v>
      </c>
      <c r="K29" s="338"/>
      <c r="L29" s="387" t="e">
        <f t="shared" si="17"/>
        <v>#VALUE!</v>
      </c>
      <c r="M29" s="354"/>
      <c r="N29" s="90">
        <f>+'Preço SFCR-FRONIUS-BYD'!N29</f>
        <v>1.5800000000000002E-2</v>
      </c>
      <c r="O29" s="175"/>
    </row>
    <row r="30" spans="1:15" ht="15" customHeight="1" x14ac:dyDescent="0.25">
      <c r="A30" s="1"/>
      <c r="B30" s="1"/>
      <c r="C30" s="218">
        <f>+'Preço SFCR-FRONIUS-BYD'!C30</f>
        <v>48</v>
      </c>
      <c r="D30" s="389" t="e">
        <f t="shared" si="13"/>
        <v>#DIV/0!</v>
      </c>
      <c r="E30" s="338"/>
      <c r="F30" s="388" t="e">
        <f t="shared" si="14"/>
        <v>#VALUE!</v>
      </c>
      <c r="G30" s="338"/>
      <c r="H30" s="385" t="e">
        <f t="shared" si="15"/>
        <v>#VALUE!</v>
      </c>
      <c r="I30" s="338"/>
      <c r="J30" s="386" t="e">
        <f t="shared" si="16"/>
        <v>#VALUE!</v>
      </c>
      <c r="K30" s="338"/>
      <c r="L30" s="387" t="e">
        <f t="shared" si="17"/>
        <v>#VALUE!</v>
      </c>
      <c r="M30" s="354"/>
      <c r="N30" s="90">
        <f>+'Preço SFCR-FRONIUS-BYD'!N30</f>
        <v>1.61E-2</v>
      </c>
      <c r="O30" s="175"/>
    </row>
    <row r="31" spans="1:15" ht="15" customHeight="1" x14ac:dyDescent="0.25">
      <c r="A31" s="1"/>
      <c r="B31" s="1"/>
      <c r="C31" s="219">
        <f>+'Preço SFCR-FRONIUS-BYD'!C31</f>
        <v>60</v>
      </c>
      <c r="D31" s="418" t="e">
        <f t="shared" si="13"/>
        <v>#DIV/0!</v>
      </c>
      <c r="E31" s="391"/>
      <c r="F31" s="421" t="e">
        <f t="shared" si="14"/>
        <v>#VALUE!</v>
      </c>
      <c r="G31" s="391"/>
      <c r="H31" s="414" t="e">
        <f t="shared" si="15"/>
        <v>#VALUE!</v>
      </c>
      <c r="I31" s="391"/>
      <c r="J31" s="415" t="e">
        <f t="shared" si="16"/>
        <v>#VALUE!</v>
      </c>
      <c r="K31" s="391"/>
      <c r="L31" s="419" t="e">
        <f t="shared" si="17"/>
        <v>#VALUE!</v>
      </c>
      <c r="M31" s="420"/>
      <c r="N31" s="90">
        <f>+'Preço SFCR-FRONIUS-BYD'!N31</f>
        <v>1.6400000000000001E-2</v>
      </c>
      <c r="O31" s="175"/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1"/>
    </row>
    <row r="33" spans="1:15" ht="14.25" customHeight="1" x14ac:dyDescent="0.25">
      <c r="A33" s="65"/>
      <c r="B33" s="65"/>
      <c r="C33" s="65" t="str">
        <f>+'Preço SFCR-FRONIUS-BYD'!C33</f>
        <v>Observação: Proposta apenas orientativa, caso tenha interesse formalizamos uma proposta.</v>
      </c>
      <c r="D33" s="65"/>
      <c r="E33" s="65"/>
      <c r="F33" s="65"/>
      <c r="G33" s="65"/>
      <c r="H33" s="54"/>
      <c r="I33" s="54"/>
      <c r="J33" s="65"/>
      <c r="K33" s="65"/>
      <c r="L33" s="65"/>
      <c r="M33" s="65"/>
      <c r="N33" s="65"/>
      <c r="O33" s="1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54"/>
      <c r="I34" s="54"/>
      <c r="J34" s="65"/>
      <c r="K34" s="65"/>
      <c r="L34" s="65"/>
      <c r="M34" s="65"/>
      <c r="N34" s="65"/>
      <c r="O34" s="1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1"/>
    </row>
    <row r="36" spans="1:15" ht="14.25" customHeight="1" x14ac:dyDescent="0.25">
      <c r="A36" s="1"/>
      <c r="B36" s="1"/>
      <c r="C36" s="73" t="s">
        <v>34</v>
      </c>
      <c r="D36" s="416" t="e">
        <f>+D22/(D10*1000)</f>
        <v>#DIV/0!</v>
      </c>
      <c r="E36" s="417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1"/>
    </row>
    <row r="37" spans="1:15" ht="14.25" customHeight="1" x14ac:dyDescent="0.25">
      <c r="A37" s="1"/>
      <c r="B37" s="1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1"/>
    </row>
    <row r="38" spans="1:15" ht="14.25" customHeight="1" x14ac:dyDescent="0.25">
      <c r="A38" s="1"/>
      <c r="B38" s="1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1"/>
    </row>
    <row r="39" spans="1:15" ht="14.25" customHeight="1" x14ac:dyDescent="0.25">
      <c r="A39" s="1"/>
      <c r="B39" s="1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1"/>
      <c r="O39" s="1"/>
    </row>
    <row r="40" spans="1:1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 customHeight="1" x14ac:dyDescent="0.25">
      <c r="A42" s="1"/>
      <c r="B42" s="1"/>
      <c r="C42" s="77" t="s">
        <v>38</v>
      </c>
      <c r="D42" s="91">
        <f>+'Preço SFCR-FRONIUS-BYD'!D42</f>
        <v>0</v>
      </c>
      <c r="E42" s="92"/>
      <c r="F42" s="93"/>
      <c r="G42" s="93"/>
      <c r="H42" s="2"/>
      <c r="I42" s="1"/>
      <c r="J42" s="1"/>
      <c r="K42" s="1"/>
      <c r="L42" s="1"/>
      <c r="M42" s="1"/>
      <c r="N42" s="1"/>
      <c r="O42" s="1"/>
    </row>
    <row r="43" spans="1:15" ht="14.25" customHeight="1" x14ac:dyDescent="0.25">
      <c r="A43" s="1"/>
      <c r="B43" s="1"/>
      <c r="C43" s="80" t="s">
        <v>39</v>
      </c>
      <c r="D43" s="81" t="e">
        <f>+'Preço SFCR-FRONIUS-BYD'!D43</f>
        <v>#DIV/0!</v>
      </c>
      <c r="E43" s="94"/>
      <c r="F43" s="95" t="s">
        <v>40</v>
      </c>
      <c r="G43" s="96" t="e">
        <f>+D43/D45</f>
        <v>#DIV/0!</v>
      </c>
      <c r="H43" s="2"/>
      <c r="I43" s="1"/>
      <c r="J43" s="1"/>
      <c r="K43" s="1"/>
      <c r="L43" s="1"/>
      <c r="M43" s="1"/>
      <c r="N43" s="1"/>
      <c r="O43" s="1"/>
    </row>
    <row r="44" spans="1:15" ht="14.25" customHeight="1" x14ac:dyDescent="0.25">
      <c r="A44" s="1"/>
      <c r="B44" s="1"/>
      <c r="C44" s="84" t="s">
        <v>41</v>
      </c>
      <c r="D44" s="97">
        <f>+'Preço SFCR-FRONIUS-BYD'!D44</f>
        <v>0.85</v>
      </c>
      <c r="E44" s="77"/>
      <c r="F44" s="505" t="s">
        <v>42</v>
      </c>
      <c r="G44" s="412"/>
      <c r="H44" s="98">
        <f>+'Preço SFCR-FRONIUS-BYD'!H44</f>
        <v>0.05</v>
      </c>
      <c r="I44" s="1"/>
      <c r="J44" s="1"/>
      <c r="K44" s="1"/>
      <c r="L44" s="1"/>
      <c r="M44" s="1"/>
      <c r="N44" s="1"/>
      <c r="O44" s="1"/>
    </row>
    <row r="45" spans="1:15" ht="14.25" customHeight="1" x14ac:dyDescent="0.25">
      <c r="A45" s="1"/>
      <c r="B45" s="1"/>
      <c r="C45" s="87" t="s">
        <v>43</v>
      </c>
      <c r="D45" s="97">
        <f>+'Preço SFCR-FRONIUS-BYD'!D45</f>
        <v>120</v>
      </c>
      <c r="E45" s="77"/>
      <c r="F45" s="2"/>
      <c r="G45" s="2"/>
      <c r="H45" s="2"/>
      <c r="I45" s="1"/>
      <c r="J45" s="1"/>
      <c r="K45" s="1"/>
      <c r="L45" s="1"/>
      <c r="M45" s="1"/>
      <c r="N45" s="1"/>
      <c r="O45" s="1"/>
    </row>
    <row r="46" spans="1:15" ht="14.25" customHeight="1" x14ac:dyDescent="0.25">
      <c r="A46" s="1"/>
      <c r="B46" s="1"/>
      <c r="C46" s="1"/>
      <c r="D46" s="2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</row>
    <row r="47" spans="1:1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</sheetData>
  <mergeCells count="112">
    <mergeCell ref="L25:M25"/>
    <mergeCell ref="C24:H24"/>
    <mergeCell ref="J28:K28"/>
    <mergeCell ref="L28:M28"/>
    <mergeCell ref="L29:M29"/>
    <mergeCell ref="L30:M30"/>
    <mergeCell ref="F28:G28"/>
    <mergeCell ref="H28:I28"/>
    <mergeCell ref="L22:M22"/>
    <mergeCell ref="D25:E25"/>
    <mergeCell ref="D30:E30"/>
    <mergeCell ref="F30:G30"/>
    <mergeCell ref="H30:I30"/>
    <mergeCell ref="J30:K30"/>
    <mergeCell ref="J26:K26"/>
    <mergeCell ref="D22:E22"/>
    <mergeCell ref="F22:G22"/>
    <mergeCell ref="H22:I22"/>
    <mergeCell ref="J22:K22"/>
    <mergeCell ref="F25:G25"/>
    <mergeCell ref="H25:I25"/>
    <mergeCell ref="J25:K25"/>
    <mergeCell ref="F44:G44"/>
    <mergeCell ref="D38:E38"/>
    <mergeCell ref="F38:G38"/>
    <mergeCell ref="H38:I38"/>
    <mergeCell ref="J38:K38"/>
    <mergeCell ref="L38:M38"/>
    <mergeCell ref="D39:E39"/>
    <mergeCell ref="H31:I31"/>
    <mergeCell ref="J31:K31"/>
    <mergeCell ref="D36:E36"/>
    <mergeCell ref="F36:G36"/>
    <mergeCell ref="H36:I36"/>
    <mergeCell ref="J36:K36"/>
    <mergeCell ref="L36:M36"/>
    <mergeCell ref="D31:E31"/>
    <mergeCell ref="L31:M31"/>
    <mergeCell ref="F31:G31"/>
    <mergeCell ref="H32:I32"/>
    <mergeCell ref="F39:G39"/>
    <mergeCell ref="H37:I37"/>
    <mergeCell ref="J37:K37"/>
    <mergeCell ref="L37:M37"/>
    <mergeCell ref="J19:K19"/>
    <mergeCell ref="D18:E18"/>
    <mergeCell ref="D21:E21"/>
    <mergeCell ref="F21:G21"/>
    <mergeCell ref="H21:I21"/>
    <mergeCell ref="J21:K21"/>
    <mergeCell ref="L21:M21"/>
    <mergeCell ref="L19:M19"/>
    <mergeCell ref="H39:I39"/>
    <mergeCell ref="J39:K39"/>
    <mergeCell ref="L39:M39"/>
    <mergeCell ref="D37:E37"/>
    <mergeCell ref="F37:G37"/>
    <mergeCell ref="L26:M26"/>
    <mergeCell ref="D29:E29"/>
    <mergeCell ref="D27:E27"/>
    <mergeCell ref="F27:G27"/>
    <mergeCell ref="H27:I27"/>
    <mergeCell ref="J27:K27"/>
    <mergeCell ref="L27:M27"/>
    <mergeCell ref="D28:E28"/>
    <mergeCell ref="F29:G29"/>
    <mergeCell ref="H29:I29"/>
    <mergeCell ref="J29:K29"/>
    <mergeCell ref="D13:E13"/>
    <mergeCell ref="D16:E16"/>
    <mergeCell ref="D11:E11"/>
    <mergeCell ref="F11:G11"/>
    <mergeCell ref="F13:G13"/>
    <mergeCell ref="H13:I13"/>
    <mergeCell ref="D12:E12"/>
    <mergeCell ref="D17:E17"/>
    <mergeCell ref="D26:E26"/>
    <mergeCell ref="F26:G26"/>
    <mergeCell ref="H26:I26"/>
    <mergeCell ref="D19:E19"/>
    <mergeCell ref="F19:G19"/>
    <mergeCell ref="H19:I19"/>
    <mergeCell ref="C8:C9"/>
    <mergeCell ref="D8:I8"/>
    <mergeCell ref="D10:E10"/>
    <mergeCell ref="F10:G10"/>
    <mergeCell ref="H10:I10"/>
    <mergeCell ref="H11:I11"/>
    <mergeCell ref="D3:I4"/>
    <mergeCell ref="D5:I6"/>
    <mergeCell ref="J10:K10"/>
    <mergeCell ref="L10:M10"/>
    <mergeCell ref="J11:K11"/>
    <mergeCell ref="L11:M11"/>
    <mergeCell ref="F18:G18"/>
    <mergeCell ref="H18:I18"/>
    <mergeCell ref="F17:G17"/>
    <mergeCell ref="H17:I17"/>
    <mergeCell ref="J17:K17"/>
    <mergeCell ref="L17:M17"/>
    <mergeCell ref="L12:M12"/>
    <mergeCell ref="J13:K13"/>
    <mergeCell ref="L13:M13"/>
    <mergeCell ref="F16:G16"/>
    <mergeCell ref="H16:I16"/>
    <mergeCell ref="J16:K16"/>
    <mergeCell ref="L16:M16"/>
    <mergeCell ref="F12:G12"/>
    <mergeCell ref="H12:I12"/>
    <mergeCell ref="J12:K12"/>
    <mergeCell ref="J18:K18"/>
    <mergeCell ref="L18:M18"/>
  </mergeCells>
  <dataValidations disablePrompts="1" count="2">
    <dataValidation type="list" allowBlank="1" showErrorMessage="1" sqref="D15" xr:uid="{00000000-0002-0000-0400-000000000000}">
      <formula1>#REF!</formula1>
    </dataValidation>
    <dataValidation type="list" allowBlank="1" showErrorMessage="1" sqref="F15 L15 J15 H15" xr:uid="{00000000-0002-0000-0400-000001000000}">
      <formula1>$C$8:$C$26</formula1>
    </dataValidation>
  </dataValidations>
  <pageMargins left="0.511811024" right="0.511811024" top="0.78740157499999996" bottom="0.78740157499999996" header="0" footer="0"/>
  <pageSetup paperSize="9" fitToHeight="0" orientation="portrait"/>
  <ignoredErrors>
    <ignoredError sqref="C10:N10 C14:N21 C11:E11 N11 C12 E12:N12 C13 E13:N13 C23:N40 C22 N22" evalError="1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S110"/>
  <sheetViews>
    <sheetView zoomScale="85" zoomScaleNormal="85" workbookViewId="0">
      <selection activeCell="G22" sqref="G22"/>
    </sheetView>
  </sheetViews>
  <sheetFormatPr defaultColWidth="14.42578125" defaultRowHeight="15" customHeight="1" x14ac:dyDescent="0.25"/>
  <cols>
    <col min="1" max="1" width="4" customWidth="1"/>
    <col min="2" max="2" width="12.85546875" customWidth="1"/>
    <col min="3" max="3" width="6.85546875" customWidth="1"/>
    <col min="4" max="4" width="6.85546875" style="197" customWidth="1"/>
    <col min="5" max="5" width="9" customWidth="1"/>
    <col min="6" max="6" width="14.42578125" customWidth="1"/>
    <col min="7" max="7" width="23.85546875" bestFit="1" customWidth="1"/>
    <col min="8" max="8" width="15.140625" customWidth="1"/>
    <col min="9" max="9" width="15.140625" style="141" customWidth="1"/>
    <col min="10" max="10" width="14.5703125" customWidth="1"/>
    <col min="11" max="17" width="15.7109375" customWidth="1"/>
    <col min="18" max="18" width="15" customWidth="1"/>
    <col min="19" max="19" width="1.42578125" customWidth="1"/>
  </cols>
  <sheetData>
    <row r="1" spans="1:19" ht="15.75" thickBot="1" x14ac:dyDescent="0.3">
      <c r="A1" s="1"/>
      <c r="B1" s="1"/>
      <c r="C1" s="1"/>
      <c r="D1" s="199"/>
      <c r="E1" s="1"/>
      <c r="F1" s="1"/>
      <c r="G1" s="1"/>
      <c r="H1" s="1"/>
      <c r="I1" s="142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.75" customHeight="1" x14ac:dyDescent="0.25">
      <c r="A2" s="1"/>
      <c r="B2" s="340" t="s">
        <v>49</v>
      </c>
      <c r="C2" s="341"/>
      <c r="D2" s="342"/>
      <c r="E2" s="328" t="s">
        <v>50</v>
      </c>
      <c r="F2" s="329"/>
      <c r="G2" s="329"/>
      <c r="H2" s="329"/>
      <c r="I2" s="330"/>
      <c r="J2" s="329"/>
      <c r="K2" s="329"/>
      <c r="L2" s="329"/>
      <c r="M2" s="329"/>
      <c r="N2" s="329"/>
      <c r="O2" s="329"/>
      <c r="P2" s="329"/>
      <c r="Q2" s="329"/>
      <c r="R2" s="330"/>
      <c r="S2" s="1"/>
    </row>
    <row r="3" spans="1:19" ht="18.75" customHeight="1" thickBot="1" x14ac:dyDescent="0.3">
      <c r="A3" s="1"/>
      <c r="B3" s="343">
        <v>0.44</v>
      </c>
      <c r="C3" s="344"/>
      <c r="D3" s="345"/>
      <c r="E3" s="331" t="s">
        <v>51</v>
      </c>
      <c r="F3" s="332"/>
      <c r="G3" s="332"/>
      <c r="H3" s="332"/>
      <c r="I3" s="333"/>
      <c r="J3" s="332"/>
      <c r="K3" s="332"/>
      <c r="L3" s="332"/>
      <c r="M3" s="332"/>
      <c r="N3" s="332"/>
      <c r="O3" s="332"/>
      <c r="P3" s="332"/>
      <c r="Q3" s="332"/>
      <c r="R3" s="333"/>
      <c r="S3" s="101"/>
    </row>
    <row r="4" spans="1:19" ht="30" customHeight="1" x14ac:dyDescent="0.25">
      <c r="A4" s="1"/>
      <c r="B4" s="339" t="s">
        <v>52</v>
      </c>
      <c r="C4" s="326" t="s">
        <v>53</v>
      </c>
      <c r="D4" s="326" t="s">
        <v>225</v>
      </c>
      <c r="E4" s="326" t="s">
        <v>54</v>
      </c>
      <c r="F4" s="334" t="s">
        <v>55</v>
      </c>
      <c r="G4" s="326" t="s">
        <v>56</v>
      </c>
      <c r="H4" s="326" t="s">
        <v>57</v>
      </c>
      <c r="I4" s="225" t="s">
        <v>233</v>
      </c>
      <c r="J4" s="326" t="s">
        <v>58</v>
      </c>
      <c r="K4" s="326" t="s">
        <v>59</v>
      </c>
      <c r="L4" s="326" t="s">
        <v>60</v>
      </c>
      <c r="M4" s="326" t="s">
        <v>61</v>
      </c>
      <c r="N4" s="326" t="s">
        <v>62</v>
      </c>
      <c r="O4" s="326" t="s">
        <v>63</v>
      </c>
      <c r="P4" s="326" t="s">
        <v>64</v>
      </c>
      <c r="Q4" s="326" t="s">
        <v>65</v>
      </c>
      <c r="R4" s="326" t="s">
        <v>66</v>
      </c>
      <c r="S4" s="102"/>
    </row>
    <row r="5" spans="1:19" x14ac:dyDescent="0.25">
      <c r="A5" s="1"/>
      <c r="B5" s="327"/>
      <c r="C5" s="327"/>
      <c r="D5" s="336"/>
      <c r="E5" s="327"/>
      <c r="F5" s="335"/>
      <c r="G5" s="327"/>
      <c r="H5" s="327"/>
      <c r="I5" s="226">
        <v>1.4999999999999999E-2</v>
      </c>
      <c r="J5" s="327"/>
      <c r="K5" s="327"/>
      <c r="L5" s="335"/>
      <c r="M5" s="335"/>
      <c r="N5" s="335"/>
      <c r="O5" s="335"/>
      <c r="P5" s="327"/>
      <c r="Q5" s="327"/>
      <c r="R5" s="327"/>
      <c r="S5" s="102"/>
    </row>
    <row r="6" spans="1:19" s="174" customFormat="1" x14ac:dyDescent="0.25">
      <c r="A6" s="175"/>
      <c r="B6" s="103" t="s">
        <v>85</v>
      </c>
      <c r="C6" s="104">
        <f t="shared" ref="C6" si="0">+E6*$B$3</f>
        <v>1.32</v>
      </c>
      <c r="D6" s="205" t="e">
        <f>+ABS('Preço SFCR-FRONIUS JINKO'!$G$43-C6)</f>
        <v>#DIV/0!</v>
      </c>
      <c r="E6" s="105">
        <f>+'FRONIUS-BYD 335Wp'!E6</f>
        <v>3</v>
      </c>
      <c r="F6" s="112" t="str">
        <f>+IF(K6=0,"",ROUND(M6/(1-'Tabela de BDI'!$C$3),0))</f>
        <v/>
      </c>
      <c r="G6" s="107"/>
      <c r="H6" s="106"/>
      <c r="I6" s="143"/>
      <c r="J6" s="106">
        <f>+I6/(1-$I$5)</f>
        <v>0</v>
      </c>
      <c r="K6" s="106">
        <f t="shared" ref="K6" si="1">+H6+J6</f>
        <v>0</v>
      </c>
      <c r="L6" s="106">
        <f>+'FRONIUS-BYD 335Wp'!L6</f>
        <v>2500</v>
      </c>
      <c r="M6" s="106">
        <f t="shared" ref="M6" si="2">+K6+L6</f>
        <v>2500</v>
      </c>
      <c r="N6" s="106" t="str">
        <f>+IF(F6="","",F6*'Tabela de BDI'!$C$7)</f>
        <v/>
      </c>
      <c r="O6" s="106" t="str">
        <f>IF(F6="","",F6*'Tabela de BDI'!$C$8)</f>
        <v/>
      </c>
      <c r="P6" s="109" t="str">
        <f t="shared" ref="P6" si="3">IF(F6="","",(F6-K6)/K6)</f>
        <v/>
      </c>
      <c r="Q6" s="110" t="str">
        <f t="shared" ref="Q6" si="4">IF(F6="","",(F6/C6)/1000)</f>
        <v/>
      </c>
      <c r="R6" s="111">
        <f>+'Tabela de BDI'!$F$9*C6</f>
        <v>158.4</v>
      </c>
      <c r="S6" s="102"/>
    </row>
    <row r="7" spans="1:19" x14ac:dyDescent="0.25">
      <c r="A7" s="1"/>
      <c r="B7" s="103" t="s">
        <v>85</v>
      </c>
      <c r="C7" s="104">
        <f t="shared" ref="C7:C63" si="5">+E7*$B$3</f>
        <v>1.76</v>
      </c>
      <c r="D7" s="205" t="e">
        <f>+ABS('Preço SFCR-FRONIUS JINKO'!$G$43-C7)</f>
        <v>#DIV/0!</v>
      </c>
      <c r="E7" s="105">
        <f>+'FRONIUS-BYD 335Wp'!E7</f>
        <v>4</v>
      </c>
      <c r="F7" s="112" t="str">
        <f>+IF(K7=0,"",ROUND(M7/(1-'Tabela de BDI'!$C$3),0))</f>
        <v/>
      </c>
      <c r="G7" s="107"/>
      <c r="H7" s="106"/>
      <c r="I7" s="143"/>
      <c r="J7" s="106">
        <f t="shared" ref="J7:J42" si="6">+I7/(1-$I$5)</f>
        <v>0</v>
      </c>
      <c r="K7" s="106">
        <f t="shared" ref="K7:K63" si="7">+H7+J7</f>
        <v>0</v>
      </c>
      <c r="L7" s="106">
        <f>+'FRONIUS-BYD 335Wp'!L7</f>
        <v>2625</v>
      </c>
      <c r="M7" s="106">
        <f t="shared" ref="M7:M63" si="8">+K7+L7</f>
        <v>2625</v>
      </c>
      <c r="N7" s="106" t="str">
        <f>+IF(F7="","",F7*'Tabela de BDI'!$C$7)</f>
        <v/>
      </c>
      <c r="O7" s="106" t="str">
        <f>IF(F7="","",F7*'Tabela de BDI'!$C$8)</f>
        <v/>
      </c>
      <c r="P7" s="109" t="str">
        <f t="shared" ref="P7:P63" si="9">IF(F7="","",(F7-K7)/K7)</f>
        <v/>
      </c>
      <c r="Q7" s="110" t="str">
        <f t="shared" ref="Q7:Q65" si="10">IF(F7="","",(F7/C7)/1000)</f>
        <v/>
      </c>
      <c r="R7" s="111">
        <f>+'Tabela de BDI'!$F$9*C7</f>
        <v>211.2</v>
      </c>
      <c r="S7" s="102"/>
    </row>
    <row r="8" spans="1:19" s="174" customFormat="1" x14ac:dyDescent="0.25">
      <c r="A8" s="175"/>
      <c r="B8" s="103" t="s">
        <v>85</v>
      </c>
      <c r="C8" s="104">
        <f t="shared" ref="C8" si="11">+E8*$B$3</f>
        <v>2.2000000000000002</v>
      </c>
      <c r="D8" s="205" t="e">
        <f>+ABS('Preço SFCR-FRONIUS JINKO'!$G$43-C8)</f>
        <v>#DIV/0!</v>
      </c>
      <c r="E8" s="105">
        <f>+'FRONIUS-BYD 335Wp'!E8</f>
        <v>5</v>
      </c>
      <c r="F8" s="112" t="str">
        <f>+IF(K8=0,"",ROUND(M8/(1-'Tabela de BDI'!$C$3),0))</f>
        <v/>
      </c>
      <c r="G8" s="107"/>
      <c r="H8" s="106"/>
      <c r="I8" s="143"/>
      <c r="J8" s="106">
        <f t="shared" si="6"/>
        <v>0</v>
      </c>
      <c r="K8" s="106">
        <f t="shared" ref="K8" si="12">+H8+J8</f>
        <v>0</v>
      </c>
      <c r="L8" s="106">
        <f>+'FRONIUS-BYD 335Wp'!L8</f>
        <v>2750</v>
      </c>
      <c r="M8" s="106">
        <f t="shared" ref="M8" si="13">+K8+L8</f>
        <v>2750</v>
      </c>
      <c r="N8" s="106" t="str">
        <f>+IF(F8="","",F8*'Tabela de BDI'!$C$7)</f>
        <v/>
      </c>
      <c r="O8" s="106" t="str">
        <f>IF(F8="","",F8*'Tabela de BDI'!$C$8)</f>
        <v/>
      </c>
      <c r="P8" s="109" t="str">
        <f t="shared" ref="P8" si="14">IF(F8="","",(F8-K8)/K8)</f>
        <v/>
      </c>
      <c r="Q8" s="110" t="str">
        <f t="shared" ref="Q8" si="15">IF(F8="","",(F8/C8)/1000)</f>
        <v/>
      </c>
      <c r="R8" s="111">
        <f>+'Tabela de BDI'!$F$9*C8</f>
        <v>264</v>
      </c>
      <c r="S8" s="102"/>
    </row>
    <row r="9" spans="1:19" x14ac:dyDescent="0.25">
      <c r="A9" s="1"/>
      <c r="B9" s="103" t="s">
        <v>85</v>
      </c>
      <c r="C9" s="104">
        <f t="shared" si="5"/>
        <v>2.64</v>
      </c>
      <c r="D9" s="205" t="e">
        <f>+ABS('Preço SFCR-FRONIUS JINKO'!$G$43-C9)</f>
        <v>#DIV/0!</v>
      </c>
      <c r="E9" s="105">
        <f>+'FRONIUS-BYD 335Wp'!E9</f>
        <v>6</v>
      </c>
      <c r="F9" s="112" t="str">
        <f>+IF(K9=0,"",ROUND(M9/(1-'Tabela de BDI'!$C$3),0))</f>
        <v/>
      </c>
      <c r="G9" s="107"/>
      <c r="H9" s="106"/>
      <c r="I9" s="143"/>
      <c r="J9" s="106">
        <f t="shared" si="6"/>
        <v>0</v>
      </c>
      <c r="K9" s="106">
        <f t="shared" si="7"/>
        <v>0</v>
      </c>
      <c r="L9" s="106">
        <f>+'FRONIUS-BYD 335Wp'!L9</f>
        <v>2875</v>
      </c>
      <c r="M9" s="106">
        <f t="shared" si="8"/>
        <v>2875</v>
      </c>
      <c r="N9" s="106" t="str">
        <f>+IF(F9="","",F9*'Tabela de BDI'!$C$7)</f>
        <v/>
      </c>
      <c r="O9" s="106" t="str">
        <f>IF(F9="","",F9*'Tabela de BDI'!$C$8)</f>
        <v/>
      </c>
      <c r="P9" s="109" t="str">
        <f t="shared" si="9"/>
        <v/>
      </c>
      <c r="Q9" s="110" t="str">
        <f t="shared" si="10"/>
        <v/>
      </c>
      <c r="R9" s="111">
        <f>+'Tabela de BDI'!$F$9*C9</f>
        <v>316.8</v>
      </c>
      <c r="S9" s="102"/>
    </row>
    <row r="10" spans="1:19" s="174" customFormat="1" x14ac:dyDescent="0.25">
      <c r="A10" s="175"/>
      <c r="B10" s="103" t="s">
        <v>85</v>
      </c>
      <c r="C10" s="104">
        <f t="shared" ref="C10" si="16">+E10*$B$3</f>
        <v>3.08</v>
      </c>
      <c r="D10" s="205" t="e">
        <f>+ABS('Preço SFCR-FRONIUS JINKO'!$G$43-C10)</f>
        <v>#DIV/0!</v>
      </c>
      <c r="E10" s="105">
        <f>+'FRONIUS-BYD 335Wp'!E10</f>
        <v>7</v>
      </c>
      <c r="F10" s="112">
        <f>+IF(K10=0,"",ROUND(M10/(1-'Tabela de BDI'!$C$3),0))</f>
        <v>19734</v>
      </c>
      <c r="G10" s="107" t="s">
        <v>68</v>
      </c>
      <c r="H10" s="106"/>
      <c r="I10" s="148">
        <v>13956.47</v>
      </c>
      <c r="J10" s="106">
        <f t="shared" si="6"/>
        <v>14169.005076142132</v>
      </c>
      <c r="K10" s="106">
        <f t="shared" ref="K10" si="17">+H10+J10</f>
        <v>14169.005076142132</v>
      </c>
      <c r="L10" s="106">
        <f>+'FRONIUS-BYD 335Wp'!L10</f>
        <v>3000</v>
      </c>
      <c r="M10" s="106">
        <f t="shared" ref="M10" si="18">+K10+L10</f>
        <v>17169.00507614213</v>
      </c>
      <c r="N10" s="106">
        <f>+IF(F10="","",F10*'Tabela de BDI'!$C$7)</f>
        <v>1578.72</v>
      </c>
      <c r="O10" s="106">
        <f>IF(F10="","",F10*'Tabela de BDI'!$C$8)</f>
        <v>986.7</v>
      </c>
      <c r="P10" s="109">
        <f t="shared" ref="P10" si="19">IF(F10="","",(F10-K10)/K10)</f>
        <v>0.39275834075521965</v>
      </c>
      <c r="Q10" s="110">
        <f t="shared" ref="Q10" si="20">IF(F10="","",(F10/C10)/1000)</f>
        <v>6.4071428571428566</v>
      </c>
      <c r="R10" s="111">
        <f>+'Tabela de BDI'!$F$9*C10</f>
        <v>369.6</v>
      </c>
      <c r="S10" s="102"/>
    </row>
    <row r="11" spans="1:19" x14ac:dyDescent="0.25">
      <c r="A11" s="1"/>
      <c r="B11" s="103" t="s">
        <v>85</v>
      </c>
      <c r="C11" s="104">
        <f t="shared" si="5"/>
        <v>3.52</v>
      </c>
      <c r="D11" s="205" t="e">
        <f>+ABS('Preço SFCR-FRONIUS JINKO'!$G$43-C11)</f>
        <v>#DIV/0!</v>
      </c>
      <c r="E11" s="105">
        <f>+'FRONIUS-BYD 335Wp'!E11</f>
        <v>8</v>
      </c>
      <c r="F11" s="112">
        <f>+IF(K11=0,"",ROUND(M11/(1-'Tabela de BDI'!$C$3),0))</f>
        <v>20924</v>
      </c>
      <c r="G11" s="107" t="s">
        <v>68</v>
      </c>
      <c r="H11" s="106"/>
      <c r="I11" s="148">
        <v>14852.82</v>
      </c>
      <c r="J11" s="106">
        <f t="shared" si="6"/>
        <v>15079.005076142132</v>
      </c>
      <c r="K11" s="106">
        <f t="shared" si="7"/>
        <v>15079.005076142132</v>
      </c>
      <c r="L11" s="106">
        <f>+'FRONIUS-BYD 335Wp'!L11</f>
        <v>3125</v>
      </c>
      <c r="M11" s="106">
        <f t="shared" si="8"/>
        <v>18204.00507614213</v>
      </c>
      <c r="N11" s="106">
        <f>+IF(F11="","",F11*'Tabela de BDI'!$C$7)</f>
        <v>1673.92</v>
      </c>
      <c r="O11" s="106">
        <f>IF(F11="","",F11*'Tabela de BDI'!$C$8)</f>
        <v>1046.2</v>
      </c>
      <c r="P11" s="109">
        <f t="shared" si="9"/>
        <v>0.38762470695800533</v>
      </c>
      <c r="Q11" s="110">
        <f t="shared" si="10"/>
        <v>5.9443181818181818</v>
      </c>
      <c r="R11" s="111">
        <f>+'Tabela de BDI'!$F$9*C11</f>
        <v>422.4</v>
      </c>
      <c r="S11" s="102"/>
    </row>
    <row r="12" spans="1:19" s="174" customFormat="1" x14ac:dyDescent="0.25">
      <c r="A12" s="175"/>
      <c r="B12" s="103" t="s">
        <v>85</v>
      </c>
      <c r="C12" s="104">
        <f t="shared" si="5"/>
        <v>3.96</v>
      </c>
      <c r="D12" s="205" t="e">
        <f>+ABS('Preço SFCR-FRONIUS JINKO'!$G$43-C12)</f>
        <v>#DIV/0!</v>
      </c>
      <c r="E12" s="105">
        <f>+'FRONIUS-BYD 335Wp'!E12</f>
        <v>9</v>
      </c>
      <c r="F12" s="112">
        <f>+IF(K12=0,"",ROUND(M12/(1-'Tabela de BDI'!$C$3),0))</f>
        <v>22562</v>
      </c>
      <c r="G12" s="107" t="s">
        <v>234</v>
      </c>
      <c r="H12" s="106"/>
      <c r="I12" s="143">
        <v>16133.32</v>
      </c>
      <c r="J12" s="106">
        <f t="shared" si="6"/>
        <v>16379.005076142132</v>
      </c>
      <c r="K12" s="106">
        <f t="shared" si="7"/>
        <v>16379.005076142132</v>
      </c>
      <c r="L12" s="106">
        <f>+'FRONIUS-BYD 335Wp'!L12</f>
        <v>3250</v>
      </c>
      <c r="M12" s="106">
        <f t="shared" si="8"/>
        <v>19629.00507614213</v>
      </c>
      <c r="N12" s="106">
        <f>+IF(F12="","",F12*'Tabela de BDI'!$C$7)</f>
        <v>1804.96</v>
      </c>
      <c r="O12" s="106">
        <f>IF(F12="","",F12*'Tabela de BDI'!$C$8)</f>
        <v>1128.1000000000001</v>
      </c>
      <c r="P12" s="109">
        <f t="shared" si="9"/>
        <v>0.3774951466902039</v>
      </c>
      <c r="Q12" s="110">
        <f t="shared" si="10"/>
        <v>5.6974747474747476</v>
      </c>
      <c r="R12" s="111">
        <f>+'Tabela de BDI'!$F$9*C12</f>
        <v>475.2</v>
      </c>
      <c r="S12" s="102"/>
    </row>
    <row r="13" spans="1:19" x14ac:dyDescent="0.25">
      <c r="A13" s="1"/>
      <c r="B13" s="103" t="s">
        <v>85</v>
      </c>
      <c r="C13" s="104">
        <f t="shared" si="5"/>
        <v>4.4000000000000004</v>
      </c>
      <c r="D13" s="205" t="e">
        <f>+ABS('Preço SFCR-FRONIUS JINKO'!$G$43-C13)</f>
        <v>#DIV/0!</v>
      </c>
      <c r="E13" s="105">
        <f>+'FRONIUS-BYD 335Wp'!E13</f>
        <v>10</v>
      </c>
      <c r="F13" s="112">
        <f>+IF(K13=0,"",ROUND(M13/(1-'Tabela de BDI'!$C$3),0))</f>
        <v>24453</v>
      </c>
      <c r="G13" s="107" t="s">
        <v>69</v>
      </c>
      <c r="H13" s="106"/>
      <c r="I13" s="148">
        <v>17630.52</v>
      </c>
      <c r="J13" s="106">
        <f t="shared" si="6"/>
        <v>17899.005076142133</v>
      </c>
      <c r="K13" s="106">
        <f t="shared" si="7"/>
        <v>17899.005076142133</v>
      </c>
      <c r="L13" s="106">
        <f>+'FRONIUS-BYD 335Wp'!L13</f>
        <v>3375</v>
      </c>
      <c r="M13" s="106">
        <f t="shared" si="8"/>
        <v>21274.005076142133</v>
      </c>
      <c r="N13" s="106">
        <f>+IF(F13="","",F13*'Tabela de BDI'!$C$7)</f>
        <v>1956.24</v>
      </c>
      <c r="O13" s="106">
        <f>IF(F13="","",F13*'Tabela de BDI'!$C$8)</f>
        <v>1222.6500000000001</v>
      </c>
      <c r="P13" s="109">
        <f t="shared" si="9"/>
        <v>0.36616532013803327</v>
      </c>
      <c r="Q13" s="110">
        <f t="shared" si="10"/>
        <v>5.5575000000000001</v>
      </c>
      <c r="R13" s="111">
        <f>+'Tabela de BDI'!$F$9*C13</f>
        <v>528</v>
      </c>
      <c r="S13" s="114"/>
    </row>
    <row r="14" spans="1:19" s="174" customFormat="1" x14ac:dyDescent="0.25">
      <c r="A14" s="175"/>
      <c r="B14" s="103" t="s">
        <v>85</v>
      </c>
      <c r="C14" s="104">
        <f t="shared" ref="C14" si="21">+E14*$B$3</f>
        <v>4.84</v>
      </c>
      <c r="D14" s="205" t="e">
        <f>+ABS('Preço SFCR-FRONIUS JINKO'!$G$43-C14)</f>
        <v>#DIV/0!</v>
      </c>
      <c r="E14" s="105">
        <f>+'FRONIUS-BYD 335Wp'!E14</f>
        <v>11</v>
      </c>
      <c r="F14" s="112" t="str">
        <f>+IF(K14=0,"",ROUND(M14/(1-'Tabela de BDI'!$C$3),0))</f>
        <v/>
      </c>
      <c r="G14" s="107"/>
      <c r="H14" s="106"/>
      <c r="I14" s="146"/>
      <c r="J14" s="106">
        <f t="shared" si="6"/>
        <v>0</v>
      </c>
      <c r="K14" s="106">
        <f t="shared" ref="K14" si="22">+H14+J14</f>
        <v>0</v>
      </c>
      <c r="L14" s="106">
        <f>+'FRONIUS-BYD 335Wp'!L14</f>
        <v>3500</v>
      </c>
      <c r="M14" s="106">
        <f t="shared" ref="M14" si="23">+K14+L14</f>
        <v>3500</v>
      </c>
      <c r="N14" s="106" t="str">
        <f>+IF(F14="","",F14*'Tabela de BDI'!$C$7)</f>
        <v/>
      </c>
      <c r="O14" s="106" t="str">
        <f>IF(F14="","",F14*'Tabela de BDI'!$C$8)</f>
        <v/>
      </c>
      <c r="P14" s="109" t="str">
        <f t="shared" ref="P14" si="24">IF(F14="","",(F14-K14)/K14)</f>
        <v/>
      </c>
      <c r="Q14" s="110" t="str">
        <f t="shared" ref="Q14" si="25">IF(F14="","",(F14/C14)/1000)</f>
        <v/>
      </c>
      <c r="R14" s="111">
        <f>+'Tabela de BDI'!$F$9*C14</f>
        <v>580.79999999999995</v>
      </c>
      <c r="S14" s="114"/>
    </row>
    <row r="15" spans="1:19" x14ac:dyDescent="0.25">
      <c r="A15" s="1"/>
      <c r="B15" s="103" t="s">
        <v>85</v>
      </c>
      <c r="C15" s="104">
        <f t="shared" si="5"/>
        <v>5.28</v>
      </c>
      <c r="D15" s="205" t="e">
        <f>+ABS('Preço SFCR-FRONIUS JINKO'!$G$43-C15)</f>
        <v>#DIV/0!</v>
      </c>
      <c r="E15" s="105">
        <f>+'FRONIUS-BYD 335Wp'!E15</f>
        <v>12</v>
      </c>
      <c r="F15" s="112">
        <f>+IF(K15=0,"",ROUND(M15/(1-'Tabela de BDI'!$C$3),0))</f>
        <v>26855</v>
      </c>
      <c r="G15" s="107" t="s">
        <v>69</v>
      </c>
      <c r="H15" s="106"/>
      <c r="I15" s="148">
        <v>19442.919999999998</v>
      </c>
      <c r="J15" s="106">
        <f t="shared" si="6"/>
        <v>19739.00507614213</v>
      </c>
      <c r="K15" s="106">
        <f t="shared" si="7"/>
        <v>19739.00507614213</v>
      </c>
      <c r="L15" s="106">
        <f>+'FRONIUS-BYD 335Wp'!L15</f>
        <v>3625</v>
      </c>
      <c r="M15" s="106">
        <f t="shared" si="8"/>
        <v>23364.00507614213</v>
      </c>
      <c r="N15" s="106">
        <f>+IF(F15="","",F15*'Tabela de BDI'!$C$7)</f>
        <v>2148.4</v>
      </c>
      <c r="O15" s="106">
        <f>IF(F15="","",F15*'Tabela de BDI'!$C$8)</f>
        <v>1342.75</v>
      </c>
      <c r="P15" s="109">
        <f t="shared" si="9"/>
        <v>0.36050423496059247</v>
      </c>
      <c r="Q15" s="110">
        <f t="shared" si="10"/>
        <v>5.0861742424242422</v>
      </c>
      <c r="R15" s="111">
        <f>+'Tabela de BDI'!$F$9*C15</f>
        <v>633.6</v>
      </c>
      <c r="S15" s="114"/>
    </row>
    <row r="16" spans="1:19" s="286" customFormat="1" x14ac:dyDescent="0.25">
      <c r="A16" s="288"/>
      <c r="B16" s="103" t="s">
        <v>85</v>
      </c>
      <c r="C16" s="104">
        <f t="shared" ref="C16" si="26">+E16*$B$3</f>
        <v>5.72</v>
      </c>
      <c r="D16" s="205" t="e">
        <f>+ABS('Preço SFCR-FRONIUS JINKO'!$G$43-C16)</f>
        <v>#DIV/0!</v>
      </c>
      <c r="E16" s="105">
        <f>+'FRONIUS-BYD 335Wp'!E16</f>
        <v>13</v>
      </c>
      <c r="F16" s="112" t="str">
        <f>+IF(K16=0,"",ROUND(M16/(1-'Tabela de BDI'!$C$3),0))</f>
        <v/>
      </c>
      <c r="G16" s="107"/>
      <c r="H16" s="106"/>
      <c r="I16" s="148"/>
      <c r="J16" s="106">
        <f t="shared" ref="J16" si="27">+I16/(1-$I$5)</f>
        <v>0</v>
      </c>
      <c r="K16" s="106">
        <f t="shared" ref="K16" si="28">+H16+J16</f>
        <v>0</v>
      </c>
      <c r="L16" s="106">
        <f>+'FRONIUS-BYD 335Wp'!L16</f>
        <v>3750</v>
      </c>
      <c r="M16" s="106">
        <f t="shared" ref="M16" si="29">+K16+L16</f>
        <v>3750</v>
      </c>
      <c r="N16" s="106" t="str">
        <f>+IF(F16="","",F16*'Tabela de BDI'!$C$7)</f>
        <v/>
      </c>
      <c r="O16" s="106" t="str">
        <f>IF(F16="","",F16*'Tabela de BDI'!$C$8)</f>
        <v/>
      </c>
      <c r="P16" s="109" t="str">
        <f t="shared" ref="P16" si="30">IF(F16="","",(F16-K16)/K16)</f>
        <v/>
      </c>
      <c r="Q16" s="110" t="str">
        <f t="shared" ref="Q16" si="31">IF(F16="","",(F16/C16)/1000)</f>
        <v/>
      </c>
      <c r="R16" s="111">
        <f>+'Tabela de BDI'!$F$9*C16</f>
        <v>686.4</v>
      </c>
      <c r="S16" s="114"/>
    </row>
    <row r="17" spans="1:19" x14ac:dyDescent="0.25">
      <c r="A17" s="1"/>
      <c r="B17" s="103" t="s">
        <v>85</v>
      </c>
      <c r="C17" s="104">
        <f t="shared" si="5"/>
        <v>6.16</v>
      </c>
      <c r="D17" s="205" t="e">
        <f>+ABS('Preço SFCR-FRONIUS JINKO'!$G$43-C17)</f>
        <v>#DIV/0!</v>
      </c>
      <c r="E17" s="105">
        <f>+'FRONIUS-BYD 335Wp'!E17</f>
        <v>14</v>
      </c>
      <c r="F17" s="112">
        <f>+IF(K17=0,"",ROUND(M17/(1-'Tabela de BDI'!$C$3),0))</f>
        <v>30395</v>
      </c>
      <c r="G17" s="107" t="s">
        <v>70</v>
      </c>
      <c r="H17" s="106"/>
      <c r="I17" s="148">
        <v>22230.47</v>
      </c>
      <c r="J17" s="106">
        <f t="shared" si="6"/>
        <v>22569.005076142133</v>
      </c>
      <c r="K17" s="106">
        <f t="shared" si="7"/>
        <v>22569.005076142133</v>
      </c>
      <c r="L17" s="106">
        <f>+'FRONIUS-BYD 335Wp'!L17</f>
        <v>3875</v>
      </c>
      <c r="M17" s="106">
        <f t="shared" si="8"/>
        <v>26444.005076142133</v>
      </c>
      <c r="N17" s="106">
        <f>+IF(F17="","",F17*'Tabela de BDI'!$C$7)</f>
        <v>2431.6</v>
      </c>
      <c r="O17" s="106">
        <f>IF(F17="","",F17*'Tabela de BDI'!$C$8)</f>
        <v>1519.75</v>
      </c>
      <c r="P17" s="109">
        <f t="shared" si="9"/>
        <v>0.34675852557323339</v>
      </c>
      <c r="Q17" s="110">
        <f t="shared" si="10"/>
        <v>4.9342532467532463</v>
      </c>
      <c r="R17" s="111">
        <f>+'Tabela de BDI'!$F$9*C17</f>
        <v>739.2</v>
      </c>
      <c r="S17" s="114"/>
    </row>
    <row r="18" spans="1:19" s="195" customFormat="1" x14ac:dyDescent="0.25">
      <c r="A18" s="196"/>
      <c r="B18" s="103" t="s">
        <v>85</v>
      </c>
      <c r="C18" s="104">
        <f t="shared" ref="C18" si="32">+E18*$B$3</f>
        <v>6.6</v>
      </c>
      <c r="D18" s="205" t="e">
        <f>+ABS('Preço SFCR-FRONIUS JINKO'!$G$43-C18)</f>
        <v>#DIV/0!</v>
      </c>
      <c r="E18" s="105">
        <f>+'FRONIUS-BYD 335Wp'!E18</f>
        <v>15</v>
      </c>
      <c r="F18" s="112" t="str">
        <f>+IF(K18=0,"",ROUND(M18/(1-'Tabela de BDI'!$C$3),0))</f>
        <v/>
      </c>
      <c r="G18" s="107"/>
      <c r="H18" s="106"/>
      <c r="I18" s="146"/>
      <c r="J18" s="106">
        <f t="shared" si="6"/>
        <v>0</v>
      </c>
      <c r="K18" s="106">
        <f t="shared" ref="K18" si="33">+H18+J18</f>
        <v>0</v>
      </c>
      <c r="L18" s="106">
        <f>+'FRONIUS-BYD 335Wp'!L18</f>
        <v>4000</v>
      </c>
      <c r="M18" s="106">
        <f t="shared" ref="M18" si="34">+K18+L18</f>
        <v>4000</v>
      </c>
      <c r="N18" s="106" t="str">
        <f>+IF(F18="","",F18*'Tabela de BDI'!$C$7)</f>
        <v/>
      </c>
      <c r="O18" s="106" t="str">
        <f>IF(F18="","",F18*'Tabela de BDI'!$C$8)</f>
        <v/>
      </c>
      <c r="P18" s="109" t="str">
        <f t="shared" ref="P18" si="35">IF(F18="","",(F18-K18)/K18)</f>
        <v/>
      </c>
      <c r="Q18" s="110" t="str">
        <f t="shared" ref="Q18" si="36">IF(F18="","",(F18/C18)/1000)</f>
        <v/>
      </c>
      <c r="R18" s="111">
        <f>+'Tabela de BDI'!$F$9*C18</f>
        <v>792</v>
      </c>
      <c r="S18" s="114"/>
    </row>
    <row r="19" spans="1:19" x14ac:dyDescent="0.25">
      <c r="A19" s="1"/>
      <c r="B19" s="103" t="s">
        <v>85</v>
      </c>
      <c r="C19" s="104">
        <f t="shared" si="5"/>
        <v>7.04</v>
      </c>
      <c r="D19" s="205" t="e">
        <f>+ABS('Preço SFCR-FRONIUS JINKO'!$G$43-C19)</f>
        <v>#DIV/0!</v>
      </c>
      <c r="E19" s="105">
        <f>+'FRONIUS-BYD 335Wp'!E19</f>
        <v>16</v>
      </c>
      <c r="F19" s="112">
        <f>+IF(K19=0,"",ROUND(M19/(1-'Tabela de BDI'!$C$3),0))</f>
        <v>34280</v>
      </c>
      <c r="G19" s="107" t="s">
        <v>235</v>
      </c>
      <c r="H19" s="106"/>
      <c r="I19" s="148">
        <v>25313.52</v>
      </c>
      <c r="J19" s="106">
        <f t="shared" si="6"/>
        <v>25699.005076142133</v>
      </c>
      <c r="K19" s="106">
        <f t="shared" si="7"/>
        <v>25699.005076142133</v>
      </c>
      <c r="L19" s="106">
        <f>+'FRONIUS-BYD 335Wp'!L19</f>
        <v>4125</v>
      </c>
      <c r="M19" s="106">
        <f t="shared" si="8"/>
        <v>29824.005076142133</v>
      </c>
      <c r="N19" s="106">
        <f>+IF(F19="","",F19*'Tabela de BDI'!$C$7)</f>
        <v>2742.4</v>
      </c>
      <c r="O19" s="106">
        <f>IF(F19="","",F19*'Tabela de BDI'!$C$8)</f>
        <v>1714</v>
      </c>
      <c r="P19" s="109">
        <f t="shared" si="9"/>
        <v>0.33390377948226868</v>
      </c>
      <c r="Q19" s="110">
        <f t="shared" si="10"/>
        <v>4.8693181818181817</v>
      </c>
      <c r="R19" s="111">
        <f>+'Tabela de BDI'!$F$9*C19</f>
        <v>844.8</v>
      </c>
      <c r="S19" s="114"/>
    </row>
    <row r="20" spans="1:19" x14ac:dyDescent="0.25">
      <c r="A20" s="1"/>
      <c r="B20" s="103" t="s">
        <v>85</v>
      </c>
      <c r="C20" s="104">
        <f t="shared" si="5"/>
        <v>7.92</v>
      </c>
      <c r="D20" s="205" t="e">
        <f>+ABS('Preço SFCR-FRONIUS JINKO'!$G$43-C20)</f>
        <v>#DIV/0!</v>
      </c>
      <c r="E20" s="105">
        <f>+'FRONIUS-BYD 335Wp'!E21</f>
        <v>18</v>
      </c>
      <c r="F20" s="112">
        <f>+IF(K20=0,"",ROUND(M20/(1-'Tabela de BDI'!$C$3),0))</f>
        <v>37108</v>
      </c>
      <c r="G20" s="107" t="s">
        <v>71</v>
      </c>
      <c r="H20" s="106"/>
      <c r="I20" s="148">
        <v>27490.37</v>
      </c>
      <c r="J20" s="106">
        <f t="shared" si="6"/>
        <v>27909.00507614213</v>
      </c>
      <c r="K20" s="106">
        <f t="shared" si="7"/>
        <v>27909.00507614213</v>
      </c>
      <c r="L20" s="106">
        <f>+'FRONIUS-BYD 335Wp'!L21</f>
        <v>4375</v>
      </c>
      <c r="M20" s="106">
        <f t="shared" si="8"/>
        <v>32284.00507614213</v>
      </c>
      <c r="N20" s="106">
        <f>+IF(F20="","",F20*'Tabela de BDI'!$C$7)</f>
        <v>2968.64</v>
      </c>
      <c r="O20" s="106">
        <f>IF(F20="","",F20*'Tabela de BDI'!$C$8)</f>
        <v>1855.4</v>
      </c>
      <c r="P20" s="109">
        <f t="shared" si="9"/>
        <v>0.32960669499901246</v>
      </c>
      <c r="Q20" s="110">
        <f t="shared" si="10"/>
        <v>4.6853535353535349</v>
      </c>
      <c r="R20" s="111">
        <f>+'Tabela de BDI'!$F$9*C20</f>
        <v>950.4</v>
      </c>
      <c r="S20" s="114"/>
    </row>
    <row r="21" spans="1:19" s="228" customFormat="1" x14ac:dyDescent="0.25">
      <c r="A21" s="229"/>
      <c r="B21" s="103" t="s">
        <v>85</v>
      </c>
      <c r="C21" s="104">
        <f t="shared" ref="C21" si="37">+E21*$B$3</f>
        <v>8.36</v>
      </c>
      <c r="D21" s="205" t="e">
        <f>+ABS('Preço SFCR-FRONIUS JINKO'!$G$43-C21)</f>
        <v>#DIV/0!</v>
      </c>
      <c r="E21" s="105">
        <f>+'FRONIUS-BYD 335Wp'!E22</f>
        <v>19</v>
      </c>
      <c r="F21" s="112" t="str">
        <f>+IF(K21=0,"",ROUND(M21/(1-'Tabela de BDI'!$C$3),0))</f>
        <v/>
      </c>
      <c r="G21" s="107"/>
      <c r="H21" s="106"/>
      <c r="I21" s="146"/>
      <c r="J21" s="106">
        <f t="shared" si="6"/>
        <v>0</v>
      </c>
      <c r="K21" s="106">
        <f>+H21+J21</f>
        <v>0</v>
      </c>
      <c r="L21" s="106">
        <f>+'FRONIUS-BYD 335Wp'!L22</f>
        <v>4500</v>
      </c>
      <c r="M21" s="106">
        <f t="shared" ref="M21" si="38">+K21+L21</f>
        <v>4500</v>
      </c>
      <c r="N21" s="106" t="str">
        <f>+IF(F21="","",F21*'Tabela de BDI'!$C$7)</f>
        <v/>
      </c>
      <c r="O21" s="106" t="str">
        <f>IF(F21="","",F21*'Tabela de BDI'!$C$8)</f>
        <v/>
      </c>
      <c r="P21" s="109" t="str">
        <f t="shared" ref="P21" si="39">IF(F21="","",(F21-K21)/K21)</f>
        <v/>
      </c>
      <c r="Q21" s="110" t="str">
        <f t="shared" ref="Q21" si="40">IF(F21="","",(F21/C21)/1000)</f>
        <v/>
      </c>
      <c r="R21" s="111">
        <f>+'Tabela de BDI'!$F$9*C21</f>
        <v>1003.1999999999999</v>
      </c>
      <c r="S21" s="114"/>
    </row>
    <row r="22" spans="1:19" x14ac:dyDescent="0.25">
      <c r="A22" s="1"/>
      <c r="B22" s="103" t="s">
        <v>85</v>
      </c>
      <c r="C22" s="104">
        <f t="shared" si="5"/>
        <v>8.8000000000000007</v>
      </c>
      <c r="D22" s="205" t="e">
        <f>+ABS('Preço SFCR-FRONIUS JINKO'!$G$43-C22)</f>
        <v>#DIV/0!</v>
      </c>
      <c r="E22" s="105">
        <f>+'FRONIUS-BYD 335Wp'!E23</f>
        <v>20</v>
      </c>
      <c r="F22" s="112">
        <f>+IF(K22=0,"",ROUND(M22/(1-'Tabela de BDI'!$C$3),0))</f>
        <v>41694</v>
      </c>
      <c r="G22" s="107" t="s">
        <v>72</v>
      </c>
      <c r="H22" s="106"/>
      <c r="I22" s="148">
        <v>31174.27</v>
      </c>
      <c r="J22" s="106">
        <f t="shared" si="6"/>
        <v>31649.005076142133</v>
      </c>
      <c r="K22" s="106">
        <f t="shared" si="7"/>
        <v>31649.005076142133</v>
      </c>
      <c r="L22" s="106">
        <f>+'FRONIUS-BYD 335Wp'!L23</f>
        <v>4625</v>
      </c>
      <c r="M22" s="106">
        <f t="shared" si="8"/>
        <v>36274.00507614213</v>
      </c>
      <c r="N22" s="106">
        <f>+IF(F22="","",F22*'Tabela de BDI'!$C$7)</f>
        <v>3335.52</v>
      </c>
      <c r="O22" s="106">
        <f>IF(F22="","",F22*'Tabela de BDI'!$C$8)</f>
        <v>2084.7000000000003</v>
      </c>
      <c r="P22" s="109">
        <f t="shared" si="9"/>
        <v>0.3173873838906251</v>
      </c>
      <c r="Q22" s="110">
        <f t="shared" si="10"/>
        <v>4.7379545454545449</v>
      </c>
      <c r="R22" s="111">
        <f>+'Tabela de BDI'!$F$9*C22</f>
        <v>1056</v>
      </c>
      <c r="S22" s="114"/>
    </row>
    <row r="23" spans="1:19" x14ac:dyDescent="0.25">
      <c r="A23" s="1"/>
      <c r="B23" s="103" t="s">
        <v>85</v>
      </c>
      <c r="C23" s="104">
        <f t="shared" si="5"/>
        <v>9.68</v>
      </c>
      <c r="D23" s="205" t="e">
        <f>+ABS('Preço SFCR-FRONIUS JINKO'!$G$43-C23)</f>
        <v>#DIV/0!</v>
      </c>
      <c r="E23" s="105">
        <f>+'FRONIUS-BYD 335Wp'!E25</f>
        <v>22</v>
      </c>
      <c r="F23" s="112">
        <f>+IF(K23=0,"",ROUND(M23/(1-'Tabela de BDI'!$C$3),0))</f>
        <v>44533</v>
      </c>
      <c r="G23" s="107" t="s">
        <v>72</v>
      </c>
      <c r="H23" s="106"/>
      <c r="I23" s="148">
        <v>33360.97</v>
      </c>
      <c r="J23" s="106">
        <f t="shared" si="6"/>
        <v>33869.005076142137</v>
      </c>
      <c r="K23" s="106">
        <f t="shared" si="7"/>
        <v>33869.005076142137</v>
      </c>
      <c r="L23" s="106">
        <f>+'FRONIUS-BYD 335Wp'!L25</f>
        <v>4875</v>
      </c>
      <c r="M23" s="106">
        <f t="shared" si="8"/>
        <v>38744.005076142137</v>
      </c>
      <c r="N23" s="106">
        <f>+IF(F23="","",F23*'Tabela de BDI'!$C$7)</f>
        <v>3562.64</v>
      </c>
      <c r="O23" s="106">
        <f>IF(F23="","",F23*'Tabela de BDI'!$C$8)</f>
        <v>2226.65</v>
      </c>
      <c r="P23" s="109">
        <f t="shared" si="9"/>
        <v>0.31485999957435268</v>
      </c>
      <c r="Q23" s="110">
        <f t="shared" si="10"/>
        <v>4.6005165289256205</v>
      </c>
      <c r="R23" s="111">
        <f>+'Tabela de BDI'!$F$9*C23</f>
        <v>1161.5999999999999</v>
      </c>
      <c r="S23" s="114"/>
    </row>
    <row r="24" spans="1:19" s="228" customFormat="1" x14ac:dyDescent="0.25">
      <c r="A24" s="229"/>
      <c r="B24" s="103" t="s">
        <v>85</v>
      </c>
      <c r="C24" s="104">
        <f t="shared" ref="C24" si="41">+E24*$B$3</f>
        <v>10.119999999999999</v>
      </c>
      <c r="D24" s="205" t="e">
        <f>+ABS('Preço SFCR-FRONIUS JINKO'!$G$43-C24)</f>
        <v>#DIV/0!</v>
      </c>
      <c r="E24" s="105">
        <f>+'FRONIUS-BYD 335Wp'!E26</f>
        <v>23</v>
      </c>
      <c r="F24" s="112" t="str">
        <f>+IF(K24=0,"",ROUND(M24/(1-'Tabela de BDI'!$C$3),0))</f>
        <v/>
      </c>
      <c r="G24" s="107"/>
      <c r="H24" s="106"/>
      <c r="I24" s="146"/>
      <c r="J24" s="106">
        <f t="shared" si="6"/>
        <v>0</v>
      </c>
      <c r="K24" s="106">
        <f t="shared" ref="K24" si="42">+H24+J24</f>
        <v>0</v>
      </c>
      <c r="L24" s="106">
        <f>+'FRONIUS-BYD 335Wp'!L26</f>
        <v>5000</v>
      </c>
      <c r="M24" s="106">
        <f t="shared" ref="M24" si="43">+K24+L24</f>
        <v>5000</v>
      </c>
      <c r="N24" s="106" t="str">
        <f>+IF(F24="","",F24*'Tabela de BDI'!$C$7)</f>
        <v/>
      </c>
      <c r="O24" s="106" t="str">
        <f>IF(F24="","",F24*'Tabela de BDI'!$C$8)</f>
        <v/>
      </c>
      <c r="P24" s="109" t="str">
        <f t="shared" ref="P24" si="44">IF(F24="","",(F24-K24)/K24)</f>
        <v/>
      </c>
      <c r="Q24" s="110" t="str">
        <f t="shared" ref="Q24" si="45">IF(F24="","",(F24/C24)/1000)</f>
        <v/>
      </c>
      <c r="R24" s="111">
        <f>+'Tabela de BDI'!$F$9*C24</f>
        <v>1214.3999999999999</v>
      </c>
      <c r="S24" s="114"/>
    </row>
    <row r="25" spans="1:19" x14ac:dyDescent="0.25">
      <c r="A25" s="1"/>
      <c r="B25" s="103" t="s">
        <v>85</v>
      </c>
      <c r="C25" s="104">
        <f t="shared" si="5"/>
        <v>10.56</v>
      </c>
      <c r="D25" s="205" t="e">
        <f>+ABS('Preço SFCR-FRONIUS JINKO'!$G$43-C25)</f>
        <v>#DIV/0!</v>
      </c>
      <c r="E25" s="105">
        <f>+'FRONIUS-BYD 335Wp'!E27</f>
        <v>24</v>
      </c>
      <c r="F25" s="112">
        <f>+IF(K25=0,"",ROUND(M25/(1-'Tabela de BDI'!$C$3),0))</f>
        <v>46924</v>
      </c>
      <c r="G25" s="107" t="s">
        <v>72</v>
      </c>
      <c r="H25" s="106"/>
      <c r="I25" s="148">
        <v>35163.519999999997</v>
      </c>
      <c r="J25" s="106">
        <f t="shared" si="6"/>
        <v>35699.00507614213</v>
      </c>
      <c r="K25" s="106">
        <f t="shared" si="7"/>
        <v>35699.00507614213</v>
      </c>
      <c r="L25" s="106">
        <f>+'FRONIUS-BYD 335Wp'!L27</f>
        <v>5125</v>
      </c>
      <c r="M25" s="106">
        <f t="shared" si="8"/>
        <v>40824.00507614213</v>
      </c>
      <c r="N25" s="106">
        <f>+IF(F25="","",F25*'Tabela de BDI'!$C$7)</f>
        <v>3753.92</v>
      </c>
      <c r="O25" s="106">
        <f>IF(F25="","",F25*'Tabela de BDI'!$C$8)</f>
        <v>2346.2000000000003</v>
      </c>
      <c r="P25" s="109">
        <f t="shared" si="9"/>
        <v>0.31443439109622706</v>
      </c>
      <c r="Q25" s="110">
        <f t="shared" si="10"/>
        <v>4.4435606060606059</v>
      </c>
      <c r="R25" s="111">
        <f>+'Tabela de BDI'!$F$9*C25</f>
        <v>1267.2</v>
      </c>
      <c r="S25" s="114"/>
    </row>
    <row r="26" spans="1:19" s="207" customFormat="1" x14ac:dyDescent="0.25">
      <c r="A26" s="208"/>
      <c r="B26" s="103" t="s">
        <v>85</v>
      </c>
      <c r="C26" s="104">
        <f t="shared" ref="C26" si="46">+E26*$B$3</f>
        <v>11</v>
      </c>
      <c r="D26" s="205" t="e">
        <f>+ABS('Preço SFCR-FRONIUS JINKO'!$G$43-C26)</f>
        <v>#DIV/0!</v>
      </c>
      <c r="E26" s="105">
        <f>+'FRONIUS-BYD 335Wp'!E28</f>
        <v>25</v>
      </c>
      <c r="F26" s="112" t="str">
        <f>+IF(K26=0,"",ROUND(M26/(1-'Tabela de BDI'!$C$3),0))</f>
        <v/>
      </c>
      <c r="G26" s="107"/>
      <c r="H26" s="106"/>
      <c r="I26" s="146"/>
      <c r="J26" s="106">
        <f t="shared" si="6"/>
        <v>0</v>
      </c>
      <c r="K26" s="106">
        <f t="shared" ref="K26" si="47">+H26+J26</f>
        <v>0</v>
      </c>
      <c r="L26" s="106">
        <f>+'FRONIUS-BYD 335Wp'!L28</f>
        <v>5250</v>
      </c>
      <c r="M26" s="106">
        <f t="shared" ref="M26" si="48">+K26+L26</f>
        <v>5250</v>
      </c>
      <c r="N26" s="106" t="str">
        <f>+IF(F26="","",F26*'Tabela de BDI'!$C$7)</f>
        <v/>
      </c>
      <c r="O26" s="106" t="str">
        <f>IF(F26="","",F26*'Tabela de BDI'!$C$8)</f>
        <v/>
      </c>
      <c r="P26" s="109" t="str">
        <f t="shared" ref="P26" si="49">IF(F26="","",(F26-K26)/K26)</f>
        <v/>
      </c>
      <c r="Q26" s="110" t="str">
        <f t="shared" ref="Q26" si="50">IF(F26="","",(F26/C26)/1000)</f>
        <v/>
      </c>
      <c r="R26" s="111">
        <f>+'Tabela de BDI'!$F$9*C26</f>
        <v>1320</v>
      </c>
      <c r="S26" s="114"/>
    </row>
    <row r="27" spans="1:19" x14ac:dyDescent="0.25">
      <c r="A27" s="1"/>
      <c r="B27" s="103" t="s">
        <v>85</v>
      </c>
      <c r="C27" s="104">
        <f t="shared" si="5"/>
        <v>11.44</v>
      </c>
      <c r="D27" s="205" t="e">
        <f>+ABS('Preço SFCR-FRONIUS JINKO'!$G$43-C27)</f>
        <v>#DIV/0!</v>
      </c>
      <c r="E27" s="105">
        <f>+'FRONIUS-BYD 335Wp'!E29</f>
        <v>26</v>
      </c>
      <c r="F27" s="112" t="str">
        <f>+IF(K27=0,"",ROUND(M27/(1-'Tabela de BDI'!$C$3),0))</f>
        <v/>
      </c>
      <c r="G27" s="107"/>
      <c r="H27" s="106"/>
      <c r="I27" s="146"/>
      <c r="J27" s="106">
        <f t="shared" si="6"/>
        <v>0</v>
      </c>
      <c r="K27" s="106">
        <f t="shared" si="7"/>
        <v>0</v>
      </c>
      <c r="L27" s="106">
        <f>+'FRONIUS-BYD 335Wp'!L29</f>
        <v>5375</v>
      </c>
      <c r="M27" s="106">
        <f t="shared" si="8"/>
        <v>5375</v>
      </c>
      <c r="N27" s="106" t="str">
        <f>+IF(F27="","",F27*'Tabela de BDI'!$C$7)</f>
        <v/>
      </c>
      <c r="O27" s="106" t="str">
        <f>IF(F27="","",F27*'Tabela de BDI'!$C$8)</f>
        <v/>
      </c>
      <c r="P27" s="109" t="str">
        <f t="shared" si="9"/>
        <v/>
      </c>
      <c r="Q27" s="110" t="str">
        <f t="shared" si="10"/>
        <v/>
      </c>
      <c r="R27" s="111">
        <f>+'Tabela de BDI'!$F$9*C27</f>
        <v>1372.8</v>
      </c>
      <c r="S27" s="114"/>
    </row>
    <row r="28" spans="1:19" x14ac:dyDescent="0.25">
      <c r="A28" s="1"/>
      <c r="B28" s="103" t="s">
        <v>85</v>
      </c>
      <c r="C28" s="104">
        <f t="shared" si="5"/>
        <v>12.32</v>
      </c>
      <c r="D28" s="205" t="e">
        <f>+ABS('Preço SFCR-FRONIUS JINKO'!$G$43-C28)</f>
        <v>#DIV/0!</v>
      </c>
      <c r="E28" s="105">
        <f>+'FRONIUS-BYD 335Wp'!E30</f>
        <v>28</v>
      </c>
      <c r="F28" s="112">
        <f>+IF(K28=0,"",ROUND(M28/(1-'Tabela de BDI'!$C$3),0))</f>
        <v>58348</v>
      </c>
      <c r="G28" s="230" t="s">
        <v>244</v>
      </c>
      <c r="H28" s="106"/>
      <c r="I28" s="146">
        <f>+I17*2</f>
        <v>44460.94</v>
      </c>
      <c r="J28" s="106">
        <f t="shared" si="6"/>
        <v>45138.010152284267</v>
      </c>
      <c r="K28" s="106">
        <f t="shared" si="7"/>
        <v>45138.010152284267</v>
      </c>
      <c r="L28" s="106">
        <f>+'FRONIUS-BYD 335Wp'!L30</f>
        <v>5625</v>
      </c>
      <c r="M28" s="106">
        <f t="shared" si="8"/>
        <v>50763.010152284267</v>
      </c>
      <c r="N28" s="106">
        <f>+IF(F28="","",F28*'Tabela de BDI'!$C$7)</f>
        <v>4667.84</v>
      </c>
      <c r="O28" s="106">
        <f>IF(F28="","",F28*'Tabela de BDI'!$C$8)</f>
        <v>2917.4</v>
      </c>
      <c r="P28" s="109">
        <f t="shared" si="9"/>
        <v>0.29265778006492882</v>
      </c>
      <c r="Q28" s="110">
        <f t="shared" si="10"/>
        <v>4.736038961038961</v>
      </c>
      <c r="R28" s="111">
        <f>+'Tabela de BDI'!$F$9*C28</f>
        <v>1478.4</v>
      </c>
      <c r="S28" s="114"/>
    </row>
    <row r="29" spans="1:19" x14ac:dyDescent="0.25">
      <c r="A29" s="1"/>
      <c r="B29" s="103" t="s">
        <v>85</v>
      </c>
      <c r="C29" s="104">
        <f t="shared" si="5"/>
        <v>13.2</v>
      </c>
      <c r="D29" s="205" t="e">
        <f>+ABS('Preço SFCR-FRONIUS JINKO'!$G$43-C29)</f>
        <v>#DIV/0!</v>
      </c>
      <c r="E29" s="105">
        <f>+'FRONIUS-BYD 335Wp'!E31</f>
        <v>30</v>
      </c>
      <c r="F29" s="112">
        <f>+IF(K29=0,"",ROUND(M29/(1-'Tabela de BDI'!$C$3),0))</f>
        <v>62051</v>
      </c>
      <c r="G29" s="230" t="s">
        <v>258</v>
      </c>
      <c r="H29" s="106"/>
      <c r="I29" s="148">
        <v>47387.37</v>
      </c>
      <c r="J29" s="106">
        <f t="shared" si="6"/>
        <v>48109.005076142137</v>
      </c>
      <c r="K29" s="106">
        <f t="shared" si="7"/>
        <v>48109.005076142137</v>
      </c>
      <c r="L29" s="106">
        <f>+'FRONIUS-BYD 335Wp'!L31</f>
        <v>5875</v>
      </c>
      <c r="M29" s="106">
        <f t="shared" si="8"/>
        <v>53984.005076142137</v>
      </c>
      <c r="N29" s="106">
        <f>+IF(F29="","",F29*'Tabela de BDI'!$C$7)</f>
        <v>4964.08</v>
      </c>
      <c r="O29" s="106">
        <f>IF(F29="","",F29*'Tabela de BDI'!$C$8)</f>
        <v>3102.55</v>
      </c>
      <c r="P29" s="109">
        <f t="shared" si="9"/>
        <v>0.28980010918521104</v>
      </c>
      <c r="Q29" s="110">
        <f t="shared" si="10"/>
        <v>4.7008333333333336</v>
      </c>
      <c r="R29" s="111">
        <f>+'Tabela de BDI'!$F$9*C29</f>
        <v>1584</v>
      </c>
      <c r="S29" s="114"/>
    </row>
    <row r="30" spans="1:19" x14ac:dyDescent="0.25">
      <c r="A30" s="1"/>
      <c r="B30" s="103" t="s">
        <v>85</v>
      </c>
      <c r="C30" s="104">
        <f t="shared" si="5"/>
        <v>14.08</v>
      </c>
      <c r="D30" s="205" t="e">
        <f>+ABS('Preço SFCR-FRONIUS JINKO'!$G$43-C30)</f>
        <v>#DIV/0!</v>
      </c>
      <c r="E30" s="105">
        <f>+'FRONIUS-BYD 335Wp'!E32</f>
        <v>32</v>
      </c>
      <c r="F30" s="112">
        <f>+IF(K30=0,"",ROUND(M30/(1-'Tabela de BDI'!$C$3),0))</f>
        <v>64372</v>
      </c>
      <c r="G30" s="230" t="s">
        <v>258</v>
      </c>
      <c r="H30" s="106"/>
      <c r="I30" s="148">
        <v>49130.82</v>
      </c>
      <c r="J30" s="106">
        <f t="shared" si="6"/>
        <v>49879.00507614213</v>
      </c>
      <c r="K30" s="106">
        <f t="shared" si="7"/>
        <v>49879.00507614213</v>
      </c>
      <c r="L30" s="106">
        <f>+'FRONIUS-BYD 335Wp'!L32</f>
        <v>6125</v>
      </c>
      <c r="M30" s="106">
        <f t="shared" si="8"/>
        <v>56004.00507614213</v>
      </c>
      <c r="N30" s="106">
        <f>+IF(F30="","",F30*'Tabela de BDI'!$C$7)</f>
        <v>5149.76</v>
      </c>
      <c r="O30" s="106">
        <f>IF(F30="","",F30*'Tabela de BDI'!$C$8)</f>
        <v>3218.6000000000004</v>
      </c>
      <c r="P30" s="109">
        <f t="shared" si="9"/>
        <v>0.29056303151463792</v>
      </c>
      <c r="Q30" s="110">
        <f t="shared" si="10"/>
        <v>4.5718750000000004</v>
      </c>
      <c r="R30" s="111">
        <f>+'Tabela de BDI'!$F$9*C30</f>
        <v>1689.6</v>
      </c>
      <c r="S30" s="114"/>
    </row>
    <row r="31" spans="1:19" ht="15.75" customHeight="1" x14ac:dyDescent="0.25">
      <c r="A31" s="1"/>
      <c r="B31" s="103" t="s">
        <v>85</v>
      </c>
      <c r="C31" s="104">
        <f t="shared" si="5"/>
        <v>14.96</v>
      </c>
      <c r="D31" s="205" t="e">
        <f>+ABS('Preço SFCR-FRONIUS JINKO'!$G$43-C31)</f>
        <v>#DIV/0!</v>
      </c>
      <c r="E31" s="105">
        <f>+'FRONIUS-BYD 335Wp'!E33</f>
        <v>34</v>
      </c>
      <c r="F31" s="112">
        <f>+IF(K31=0,"",ROUND(M31/(1-'Tabela de BDI'!$C$3),0))</f>
        <v>66562</v>
      </c>
      <c r="G31" s="230" t="s">
        <v>76</v>
      </c>
      <c r="H31" s="106"/>
      <c r="I31" s="148">
        <v>50145.37</v>
      </c>
      <c r="J31" s="106">
        <f t="shared" si="6"/>
        <v>50909.005076142137</v>
      </c>
      <c r="K31" s="106">
        <f t="shared" si="7"/>
        <v>50909.005076142137</v>
      </c>
      <c r="L31" s="106">
        <f>+'FRONIUS-BYD 335Wp'!L33</f>
        <v>7000</v>
      </c>
      <c r="M31" s="106">
        <f t="shared" si="8"/>
        <v>57909.005076142137</v>
      </c>
      <c r="N31" s="106">
        <f>+IF(F31="","",F31*'Tabela de BDI'!$C$7)</f>
        <v>5324.96</v>
      </c>
      <c r="O31" s="106">
        <f>IF(F31="","",F31*'Tabela de BDI'!$C$8)</f>
        <v>3328.1000000000004</v>
      </c>
      <c r="P31" s="109">
        <f t="shared" si="9"/>
        <v>0.30747006154306955</v>
      </c>
      <c r="Q31" s="110">
        <f t="shared" si="10"/>
        <v>4.4493315508021389</v>
      </c>
      <c r="R31" s="111">
        <f>+'Tabela de BDI'!$F$9*C31</f>
        <v>1795.2</v>
      </c>
      <c r="S31" s="114"/>
    </row>
    <row r="32" spans="1:19" ht="15.75" customHeight="1" x14ac:dyDescent="0.25">
      <c r="A32" s="1"/>
      <c r="B32" s="103" t="s">
        <v>85</v>
      </c>
      <c r="C32" s="104">
        <f t="shared" si="5"/>
        <v>15.84</v>
      </c>
      <c r="D32" s="205" t="e">
        <f>+ABS('Preço SFCR-FRONIUS JINKO'!$G$43-C32)</f>
        <v>#DIV/0!</v>
      </c>
      <c r="E32" s="105">
        <f>+'FRONIUS-BYD 335Wp'!E34</f>
        <v>36</v>
      </c>
      <c r="F32" s="112">
        <f>+IF(K32=0,"",ROUND(M32/(1-'Tabela de BDI'!$C$3),0))</f>
        <v>68884</v>
      </c>
      <c r="G32" s="230" t="s">
        <v>76</v>
      </c>
      <c r="H32" s="106"/>
      <c r="I32" s="148">
        <v>51888.82</v>
      </c>
      <c r="J32" s="106">
        <f t="shared" si="6"/>
        <v>52679.00507614213</v>
      </c>
      <c r="K32" s="106">
        <f t="shared" si="7"/>
        <v>52679.00507614213</v>
      </c>
      <c r="L32" s="106">
        <f>+'FRONIUS-BYD 335Wp'!L34</f>
        <v>7250</v>
      </c>
      <c r="M32" s="106">
        <f t="shared" si="8"/>
        <v>59929.00507614213</v>
      </c>
      <c r="N32" s="106">
        <f>+IF(F32="","",F32*'Tabela de BDI'!$C$7)</f>
        <v>5510.72</v>
      </c>
      <c r="O32" s="106">
        <f>IF(F32="","",F32*'Tabela de BDI'!$C$8)</f>
        <v>3444.2000000000003</v>
      </c>
      <c r="P32" s="109">
        <f t="shared" si="9"/>
        <v>0.30761771032758123</v>
      </c>
      <c r="Q32" s="110">
        <f t="shared" si="10"/>
        <v>4.3487373737373733</v>
      </c>
      <c r="R32" s="111">
        <f>+'Tabela de BDI'!$F$9*C32</f>
        <v>1900.8</v>
      </c>
      <c r="S32" s="114"/>
    </row>
    <row r="33" spans="1:19" ht="15.75" customHeight="1" x14ac:dyDescent="0.25">
      <c r="A33" s="1"/>
      <c r="B33" s="103" t="s">
        <v>85</v>
      </c>
      <c r="C33" s="104">
        <f t="shared" si="5"/>
        <v>16.72</v>
      </c>
      <c r="D33" s="205" t="e">
        <f>+ABS('Preço SFCR-FRONIUS JINKO'!$G$43-C33)</f>
        <v>#DIV/0!</v>
      </c>
      <c r="E33" s="105">
        <f>+'FRONIUS-BYD 335Wp'!E35</f>
        <v>38</v>
      </c>
      <c r="F33" s="112">
        <f>+IF(K33=0,"",ROUND(M33/(1-'Tabela de BDI'!$C$3),0))</f>
        <v>71631</v>
      </c>
      <c r="G33" s="230" t="s">
        <v>76</v>
      </c>
      <c r="H33" s="106"/>
      <c r="I33" s="148">
        <v>53996.72</v>
      </c>
      <c r="J33" s="106">
        <f t="shared" si="6"/>
        <v>54819.005076142137</v>
      </c>
      <c r="K33" s="106">
        <f t="shared" si="7"/>
        <v>54819.005076142137</v>
      </c>
      <c r="L33" s="106">
        <f>+'FRONIUS-BYD 335Wp'!L35</f>
        <v>7500</v>
      </c>
      <c r="M33" s="106">
        <f t="shared" si="8"/>
        <v>62319.005076142137</v>
      </c>
      <c r="N33" s="106">
        <f>+IF(F33="","",F33*'Tabela de BDI'!$C$7)</f>
        <v>5730.4800000000005</v>
      </c>
      <c r="O33" s="106">
        <f>IF(F33="","",F33*'Tabela de BDI'!$C$8)</f>
        <v>3581.55</v>
      </c>
      <c r="P33" s="109">
        <f t="shared" si="9"/>
        <v>0.30668186882462478</v>
      </c>
      <c r="Q33" s="110">
        <f t="shared" si="10"/>
        <v>4.2841507177033495</v>
      </c>
      <c r="R33" s="111">
        <f>+'Tabela de BDI'!$F$9*C33</f>
        <v>2006.3999999999999</v>
      </c>
      <c r="S33" s="114"/>
    </row>
    <row r="34" spans="1:19" ht="15.75" customHeight="1" x14ac:dyDescent="0.25">
      <c r="A34" s="1"/>
      <c r="B34" s="103" t="s">
        <v>85</v>
      </c>
      <c r="C34" s="104">
        <f t="shared" si="5"/>
        <v>17.600000000000001</v>
      </c>
      <c r="D34" s="205" t="e">
        <f>+ABS('Preço SFCR-FRONIUS JINKO'!$G$43-C34)</f>
        <v>#DIV/0!</v>
      </c>
      <c r="E34" s="105">
        <f>+'FRONIUS-BYD 335Wp'!E36</f>
        <v>40</v>
      </c>
      <c r="F34" s="112">
        <f>+IF(K34=0,"",ROUND(M34/(1-'Tabela de BDI'!$C$3),0))</f>
        <v>73953</v>
      </c>
      <c r="G34" s="230" t="s">
        <v>76</v>
      </c>
      <c r="H34" s="106"/>
      <c r="I34" s="148">
        <v>55740.17</v>
      </c>
      <c r="J34" s="106">
        <f t="shared" si="6"/>
        <v>56589.00507614213</v>
      </c>
      <c r="K34" s="106">
        <f t="shared" si="7"/>
        <v>56589.00507614213</v>
      </c>
      <c r="L34" s="106">
        <f>+'FRONIUS-BYD 335Wp'!L36</f>
        <v>7750</v>
      </c>
      <c r="M34" s="106">
        <f t="shared" si="8"/>
        <v>64339.00507614213</v>
      </c>
      <c r="N34" s="106">
        <f>+IF(F34="","",F34*'Tabela de BDI'!$C$7)</f>
        <v>5916.24</v>
      </c>
      <c r="O34" s="106">
        <f>IF(F34="","",F34*'Tabela de BDI'!$C$8)</f>
        <v>3697.65</v>
      </c>
      <c r="P34" s="109">
        <f t="shared" si="9"/>
        <v>0.30684396908010869</v>
      </c>
      <c r="Q34" s="110">
        <f t="shared" si="10"/>
        <v>4.2018750000000002</v>
      </c>
      <c r="R34" s="111">
        <f>+'Tabela de BDI'!$F$9*C34</f>
        <v>2112</v>
      </c>
      <c r="S34" s="114"/>
    </row>
    <row r="35" spans="1:19" ht="15.75" customHeight="1" x14ac:dyDescent="0.25">
      <c r="A35" s="1"/>
      <c r="B35" s="103" t="s">
        <v>85</v>
      </c>
      <c r="C35" s="104">
        <f t="shared" si="5"/>
        <v>18.48</v>
      </c>
      <c r="D35" s="205" t="e">
        <f>+ABS('Preço SFCR-FRONIUS JINKO'!$G$43-C35)</f>
        <v>#DIV/0!</v>
      </c>
      <c r="E35" s="105">
        <f>+'FRONIUS-BYD 335Wp'!E37</f>
        <v>42</v>
      </c>
      <c r="F35" s="112">
        <f>+IF(K35=0,"",ROUND(M35/(1-'Tabela de BDI'!$C$3),0))</f>
        <v>76700</v>
      </c>
      <c r="G35" s="107" t="s">
        <v>76</v>
      </c>
      <c r="H35" s="106"/>
      <c r="I35" s="148">
        <v>57848.07</v>
      </c>
      <c r="J35" s="106">
        <f>+I35/(1-$I$5)</f>
        <v>58729.00507614213</v>
      </c>
      <c r="K35" s="106">
        <f t="shared" si="7"/>
        <v>58729.00507614213</v>
      </c>
      <c r="L35" s="106">
        <f>+'FRONIUS-BYD 335Wp'!L37</f>
        <v>8000</v>
      </c>
      <c r="M35" s="106">
        <f t="shared" si="8"/>
        <v>66729.00507614213</v>
      </c>
      <c r="N35" s="106">
        <f>+IF(F35="","",F35*'Tabela de BDI'!$C$7)</f>
        <v>6136</v>
      </c>
      <c r="O35" s="106">
        <f>IF(F35="","",F35*'Tabela de BDI'!$C$8)</f>
        <v>3835</v>
      </c>
      <c r="P35" s="109">
        <f t="shared" si="9"/>
        <v>0.30599862709334991</v>
      </c>
      <c r="Q35" s="110">
        <f t="shared" si="10"/>
        <v>4.1504329004329001</v>
      </c>
      <c r="R35" s="111">
        <f>+'Tabela de BDI'!$F$9*C35</f>
        <v>2217.6</v>
      </c>
      <c r="S35" s="114"/>
    </row>
    <row r="36" spans="1:19" ht="15.75" customHeight="1" x14ac:dyDescent="0.25">
      <c r="A36" s="1"/>
      <c r="B36" s="103" t="s">
        <v>85</v>
      </c>
      <c r="C36" s="104">
        <f t="shared" si="5"/>
        <v>19.36</v>
      </c>
      <c r="D36" s="205" t="e">
        <f>+ABS('Preço SFCR-FRONIUS JINKO'!$G$43-C36)</f>
        <v>#DIV/0!</v>
      </c>
      <c r="E36" s="105">
        <f>+'FRONIUS-BYD 335Wp'!E38</f>
        <v>44</v>
      </c>
      <c r="F36" s="112">
        <f>+IF(K36=0,"",ROUND(M36/(1-'Tabela de BDI'!$C$3),0))</f>
        <v>79022</v>
      </c>
      <c r="G36" s="107" t="s">
        <v>76</v>
      </c>
      <c r="H36" s="106"/>
      <c r="I36" s="148">
        <v>59591.519999999997</v>
      </c>
      <c r="J36" s="106">
        <f t="shared" si="6"/>
        <v>60499.00507614213</v>
      </c>
      <c r="K36" s="106">
        <f t="shared" si="7"/>
        <v>60499.00507614213</v>
      </c>
      <c r="L36" s="106">
        <f>+'FRONIUS-BYD 335Wp'!L38</f>
        <v>8250</v>
      </c>
      <c r="M36" s="106">
        <f t="shared" si="8"/>
        <v>68749.00507614213</v>
      </c>
      <c r="N36" s="106">
        <f>+IF(F36="","",F36*'Tabela de BDI'!$C$7)</f>
        <v>6321.76</v>
      </c>
      <c r="O36" s="106">
        <f>IF(F36="","",F36*'Tabela de BDI'!$C$8)</f>
        <v>3951.1000000000004</v>
      </c>
      <c r="P36" s="109">
        <f t="shared" si="9"/>
        <v>0.30617024032949658</v>
      </c>
      <c r="Q36" s="110">
        <f t="shared" si="10"/>
        <v>4.0817148760330575</v>
      </c>
      <c r="R36" s="111">
        <f>+'Tabela de BDI'!$F$9*C36</f>
        <v>2323.1999999999998</v>
      </c>
      <c r="S36" s="114"/>
    </row>
    <row r="37" spans="1:19" ht="15.75" customHeight="1" x14ac:dyDescent="0.25">
      <c r="A37" s="1"/>
      <c r="B37" s="103" t="s">
        <v>85</v>
      </c>
      <c r="C37" s="104">
        <f t="shared" si="5"/>
        <v>20.239999999999998</v>
      </c>
      <c r="D37" s="205" t="e">
        <f>+ABS('Preço SFCR-FRONIUS JINKO'!$G$43-C37)</f>
        <v>#DIV/0!</v>
      </c>
      <c r="E37" s="105">
        <f>+'FRONIUS-BYD 335Wp'!E39</f>
        <v>46</v>
      </c>
      <c r="F37" s="112" t="str">
        <f>+IF(K37=0,"",ROUND(M37/(1-'Tabela de BDI'!$C$3),0))</f>
        <v/>
      </c>
      <c r="G37" s="107"/>
      <c r="H37" s="106"/>
      <c r="I37" s="146"/>
      <c r="J37" s="106">
        <f t="shared" si="6"/>
        <v>0</v>
      </c>
      <c r="K37" s="106">
        <f t="shared" si="7"/>
        <v>0</v>
      </c>
      <c r="L37" s="106">
        <f>+'FRONIUS-BYD 335Wp'!L39</f>
        <v>8500</v>
      </c>
      <c r="M37" s="106">
        <f t="shared" si="8"/>
        <v>8500</v>
      </c>
      <c r="N37" s="106" t="str">
        <f>+IF(F37="","",F37*'Tabela de BDI'!$C$7)</f>
        <v/>
      </c>
      <c r="O37" s="106" t="str">
        <f>IF(F37="","",F37*'Tabela de BDI'!$C$8)</f>
        <v/>
      </c>
      <c r="P37" s="109" t="str">
        <f t="shared" si="9"/>
        <v/>
      </c>
      <c r="Q37" s="110" t="str">
        <f t="shared" si="10"/>
        <v/>
      </c>
      <c r="R37" s="111">
        <f>+'Tabela de BDI'!$F$9*C37</f>
        <v>2428.7999999999997</v>
      </c>
      <c r="S37" s="114"/>
    </row>
    <row r="38" spans="1:19" ht="15.75" customHeight="1" x14ac:dyDescent="0.25">
      <c r="A38" s="1"/>
      <c r="B38" s="103" t="s">
        <v>85</v>
      </c>
      <c r="C38" s="104">
        <f t="shared" si="5"/>
        <v>21.12</v>
      </c>
      <c r="D38" s="205" t="e">
        <f>+ABS('Preço SFCR-FRONIUS JINKO'!$G$43-C38)</f>
        <v>#DIV/0!</v>
      </c>
      <c r="E38" s="105">
        <f>+'FRONIUS-BYD 335Wp'!E40</f>
        <v>48</v>
      </c>
      <c r="F38" s="112" t="str">
        <f>+IF(K38=0,"",ROUND(M38/(1-'Tabela de BDI'!$C$3),0))</f>
        <v/>
      </c>
      <c r="G38" s="107"/>
      <c r="H38" s="106"/>
      <c r="I38" s="146"/>
      <c r="J38" s="106">
        <f t="shared" si="6"/>
        <v>0</v>
      </c>
      <c r="K38" s="106">
        <f t="shared" si="7"/>
        <v>0</v>
      </c>
      <c r="L38" s="106">
        <f>+'FRONIUS-BYD 335Wp'!L40</f>
        <v>8750</v>
      </c>
      <c r="M38" s="106">
        <f t="shared" si="8"/>
        <v>8750</v>
      </c>
      <c r="N38" s="106" t="str">
        <f>+IF(F38="","",F38*'Tabela de BDI'!$C$7)</f>
        <v/>
      </c>
      <c r="O38" s="106" t="str">
        <f>IF(F38="","",F38*'Tabela de BDI'!$C$8)</f>
        <v/>
      </c>
      <c r="P38" s="109" t="str">
        <f t="shared" si="9"/>
        <v/>
      </c>
      <c r="Q38" s="110" t="str">
        <f t="shared" si="10"/>
        <v/>
      </c>
      <c r="R38" s="111">
        <f>+'Tabela de BDI'!$F$9*C38</f>
        <v>2534.4</v>
      </c>
      <c r="S38" s="114"/>
    </row>
    <row r="39" spans="1:19" ht="15.75" customHeight="1" x14ac:dyDescent="0.25">
      <c r="A39" s="1"/>
      <c r="B39" s="103" t="s">
        <v>85</v>
      </c>
      <c r="C39" s="104">
        <f t="shared" si="5"/>
        <v>22</v>
      </c>
      <c r="D39" s="205" t="e">
        <f>+ABS('Preço SFCR-FRONIUS JINKO'!$G$43-C39)</f>
        <v>#DIV/0!</v>
      </c>
      <c r="E39" s="105">
        <f>+'FRONIUS-BYD 335Wp'!E41</f>
        <v>50</v>
      </c>
      <c r="F39" s="112" t="str">
        <f>+IF(K39=0,"",ROUND(M39/(1-'Tabela de BDI'!$C$3),0))</f>
        <v/>
      </c>
      <c r="G39" s="107"/>
      <c r="H39" s="106"/>
      <c r="I39" s="146"/>
      <c r="J39" s="106">
        <f t="shared" si="6"/>
        <v>0</v>
      </c>
      <c r="K39" s="106">
        <f t="shared" si="7"/>
        <v>0</v>
      </c>
      <c r="L39" s="106">
        <f>+'FRONIUS-BYD 335Wp'!L41</f>
        <v>9000</v>
      </c>
      <c r="M39" s="106">
        <f t="shared" si="8"/>
        <v>9000</v>
      </c>
      <c r="N39" s="106" t="str">
        <f>+IF(F39="","",F39*'Tabela de BDI'!$C$7)</f>
        <v/>
      </c>
      <c r="O39" s="106" t="str">
        <f>IF(F39="","",F39*'Tabela de BDI'!$C$8)</f>
        <v/>
      </c>
      <c r="P39" s="109" t="str">
        <f t="shared" si="9"/>
        <v/>
      </c>
      <c r="Q39" s="110" t="str">
        <f t="shared" si="10"/>
        <v/>
      </c>
      <c r="R39" s="111">
        <f>+'Tabela de BDI'!$F$9*C39</f>
        <v>2640</v>
      </c>
      <c r="S39" s="114"/>
    </row>
    <row r="40" spans="1:19" ht="15.75" customHeight="1" x14ac:dyDescent="0.25">
      <c r="A40" s="1"/>
      <c r="B40" s="103" t="s">
        <v>85</v>
      </c>
      <c r="C40" s="104">
        <f t="shared" si="5"/>
        <v>22.88</v>
      </c>
      <c r="D40" s="205" t="e">
        <f>+ABS('Preço SFCR-FRONIUS JINKO'!$G$43-C40)</f>
        <v>#DIV/0!</v>
      </c>
      <c r="E40" s="105">
        <f>+'FRONIUS-BYD 335Wp'!E42</f>
        <v>52</v>
      </c>
      <c r="F40" s="112" t="str">
        <f>+IF(K40=0,"",ROUND(M40/(1-'Tabela de BDI'!$C$3),0))</f>
        <v/>
      </c>
      <c r="G40" s="107"/>
      <c r="H40" s="106"/>
      <c r="I40" s="146"/>
      <c r="J40" s="106">
        <f t="shared" si="6"/>
        <v>0</v>
      </c>
      <c r="K40" s="106">
        <f t="shared" si="7"/>
        <v>0</v>
      </c>
      <c r="L40" s="106">
        <f>+'FRONIUS-BYD 335Wp'!L42</f>
        <v>9250</v>
      </c>
      <c r="M40" s="106">
        <f t="shared" si="8"/>
        <v>9250</v>
      </c>
      <c r="N40" s="106" t="str">
        <f>+IF(F40="","",F40*'Tabela de BDI'!$C$7)</f>
        <v/>
      </c>
      <c r="O40" s="106" t="str">
        <f>IF(F40="","",F40*'Tabela de BDI'!$C$8)</f>
        <v/>
      </c>
      <c r="P40" s="109" t="str">
        <f t="shared" si="9"/>
        <v/>
      </c>
      <c r="Q40" s="110" t="str">
        <f t="shared" si="10"/>
        <v/>
      </c>
      <c r="R40" s="111">
        <f>+'Tabela de BDI'!$F$9*C40</f>
        <v>2745.6</v>
      </c>
      <c r="S40" s="114"/>
    </row>
    <row r="41" spans="1:19" ht="15.75" customHeight="1" x14ac:dyDescent="0.25">
      <c r="A41" s="1"/>
      <c r="B41" s="103" t="s">
        <v>85</v>
      </c>
      <c r="C41" s="104">
        <f t="shared" si="5"/>
        <v>23.76</v>
      </c>
      <c r="D41" s="205" t="e">
        <f>+ABS('Preço SFCR-FRONIUS JINKO'!$G$43-C41)</f>
        <v>#DIV/0!</v>
      </c>
      <c r="E41" s="105">
        <f>+'FRONIUS-BYD 335Wp'!E43</f>
        <v>54</v>
      </c>
      <c r="F41" s="112" t="str">
        <f>+IF(K41=0,"",ROUND(M41/(1-'Tabela de BDI'!$C$3),0))</f>
        <v/>
      </c>
      <c r="G41" s="107"/>
      <c r="H41" s="106"/>
      <c r="I41" s="143"/>
      <c r="J41" s="106">
        <f t="shared" si="6"/>
        <v>0</v>
      </c>
      <c r="K41" s="106">
        <f t="shared" si="7"/>
        <v>0</v>
      </c>
      <c r="L41" s="106">
        <f>+'FRONIUS-BYD 335Wp'!L43</f>
        <v>9500</v>
      </c>
      <c r="M41" s="106">
        <f t="shared" si="8"/>
        <v>9500</v>
      </c>
      <c r="N41" s="106" t="str">
        <f>+IF(F41="","",F41*'Tabela de BDI'!$C$7)</f>
        <v/>
      </c>
      <c r="O41" s="106" t="str">
        <f>IF(F41="","",F41*'Tabela de BDI'!$C$8)</f>
        <v/>
      </c>
      <c r="P41" s="109" t="str">
        <f t="shared" si="9"/>
        <v/>
      </c>
      <c r="Q41" s="110" t="str">
        <f t="shared" si="10"/>
        <v/>
      </c>
      <c r="R41" s="111">
        <f>+'Tabela de BDI'!$F$9*C41</f>
        <v>2851.2000000000003</v>
      </c>
      <c r="S41" s="114"/>
    </row>
    <row r="42" spans="1:19" ht="15.75" customHeight="1" x14ac:dyDescent="0.25">
      <c r="A42" s="1"/>
      <c r="B42" s="103" t="s">
        <v>85</v>
      </c>
      <c r="C42" s="104">
        <f t="shared" si="5"/>
        <v>24.64</v>
      </c>
      <c r="D42" s="205" t="e">
        <f>+ABS('Preço SFCR-FRONIUS JINKO'!$G$43-C42)</f>
        <v>#DIV/0!</v>
      </c>
      <c r="E42" s="105">
        <f>+'FRONIUS-BYD 335Wp'!E44</f>
        <v>56</v>
      </c>
      <c r="F42" s="112" t="str">
        <f>+IF(K42=0,"",ROUND(M42/(1-'Tabela de BDI'!$C$3),0))</f>
        <v/>
      </c>
      <c r="G42" s="107"/>
      <c r="H42" s="106"/>
      <c r="I42" s="143"/>
      <c r="J42" s="106">
        <f t="shared" si="6"/>
        <v>0</v>
      </c>
      <c r="K42" s="106">
        <f t="shared" si="7"/>
        <v>0</v>
      </c>
      <c r="L42" s="106">
        <f>+'FRONIUS-BYD 335Wp'!L44</f>
        <v>9750</v>
      </c>
      <c r="M42" s="106">
        <f t="shared" si="8"/>
        <v>9750</v>
      </c>
      <c r="N42" s="106" t="str">
        <f>+IF(F42="","",F42*'Tabela de BDI'!$C$7)</f>
        <v/>
      </c>
      <c r="O42" s="106" t="str">
        <f>IF(F42="","",F42*'Tabela de BDI'!$C$8)</f>
        <v/>
      </c>
      <c r="P42" s="109" t="str">
        <f t="shared" si="9"/>
        <v/>
      </c>
      <c r="Q42" s="110" t="str">
        <f t="shared" si="10"/>
        <v/>
      </c>
      <c r="R42" s="111">
        <f>+'Tabela de BDI'!$F$9*C42</f>
        <v>2956.8</v>
      </c>
      <c r="S42" s="114"/>
    </row>
    <row r="43" spans="1:19" ht="15.75" customHeight="1" x14ac:dyDescent="0.25">
      <c r="A43" s="1"/>
      <c r="B43" s="103" t="s">
        <v>85</v>
      </c>
      <c r="C43" s="104">
        <f t="shared" si="5"/>
        <v>25.52</v>
      </c>
      <c r="D43" s="205" t="e">
        <f>+ABS('Preço SFCR-FRONIUS JINKO'!$G$43-C43)</f>
        <v>#DIV/0!</v>
      </c>
      <c r="E43" s="105">
        <f>+'FRONIUS-BYD 335Wp'!E45</f>
        <v>58</v>
      </c>
      <c r="F43" s="112" t="str">
        <f>+IF(K43=0,"",ROUND(M43/(1-'Tabela de BDI'!$C$3),0))</f>
        <v/>
      </c>
      <c r="G43" s="167"/>
      <c r="H43" s="145"/>
      <c r="I43" s="146"/>
      <c r="J43" s="161"/>
      <c r="K43" s="106">
        <f t="shared" si="7"/>
        <v>0</v>
      </c>
      <c r="L43" s="106">
        <f>+'FRONIUS-BYD 335Wp'!L45</f>
        <v>10000</v>
      </c>
      <c r="M43" s="106">
        <f t="shared" si="8"/>
        <v>10000</v>
      </c>
      <c r="N43" s="106" t="str">
        <f>+IF(F43="","",F43*'Tabela de BDI'!$C$7)</f>
        <v/>
      </c>
      <c r="O43" s="106" t="str">
        <f>IF(F43="","",F43*'Tabela de BDI'!$C$8)</f>
        <v/>
      </c>
      <c r="P43" s="109" t="str">
        <f t="shared" si="9"/>
        <v/>
      </c>
      <c r="Q43" s="110" t="str">
        <f t="shared" si="10"/>
        <v/>
      </c>
      <c r="R43" s="111">
        <f>+'Tabela de BDI'!$F$9*C43</f>
        <v>3062.4</v>
      </c>
      <c r="S43" s="114"/>
    </row>
    <row r="44" spans="1:19" ht="15.75" customHeight="1" x14ac:dyDescent="0.25">
      <c r="A44" s="1"/>
      <c r="B44" s="103" t="s">
        <v>85</v>
      </c>
      <c r="C44" s="104">
        <f t="shared" si="5"/>
        <v>26.4</v>
      </c>
      <c r="D44" s="205" t="e">
        <f>+ABS('Preço SFCR-FRONIUS JINKO'!$G$43-C44)</f>
        <v>#DIV/0!</v>
      </c>
      <c r="E44" s="105">
        <f>+'FRONIUS-BYD 335Wp'!E46</f>
        <v>60</v>
      </c>
      <c r="F44" s="112" t="str">
        <f>+IF(K44=0,"",ROUND(M44/(1-'Tabela de BDI'!$C$3),0))</f>
        <v/>
      </c>
      <c r="G44" s="167"/>
      <c r="H44" s="145"/>
      <c r="I44" s="146"/>
      <c r="J44" s="161"/>
      <c r="K44" s="106">
        <f t="shared" si="7"/>
        <v>0</v>
      </c>
      <c r="L44" s="106">
        <f>+'FRONIUS-BYD 335Wp'!L46</f>
        <v>10250</v>
      </c>
      <c r="M44" s="106">
        <f t="shared" si="8"/>
        <v>10250</v>
      </c>
      <c r="N44" s="106" t="str">
        <f>+IF(F44="","",F44*'Tabela de BDI'!$C$7)</f>
        <v/>
      </c>
      <c r="O44" s="106" t="str">
        <f>IF(F44="","",F44*'Tabela de BDI'!$C$8)</f>
        <v/>
      </c>
      <c r="P44" s="109" t="str">
        <f t="shared" si="9"/>
        <v/>
      </c>
      <c r="Q44" s="110" t="str">
        <f t="shared" si="10"/>
        <v/>
      </c>
      <c r="R44" s="111">
        <f>+'Tabela de BDI'!$F$9*C44</f>
        <v>3168</v>
      </c>
      <c r="S44" s="114"/>
    </row>
    <row r="45" spans="1:19" ht="15.75" customHeight="1" x14ac:dyDescent="0.25">
      <c r="A45" s="1"/>
      <c r="B45" s="103" t="s">
        <v>85</v>
      </c>
      <c r="C45" s="104">
        <f t="shared" si="5"/>
        <v>27.28</v>
      </c>
      <c r="D45" s="205" t="e">
        <f>+ABS('Preço SFCR-FRONIUS JINKO'!$G$43-C45)</f>
        <v>#DIV/0!</v>
      </c>
      <c r="E45" s="105">
        <f>+'FRONIUS-BYD 335Wp'!E47</f>
        <v>62</v>
      </c>
      <c r="F45" s="112" t="str">
        <f>+IF(K45=0,"",ROUND(M45/(1-'Tabela de BDI'!$C$3),0))</f>
        <v/>
      </c>
      <c r="G45" s="167"/>
      <c r="H45" s="145"/>
      <c r="I45" s="146"/>
      <c r="J45" s="161"/>
      <c r="K45" s="106">
        <f t="shared" si="7"/>
        <v>0</v>
      </c>
      <c r="L45" s="106">
        <f>+'FRONIUS-BYD 335Wp'!L47</f>
        <v>10500</v>
      </c>
      <c r="M45" s="106">
        <f t="shared" si="8"/>
        <v>10500</v>
      </c>
      <c r="N45" s="106" t="str">
        <f>+IF(F45="","",F45*'Tabela de BDI'!$C$7)</f>
        <v/>
      </c>
      <c r="O45" s="106" t="str">
        <f>IF(F45="","",F45*'Tabela de BDI'!$C$8)</f>
        <v/>
      </c>
      <c r="P45" s="109" t="str">
        <f t="shared" si="9"/>
        <v/>
      </c>
      <c r="Q45" s="110" t="str">
        <f t="shared" si="10"/>
        <v/>
      </c>
      <c r="R45" s="111">
        <f>+'Tabela de BDI'!$F$9*C45</f>
        <v>3273.6000000000004</v>
      </c>
      <c r="S45" s="114"/>
    </row>
    <row r="46" spans="1:19" ht="15.75" customHeight="1" x14ac:dyDescent="0.25">
      <c r="A46" s="1"/>
      <c r="B46" s="103" t="s">
        <v>85</v>
      </c>
      <c r="C46" s="104">
        <f t="shared" si="5"/>
        <v>28.16</v>
      </c>
      <c r="D46" s="205" t="e">
        <f>+ABS('Preço SFCR-FRONIUS JINKO'!$G$43-C46)</f>
        <v>#DIV/0!</v>
      </c>
      <c r="E46" s="105">
        <f>+'FRONIUS-BYD 335Wp'!E48</f>
        <v>64</v>
      </c>
      <c r="F46" s="112" t="str">
        <f>+IF(K46=0,"",ROUND(M46/(1-'Tabela de BDI'!$C$3),0))</f>
        <v/>
      </c>
      <c r="G46" s="167"/>
      <c r="H46" s="145"/>
      <c r="I46" s="146"/>
      <c r="J46" s="146"/>
      <c r="K46" s="106">
        <f t="shared" si="7"/>
        <v>0</v>
      </c>
      <c r="L46" s="106">
        <f>+'FRONIUS-BYD 335Wp'!L48</f>
        <v>10750</v>
      </c>
      <c r="M46" s="106">
        <f t="shared" si="8"/>
        <v>10750</v>
      </c>
      <c r="N46" s="106" t="str">
        <f>+IF(F46="","",F46*'Tabela de BDI'!$C$7)</f>
        <v/>
      </c>
      <c r="O46" s="106" t="str">
        <f>IF(F46="","",F46*'Tabela de BDI'!$C$8)</f>
        <v/>
      </c>
      <c r="P46" s="109" t="str">
        <f t="shared" si="9"/>
        <v/>
      </c>
      <c r="Q46" s="110" t="str">
        <f t="shared" si="10"/>
        <v/>
      </c>
      <c r="R46" s="111">
        <f>+'Tabela de BDI'!$F$9*C46</f>
        <v>3379.2</v>
      </c>
      <c r="S46" s="114"/>
    </row>
    <row r="47" spans="1:19" ht="15.75" customHeight="1" x14ac:dyDescent="0.25">
      <c r="A47" s="1"/>
      <c r="B47" s="116" t="s">
        <v>89</v>
      </c>
      <c r="C47" s="104">
        <f t="shared" si="5"/>
        <v>29.04</v>
      </c>
      <c r="D47" s="205" t="e">
        <f>+ABS('Preço SFCR-FRONIUS JINKO'!$G$43-C47)</f>
        <v>#DIV/0!</v>
      </c>
      <c r="E47" s="181">
        <v>66</v>
      </c>
      <c r="F47" s="146"/>
      <c r="G47" s="167"/>
      <c r="H47" s="145"/>
      <c r="I47" s="146"/>
      <c r="J47" s="159"/>
      <c r="K47" s="106">
        <f t="shared" si="7"/>
        <v>0</v>
      </c>
      <c r="L47" s="106">
        <f>+'FRONIUS-BYD 335Wp'!L49</f>
        <v>12000</v>
      </c>
      <c r="M47" s="106">
        <f t="shared" si="8"/>
        <v>12000</v>
      </c>
      <c r="N47" s="106" t="str">
        <f>+IF(F47="","",F47*'Tabela de BDI'!$C$7)</f>
        <v/>
      </c>
      <c r="O47" s="106" t="str">
        <f>IF(F47="","",F47*'Tabela de BDI'!$C$8)</f>
        <v/>
      </c>
      <c r="P47" s="109" t="str">
        <f t="shared" si="9"/>
        <v/>
      </c>
      <c r="Q47" s="110" t="str">
        <f t="shared" si="10"/>
        <v/>
      </c>
      <c r="R47" s="111">
        <f>+'Tabela de BDI'!$F$9*C47</f>
        <v>3484.7999999999997</v>
      </c>
      <c r="S47" s="114"/>
    </row>
    <row r="48" spans="1:19" ht="15.75" customHeight="1" x14ac:dyDescent="0.25">
      <c r="A48" s="1"/>
      <c r="B48" s="116" t="s">
        <v>89</v>
      </c>
      <c r="C48" s="104">
        <f t="shared" si="5"/>
        <v>29.92</v>
      </c>
      <c r="D48" s="205" t="e">
        <f>+ABS('Preço SFCR-FRONIUS JINKO'!$G$43-C48)</f>
        <v>#DIV/0!</v>
      </c>
      <c r="E48" s="181">
        <v>68</v>
      </c>
      <c r="F48" s="146"/>
      <c r="G48" s="167"/>
      <c r="H48" s="145"/>
      <c r="I48" s="146"/>
      <c r="J48" s="146"/>
      <c r="K48" s="106">
        <f t="shared" si="7"/>
        <v>0</v>
      </c>
      <c r="L48" s="106">
        <f>+'FRONIUS-BYD 335Wp'!L50</f>
        <v>12250</v>
      </c>
      <c r="M48" s="106">
        <f t="shared" si="8"/>
        <v>12250</v>
      </c>
      <c r="N48" s="106" t="str">
        <f>+IF(F48="","",F48*'Tabela de BDI'!$C$7)</f>
        <v/>
      </c>
      <c r="O48" s="106" t="str">
        <f>IF(F48="","",F48*'Tabela de BDI'!$C$8)</f>
        <v/>
      </c>
      <c r="P48" s="109" t="str">
        <f t="shared" si="9"/>
        <v/>
      </c>
      <c r="Q48" s="110" t="str">
        <f t="shared" si="10"/>
        <v/>
      </c>
      <c r="R48" s="111">
        <f>+'Tabela de BDI'!$F$9*C48</f>
        <v>3590.4</v>
      </c>
      <c r="S48" s="114"/>
    </row>
    <row r="49" spans="1:19" ht="15.75" customHeight="1" x14ac:dyDescent="0.25">
      <c r="A49" s="1"/>
      <c r="B49" s="116" t="s">
        <v>89</v>
      </c>
      <c r="C49" s="104">
        <f t="shared" si="5"/>
        <v>31.68</v>
      </c>
      <c r="D49" s="205" t="e">
        <f>+ABS('Preço SFCR-FRONIUS JINKO'!$G$43-C49)</f>
        <v>#DIV/0!</v>
      </c>
      <c r="E49" s="181">
        <v>72</v>
      </c>
      <c r="F49" s="146"/>
      <c r="G49" s="167"/>
      <c r="H49" s="145"/>
      <c r="I49" s="146"/>
      <c r="J49" s="146"/>
      <c r="K49" s="106">
        <f t="shared" si="7"/>
        <v>0</v>
      </c>
      <c r="L49" s="106">
        <f>+'FRONIUS-BYD 335Wp'!L51</f>
        <v>12750</v>
      </c>
      <c r="M49" s="106">
        <f t="shared" si="8"/>
        <v>12750</v>
      </c>
      <c r="N49" s="106" t="str">
        <f>+IF(F49="","",F49*'Tabela de BDI'!$C$7)</f>
        <v/>
      </c>
      <c r="O49" s="106" t="str">
        <f>IF(F49="","",F49*'Tabela de BDI'!$C$8)</f>
        <v/>
      </c>
      <c r="P49" s="109" t="str">
        <f t="shared" si="9"/>
        <v/>
      </c>
      <c r="Q49" s="110" t="str">
        <f t="shared" si="10"/>
        <v/>
      </c>
      <c r="R49" s="111">
        <f>+'Tabela de BDI'!$F$9*C49</f>
        <v>3801.6</v>
      </c>
      <c r="S49" s="114"/>
    </row>
    <row r="50" spans="1:19" ht="15.75" customHeight="1" x14ac:dyDescent="0.25">
      <c r="A50" s="1"/>
      <c r="B50" s="116" t="s">
        <v>89</v>
      </c>
      <c r="C50" s="104">
        <f t="shared" si="5"/>
        <v>33.44</v>
      </c>
      <c r="D50" s="205" t="e">
        <f>+ABS('Preço SFCR-FRONIUS JINKO'!$G$43-C50)</f>
        <v>#DIV/0!</v>
      </c>
      <c r="E50" s="181">
        <v>76</v>
      </c>
      <c r="F50" s="146"/>
      <c r="G50" s="167"/>
      <c r="H50" s="145"/>
      <c r="I50" s="146"/>
      <c r="J50" s="146"/>
      <c r="K50" s="106">
        <f t="shared" si="7"/>
        <v>0</v>
      </c>
      <c r="L50" s="106">
        <f>+'FRONIUS-BYD 335Wp'!L52</f>
        <v>13250</v>
      </c>
      <c r="M50" s="106">
        <f t="shared" si="8"/>
        <v>13250</v>
      </c>
      <c r="N50" s="106" t="str">
        <f>+IF(F50="","",F50*'Tabela de BDI'!$C$7)</f>
        <v/>
      </c>
      <c r="O50" s="106" t="str">
        <f>IF(F50="","",F50*'Tabela de BDI'!$C$8)</f>
        <v/>
      </c>
      <c r="P50" s="109" t="str">
        <f t="shared" si="9"/>
        <v/>
      </c>
      <c r="Q50" s="110" t="str">
        <f t="shared" si="10"/>
        <v/>
      </c>
      <c r="R50" s="111">
        <f>+'Tabela de BDI'!$F$9*C50</f>
        <v>4012.7999999999997</v>
      </c>
      <c r="S50" s="114"/>
    </row>
    <row r="51" spans="1:19" ht="15.75" customHeight="1" x14ac:dyDescent="0.25">
      <c r="A51" s="1"/>
      <c r="B51" s="116" t="s">
        <v>89</v>
      </c>
      <c r="C51" s="104">
        <f t="shared" si="5"/>
        <v>34.32</v>
      </c>
      <c r="D51" s="205" t="e">
        <f>+ABS('Preço SFCR-FRONIUS JINKO'!$G$43-C51)</f>
        <v>#DIV/0!</v>
      </c>
      <c r="E51" s="181">
        <v>78</v>
      </c>
      <c r="F51" s="146"/>
      <c r="G51" s="167"/>
      <c r="H51" s="145"/>
      <c r="I51" s="146"/>
      <c r="J51" s="159"/>
      <c r="K51" s="106">
        <f t="shared" si="7"/>
        <v>0</v>
      </c>
      <c r="L51" s="106">
        <f>+'FRONIUS-BYD 335Wp'!L53</f>
        <v>13500</v>
      </c>
      <c r="M51" s="106">
        <f t="shared" si="8"/>
        <v>13500</v>
      </c>
      <c r="N51" s="106" t="str">
        <f>+IF(F51="","",F51*'Tabela de BDI'!$C$7)</f>
        <v/>
      </c>
      <c r="O51" s="106" t="str">
        <f>IF(F51="","",F51*'Tabela de BDI'!$C$8)</f>
        <v/>
      </c>
      <c r="P51" s="109" t="str">
        <f t="shared" si="9"/>
        <v/>
      </c>
      <c r="Q51" s="110" t="str">
        <f t="shared" si="10"/>
        <v/>
      </c>
      <c r="R51" s="111">
        <f>+'Tabela de BDI'!$F$9*C51</f>
        <v>4118.3999999999996</v>
      </c>
      <c r="S51" s="114"/>
    </row>
    <row r="52" spans="1:19" ht="15.75" customHeight="1" x14ac:dyDescent="0.25">
      <c r="A52" s="1"/>
      <c r="B52" s="116" t="s">
        <v>89</v>
      </c>
      <c r="C52" s="104">
        <f t="shared" si="5"/>
        <v>35.200000000000003</v>
      </c>
      <c r="D52" s="205" t="e">
        <f>+ABS('Preço SFCR-FRONIUS JINKO'!$G$43-C52)</f>
        <v>#DIV/0!</v>
      </c>
      <c r="E52" s="181">
        <v>80</v>
      </c>
      <c r="F52" s="146"/>
      <c r="G52" s="167"/>
      <c r="H52" s="145"/>
      <c r="I52" s="146"/>
      <c r="J52" s="159"/>
      <c r="K52" s="106">
        <f t="shared" si="7"/>
        <v>0</v>
      </c>
      <c r="L52" s="106">
        <f>+'FRONIUS-BYD 335Wp'!L54</f>
        <v>13750</v>
      </c>
      <c r="M52" s="106">
        <f t="shared" si="8"/>
        <v>13750</v>
      </c>
      <c r="N52" s="106" t="str">
        <f>+IF(F52="","",F52*'Tabela de BDI'!$C$7)</f>
        <v/>
      </c>
      <c r="O52" s="106" t="str">
        <f>IF(F52="","",F52*'Tabela de BDI'!$C$8)</f>
        <v/>
      </c>
      <c r="P52" s="109" t="str">
        <f t="shared" si="9"/>
        <v/>
      </c>
      <c r="Q52" s="110" t="str">
        <f t="shared" si="10"/>
        <v/>
      </c>
      <c r="R52" s="111">
        <f>+'Tabela de BDI'!$F$9*C52</f>
        <v>4224</v>
      </c>
      <c r="S52" s="114"/>
    </row>
    <row r="53" spans="1:19" ht="15.75" customHeight="1" x14ac:dyDescent="0.25">
      <c r="A53" s="1"/>
      <c r="B53" s="116" t="s">
        <v>89</v>
      </c>
      <c r="C53" s="104">
        <f t="shared" si="5"/>
        <v>36.96</v>
      </c>
      <c r="D53" s="205" t="e">
        <f>+ABS('Preço SFCR-FRONIUS JINKO'!$G$43-C53)</f>
        <v>#DIV/0!</v>
      </c>
      <c r="E53" s="181">
        <v>84</v>
      </c>
      <c r="F53" s="146"/>
      <c r="G53" s="167"/>
      <c r="H53" s="145"/>
      <c r="I53" s="146"/>
      <c r="J53" s="159"/>
      <c r="K53" s="106">
        <f t="shared" si="7"/>
        <v>0</v>
      </c>
      <c r="L53" s="106">
        <f>+'FRONIUS-BYD 335Wp'!L55</f>
        <v>14250</v>
      </c>
      <c r="M53" s="106">
        <f t="shared" si="8"/>
        <v>14250</v>
      </c>
      <c r="N53" s="106" t="str">
        <f>+IF(F53="","",F53*'Tabela de BDI'!$C$7)</f>
        <v/>
      </c>
      <c r="O53" s="106" t="str">
        <f>IF(F53="","",F53*'Tabela de BDI'!$C$8)</f>
        <v/>
      </c>
      <c r="P53" s="109" t="str">
        <f t="shared" si="9"/>
        <v/>
      </c>
      <c r="Q53" s="110" t="str">
        <f t="shared" si="10"/>
        <v/>
      </c>
      <c r="R53" s="111">
        <f>+'Tabela de BDI'!$F$9*C53</f>
        <v>4435.2</v>
      </c>
      <c r="S53" s="114"/>
    </row>
    <row r="54" spans="1:19" ht="15.75" customHeight="1" x14ac:dyDescent="0.25">
      <c r="A54" s="1"/>
      <c r="B54" s="116" t="s">
        <v>89</v>
      </c>
      <c r="C54" s="104">
        <f t="shared" si="5"/>
        <v>38.72</v>
      </c>
      <c r="D54" s="205" t="e">
        <f>+ABS('Preço SFCR-FRONIUS JINKO'!$G$43-C54)</f>
        <v>#DIV/0!</v>
      </c>
      <c r="E54" s="181">
        <v>88</v>
      </c>
      <c r="F54" s="146"/>
      <c r="G54" s="167"/>
      <c r="H54" s="145"/>
      <c r="I54" s="146"/>
      <c r="J54" s="159"/>
      <c r="K54" s="106">
        <f t="shared" si="7"/>
        <v>0</v>
      </c>
      <c r="L54" s="106">
        <f>+'FRONIUS-BYD 335Wp'!L56</f>
        <v>14750</v>
      </c>
      <c r="M54" s="106">
        <f t="shared" si="8"/>
        <v>14750</v>
      </c>
      <c r="N54" s="106" t="str">
        <f>+IF(F54="","",F54*'Tabela de BDI'!$C$7)</f>
        <v/>
      </c>
      <c r="O54" s="106" t="str">
        <f>IF(F54="","",F54*'Tabela de BDI'!$C$8)</f>
        <v/>
      </c>
      <c r="P54" s="109" t="str">
        <f t="shared" si="9"/>
        <v/>
      </c>
      <c r="Q54" s="110" t="str">
        <f t="shared" si="10"/>
        <v/>
      </c>
      <c r="R54" s="111">
        <f>+'Tabela de BDI'!$F$9*C54</f>
        <v>4646.3999999999996</v>
      </c>
      <c r="S54" s="114"/>
    </row>
    <row r="55" spans="1:19" ht="15.75" customHeight="1" x14ac:dyDescent="0.25">
      <c r="A55" s="1"/>
      <c r="B55" s="116" t="s">
        <v>89</v>
      </c>
      <c r="C55" s="104">
        <f t="shared" si="5"/>
        <v>39.6</v>
      </c>
      <c r="D55" s="205" t="e">
        <f>+ABS('Preço SFCR-FRONIUS JINKO'!$G$43-C55)</f>
        <v>#DIV/0!</v>
      </c>
      <c r="E55" s="181">
        <v>90</v>
      </c>
      <c r="F55" s="146"/>
      <c r="G55" s="167"/>
      <c r="H55" s="145"/>
      <c r="I55" s="146"/>
      <c r="J55" s="161"/>
      <c r="K55" s="106">
        <f t="shared" si="7"/>
        <v>0</v>
      </c>
      <c r="L55" s="106">
        <f>+'FRONIUS-BYD 335Wp'!L57</f>
        <v>15000</v>
      </c>
      <c r="M55" s="106">
        <f t="shared" si="8"/>
        <v>15000</v>
      </c>
      <c r="N55" s="106" t="str">
        <f>+IF(F55="","",F55*'Tabela de BDI'!$C$7)</f>
        <v/>
      </c>
      <c r="O55" s="106" t="str">
        <f>IF(F55="","",F55*'Tabela de BDI'!$C$8)</f>
        <v/>
      </c>
      <c r="P55" s="109" t="str">
        <f t="shared" si="9"/>
        <v/>
      </c>
      <c r="Q55" s="110" t="str">
        <f t="shared" si="10"/>
        <v/>
      </c>
      <c r="R55" s="111">
        <f>+'Tabela de BDI'!$F$9*C55</f>
        <v>4752</v>
      </c>
      <c r="S55" s="114"/>
    </row>
    <row r="56" spans="1:19" ht="15.75" customHeight="1" x14ac:dyDescent="0.25">
      <c r="A56" s="1"/>
      <c r="B56" s="116" t="s">
        <v>89</v>
      </c>
      <c r="C56" s="104">
        <f t="shared" si="5"/>
        <v>40.479999999999997</v>
      </c>
      <c r="D56" s="205" t="e">
        <f>+ABS('Preço SFCR-FRONIUS JINKO'!$G$43-C56)</f>
        <v>#DIV/0!</v>
      </c>
      <c r="E56" s="181">
        <v>92</v>
      </c>
      <c r="F56" s="112" t="str">
        <f>+IF(K56=0,"",ROUND(M56/(1-'Tabela de BDI'!$C$3),0))</f>
        <v/>
      </c>
      <c r="G56" s="107"/>
      <c r="H56" s="106"/>
      <c r="I56" s="143"/>
      <c r="J56" s="121"/>
      <c r="K56" s="106">
        <f t="shared" si="7"/>
        <v>0</v>
      </c>
      <c r="L56" s="106">
        <f>+'FRONIUS-BYD 335Wp'!L58</f>
        <v>15250</v>
      </c>
      <c r="M56" s="106">
        <f t="shared" si="8"/>
        <v>15250</v>
      </c>
      <c r="N56" s="106" t="str">
        <f>+IF(F56="","",F56*'Tabela de BDI'!$C$7)</f>
        <v/>
      </c>
      <c r="O56" s="106" t="str">
        <f>IF(F56="","",F56*'Tabela de BDI'!$C$8)</f>
        <v/>
      </c>
      <c r="P56" s="109" t="str">
        <f t="shared" si="9"/>
        <v/>
      </c>
      <c r="Q56" s="110" t="str">
        <f t="shared" si="10"/>
        <v/>
      </c>
      <c r="R56" s="111">
        <f>+'Tabela de BDI'!$F$9*C56</f>
        <v>4857.5999999999995</v>
      </c>
      <c r="S56" s="114"/>
    </row>
    <row r="57" spans="1:19" ht="15.75" customHeight="1" x14ac:dyDescent="0.25">
      <c r="A57" s="1"/>
      <c r="B57" s="116" t="s">
        <v>89</v>
      </c>
      <c r="C57" s="104">
        <f t="shared" si="5"/>
        <v>41.8</v>
      </c>
      <c r="D57" s="205" t="e">
        <f>+ABS('Preço SFCR-FRONIUS JINKO'!$G$43-C57)</f>
        <v>#DIV/0!</v>
      </c>
      <c r="E57" s="181">
        <v>95</v>
      </c>
      <c r="F57" s="112" t="str">
        <f>+IF(K57=0,"",ROUND(M57/(1-'Tabela de BDI'!$C$3),0))</f>
        <v/>
      </c>
      <c r="G57" s="107"/>
      <c r="H57" s="106"/>
      <c r="I57" s="143"/>
      <c r="J57" s="121"/>
      <c r="K57" s="106">
        <f t="shared" si="7"/>
        <v>0</v>
      </c>
      <c r="L57" s="106">
        <f>+'FRONIUS-BYD 335Wp'!L59</f>
        <v>15625</v>
      </c>
      <c r="M57" s="106">
        <f t="shared" si="8"/>
        <v>15625</v>
      </c>
      <c r="N57" s="106" t="str">
        <f>+IF(F57="","",F57*'Tabela de BDI'!$C$7)</f>
        <v/>
      </c>
      <c r="O57" s="106" t="str">
        <f>IF(F57="","",F57*'Tabela de BDI'!$C$8)</f>
        <v/>
      </c>
      <c r="P57" s="109" t="str">
        <f t="shared" si="9"/>
        <v/>
      </c>
      <c r="Q57" s="110" t="str">
        <f t="shared" si="10"/>
        <v/>
      </c>
      <c r="R57" s="111">
        <f>+'Tabela de BDI'!$F$9*C57</f>
        <v>5016</v>
      </c>
      <c r="S57" s="114"/>
    </row>
    <row r="58" spans="1:19" ht="15.75" customHeight="1" x14ac:dyDescent="0.25">
      <c r="A58" s="1"/>
      <c r="B58" s="116" t="s">
        <v>89</v>
      </c>
      <c r="C58" s="104">
        <f t="shared" si="5"/>
        <v>42.24</v>
      </c>
      <c r="D58" s="205" t="e">
        <f>+ABS('Preço SFCR-FRONIUS JINKO'!$G$43-C58)</f>
        <v>#DIV/0!</v>
      </c>
      <c r="E58" s="181">
        <v>96</v>
      </c>
      <c r="F58" s="112" t="str">
        <f>+IF(K58=0,"",ROUND(M58/(1-'Tabela de BDI'!$C$3),0))</f>
        <v/>
      </c>
      <c r="G58" s="107"/>
      <c r="H58" s="106"/>
      <c r="I58" s="143"/>
      <c r="J58" s="121"/>
      <c r="K58" s="106">
        <f t="shared" si="7"/>
        <v>0</v>
      </c>
      <c r="L58" s="106">
        <f>+'FRONIUS-BYD 335Wp'!L60</f>
        <v>15750</v>
      </c>
      <c r="M58" s="106">
        <f t="shared" si="8"/>
        <v>15750</v>
      </c>
      <c r="N58" s="106" t="str">
        <f>+IF(F58="","",F58*'Tabela de BDI'!$C$7)</f>
        <v/>
      </c>
      <c r="O58" s="106" t="str">
        <f>IF(F58="","",F58*'Tabela de BDI'!$C$8)</f>
        <v/>
      </c>
      <c r="P58" s="109" t="str">
        <f t="shared" si="9"/>
        <v/>
      </c>
      <c r="Q58" s="110" t="str">
        <f t="shared" si="10"/>
        <v/>
      </c>
      <c r="R58" s="111">
        <f>+'Tabela de BDI'!$F$9*C58</f>
        <v>5068.8</v>
      </c>
      <c r="S58" s="114"/>
    </row>
    <row r="59" spans="1:19" ht="15.75" customHeight="1" x14ac:dyDescent="0.25">
      <c r="A59" s="1"/>
      <c r="B59" s="116" t="s">
        <v>89</v>
      </c>
      <c r="C59" s="104">
        <f t="shared" si="5"/>
        <v>43.12</v>
      </c>
      <c r="D59" s="205" t="e">
        <f>+ABS('Preço SFCR-FRONIUS JINKO'!$G$43-C59)</f>
        <v>#DIV/0!</v>
      </c>
      <c r="E59" s="181">
        <v>98</v>
      </c>
      <c r="F59" s="112" t="str">
        <f>+IF(K59=0,"",ROUND(M59/(1-'Tabela de BDI'!$C$3),0))</f>
        <v/>
      </c>
      <c r="G59" s="107"/>
      <c r="H59" s="106"/>
      <c r="I59" s="143"/>
      <c r="J59" s="121"/>
      <c r="K59" s="106">
        <f t="shared" si="7"/>
        <v>0</v>
      </c>
      <c r="L59" s="106">
        <f>+'FRONIUS-BYD 335Wp'!L61</f>
        <v>16000</v>
      </c>
      <c r="M59" s="106">
        <f t="shared" si="8"/>
        <v>16000</v>
      </c>
      <c r="N59" s="106" t="str">
        <f>+IF(F59="","",F59*'Tabela de BDI'!$C$7)</f>
        <v/>
      </c>
      <c r="O59" s="106" t="str">
        <f>IF(F59="","",F59*'Tabela de BDI'!$C$8)</f>
        <v/>
      </c>
      <c r="P59" s="109" t="str">
        <f t="shared" si="9"/>
        <v/>
      </c>
      <c r="Q59" s="110" t="str">
        <f t="shared" si="10"/>
        <v/>
      </c>
      <c r="R59" s="111">
        <f>+'Tabela de BDI'!$F$9*C59</f>
        <v>5174.3999999999996</v>
      </c>
      <c r="S59" s="114"/>
    </row>
    <row r="60" spans="1:19" ht="15.75" customHeight="1" x14ac:dyDescent="0.25">
      <c r="A60" s="1"/>
      <c r="B60" s="116" t="s">
        <v>89</v>
      </c>
      <c r="C60" s="104">
        <f t="shared" si="5"/>
        <v>44</v>
      </c>
      <c r="D60" s="205" t="e">
        <f>+ABS('Preço SFCR-FRONIUS JINKO'!$G$43-C60)</f>
        <v>#DIV/0!</v>
      </c>
      <c r="E60" s="181">
        <v>100</v>
      </c>
      <c r="F60" s="112" t="str">
        <f>+IF(K60=0,"",ROUND(M60/(1-'Tabela de BDI'!$C$3),0))</f>
        <v/>
      </c>
      <c r="G60" s="107"/>
      <c r="H60" s="106"/>
      <c r="I60" s="143"/>
      <c r="J60" s="121"/>
      <c r="K60" s="106">
        <f t="shared" si="7"/>
        <v>0</v>
      </c>
      <c r="L60" s="106">
        <f>+'FRONIUS-BYD 335Wp'!L62</f>
        <v>16250</v>
      </c>
      <c r="M60" s="106">
        <f t="shared" si="8"/>
        <v>16250</v>
      </c>
      <c r="N60" s="106" t="str">
        <f>+IF(F60="","",F60*'Tabela de BDI'!$C$7)</f>
        <v/>
      </c>
      <c r="O60" s="106" t="str">
        <f>IF(F60="","",F60*'Tabela de BDI'!$C$8)</f>
        <v/>
      </c>
      <c r="P60" s="109" t="str">
        <f t="shared" si="9"/>
        <v/>
      </c>
      <c r="Q60" s="110" t="str">
        <f t="shared" si="10"/>
        <v/>
      </c>
      <c r="R60" s="111">
        <f>+'Tabela de BDI'!$F$9*C60</f>
        <v>5280</v>
      </c>
      <c r="S60" s="114"/>
    </row>
    <row r="61" spans="1:19" ht="15.75" customHeight="1" x14ac:dyDescent="0.25">
      <c r="A61" s="1"/>
      <c r="B61" s="116" t="s">
        <v>89</v>
      </c>
      <c r="C61" s="104">
        <f t="shared" si="5"/>
        <v>44.88</v>
      </c>
      <c r="D61" s="205" t="e">
        <f>+ABS('Preço SFCR-FRONIUS JINKO'!$G$43-C61)</f>
        <v>#DIV/0!</v>
      </c>
      <c r="E61" s="181">
        <v>102</v>
      </c>
      <c r="F61" s="112" t="str">
        <f>+IF(K61=0,"",ROUND(M61/(1-'Tabela de BDI'!$C$3),0))</f>
        <v/>
      </c>
      <c r="G61" s="107"/>
      <c r="H61" s="106"/>
      <c r="I61" s="143"/>
      <c r="J61" s="121"/>
      <c r="K61" s="106">
        <f t="shared" si="7"/>
        <v>0</v>
      </c>
      <c r="L61" s="106">
        <f>+'FRONIUS-BYD 335Wp'!L63</f>
        <v>16500</v>
      </c>
      <c r="M61" s="106">
        <f t="shared" si="8"/>
        <v>16500</v>
      </c>
      <c r="N61" s="106" t="str">
        <f>+IF(F61="","",F61*'Tabela de BDI'!$C$7)</f>
        <v/>
      </c>
      <c r="O61" s="106" t="str">
        <f>IF(F61="","",F61*'Tabela de BDI'!$C$8)</f>
        <v/>
      </c>
      <c r="P61" s="109" t="str">
        <f t="shared" si="9"/>
        <v/>
      </c>
      <c r="Q61" s="110" t="str">
        <f t="shared" si="10"/>
        <v/>
      </c>
      <c r="R61" s="111">
        <f>+'Tabela de BDI'!$F$9*C61</f>
        <v>5385.6</v>
      </c>
      <c r="S61" s="114"/>
    </row>
    <row r="62" spans="1:19" ht="15.75" customHeight="1" x14ac:dyDescent="0.25">
      <c r="A62" s="1"/>
      <c r="B62" s="116" t="s">
        <v>89</v>
      </c>
      <c r="C62" s="104">
        <f t="shared" si="5"/>
        <v>45.76</v>
      </c>
      <c r="D62" s="205" t="e">
        <f>+ABS('Preço SFCR-FRONIUS JINKO'!$G$43-C62)</f>
        <v>#DIV/0!</v>
      </c>
      <c r="E62" s="181">
        <v>104</v>
      </c>
      <c r="F62" s="112" t="str">
        <f>+IF(K62=0,"",ROUND(M62/(1-'Tabela de BDI'!$C$3),0))</f>
        <v/>
      </c>
      <c r="G62" s="107"/>
      <c r="H62" s="106"/>
      <c r="I62" s="143"/>
      <c r="J62" s="121"/>
      <c r="K62" s="106">
        <f t="shared" si="7"/>
        <v>0</v>
      </c>
      <c r="L62" s="106">
        <f>+'FRONIUS-BYD 335Wp'!L64</f>
        <v>16750</v>
      </c>
      <c r="M62" s="106">
        <f t="shared" si="8"/>
        <v>16750</v>
      </c>
      <c r="N62" s="106" t="str">
        <f>+IF(F62="","",F62*'Tabela de BDI'!$C$7)</f>
        <v/>
      </c>
      <c r="O62" s="106" t="str">
        <f>IF(F62="","",F62*'Tabela de BDI'!$C$8)</f>
        <v/>
      </c>
      <c r="P62" s="109" t="str">
        <f t="shared" si="9"/>
        <v/>
      </c>
      <c r="Q62" s="110" t="str">
        <f t="shared" si="10"/>
        <v/>
      </c>
      <c r="R62" s="111">
        <f>+'Tabela de BDI'!$F$9*C62</f>
        <v>5491.2</v>
      </c>
      <c r="S62" s="114"/>
    </row>
    <row r="63" spans="1:19" ht="15.75" customHeight="1" x14ac:dyDescent="0.25">
      <c r="A63" s="1"/>
      <c r="B63" s="116" t="s">
        <v>89</v>
      </c>
      <c r="C63" s="104">
        <f t="shared" si="5"/>
        <v>47.52</v>
      </c>
      <c r="D63" s="205" t="e">
        <f>+ABS('Preço SFCR-FRONIUS JINKO'!$G$43-C63)</f>
        <v>#DIV/0!</v>
      </c>
      <c r="E63" s="181">
        <v>108</v>
      </c>
      <c r="F63" s="112" t="str">
        <f>+IF(K63=0,"",ROUND(M63/(1-'Tabela de BDI'!$C$3),0))</f>
        <v/>
      </c>
      <c r="G63" s="107"/>
      <c r="H63" s="106"/>
      <c r="I63" s="143"/>
      <c r="J63" s="121"/>
      <c r="K63" s="106">
        <f t="shared" si="7"/>
        <v>0</v>
      </c>
      <c r="L63" s="106">
        <f>+'FRONIUS-BYD 335Wp'!L65</f>
        <v>17250</v>
      </c>
      <c r="M63" s="106">
        <f t="shared" si="8"/>
        <v>17250</v>
      </c>
      <c r="N63" s="106" t="str">
        <f>+IF(F63="","",F63*'Tabela de BDI'!$C$7)</f>
        <v/>
      </c>
      <c r="O63" s="106" t="str">
        <f>IF(F63="","",F63*'Tabela de BDI'!$C$8)</f>
        <v/>
      </c>
      <c r="P63" s="109" t="str">
        <f t="shared" si="9"/>
        <v/>
      </c>
      <c r="Q63" s="110" t="str">
        <f t="shared" si="10"/>
        <v/>
      </c>
      <c r="R63" s="111">
        <f>+'Tabela de BDI'!$F$9*C63</f>
        <v>5702.4000000000005</v>
      </c>
      <c r="S63" s="114"/>
    </row>
    <row r="64" spans="1:19" ht="15.75" customHeight="1" x14ac:dyDescent="0.25">
      <c r="A64" s="1"/>
      <c r="B64" s="117"/>
      <c r="C64" s="104"/>
      <c r="D64" s="201"/>
      <c r="E64" s="105"/>
      <c r="F64" s="106"/>
      <c r="G64" s="107"/>
      <c r="H64" s="106"/>
      <c r="I64" s="143"/>
      <c r="J64" s="106"/>
      <c r="K64" s="106"/>
      <c r="L64" s="106"/>
      <c r="M64" s="106"/>
      <c r="N64" s="106"/>
      <c r="O64" s="106"/>
      <c r="P64" s="106"/>
      <c r="Q64" s="110" t="str">
        <f t="shared" si="10"/>
        <v/>
      </c>
      <c r="R64" s="111"/>
      <c r="S64" s="114"/>
    </row>
    <row r="65" spans="1:19" ht="15.75" customHeight="1" x14ac:dyDescent="0.25">
      <c r="A65" s="1"/>
      <c r="B65" s="117"/>
      <c r="C65" s="104"/>
      <c r="D65" s="201"/>
      <c r="E65" s="105"/>
      <c r="F65" s="106"/>
      <c r="G65" s="107"/>
      <c r="H65" s="106"/>
      <c r="I65" s="143"/>
      <c r="J65" s="106"/>
      <c r="K65" s="106"/>
      <c r="L65" s="106"/>
      <c r="M65" s="106"/>
      <c r="N65" s="106"/>
      <c r="O65" s="106"/>
      <c r="P65" s="106"/>
      <c r="Q65" s="110" t="str">
        <f t="shared" si="10"/>
        <v/>
      </c>
      <c r="R65" s="111"/>
      <c r="S65" s="114"/>
    </row>
    <row r="66" spans="1:19" ht="15.75" customHeight="1" x14ac:dyDescent="0.25">
      <c r="A66" s="1"/>
      <c r="B66" s="1"/>
      <c r="C66" s="1"/>
      <c r="D66" s="199"/>
      <c r="E66" s="1"/>
      <c r="F66" s="1"/>
      <c r="G66" s="1"/>
      <c r="H66" s="1"/>
      <c r="I66" s="142"/>
      <c r="J66" s="1"/>
      <c r="K66" s="118"/>
      <c r="L66" s="118"/>
      <c r="M66" s="118"/>
      <c r="N66" s="118"/>
      <c r="O66" s="118"/>
      <c r="P66" s="118"/>
      <c r="Q66" s="118"/>
      <c r="R66" s="1"/>
      <c r="S66" s="1"/>
    </row>
    <row r="67" spans="1:19" ht="15.75" customHeight="1" x14ac:dyDescent="0.25">
      <c r="A67" s="1"/>
      <c r="B67" s="337" t="s">
        <v>79</v>
      </c>
      <c r="C67" s="338"/>
      <c r="D67" s="198"/>
      <c r="E67" s="1"/>
      <c r="F67" s="119"/>
      <c r="G67" s="1"/>
      <c r="H67" s="1"/>
      <c r="I67" s="142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19">
        <v>44332</v>
      </c>
      <c r="C68" s="1"/>
      <c r="D68" s="199"/>
      <c r="E68" s="1"/>
      <c r="F68" s="1"/>
      <c r="G68" s="1"/>
      <c r="H68" s="1"/>
      <c r="I68" s="142"/>
      <c r="J68" s="1"/>
      <c r="R68" s="1"/>
      <c r="S68" s="1"/>
    </row>
    <row r="69" spans="1:19" ht="15.75" customHeight="1" x14ac:dyDescent="0.25">
      <c r="A69" s="1"/>
      <c r="B69" s="1"/>
      <c r="C69" s="1"/>
      <c r="D69" s="199"/>
      <c r="E69" s="1"/>
      <c r="F69" s="1"/>
      <c r="G69" s="1"/>
      <c r="H69" s="1"/>
      <c r="I69" s="142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99"/>
      <c r="E70" s="1"/>
      <c r="F70" s="1"/>
      <c r="G70" s="1"/>
      <c r="H70" s="1"/>
      <c r="I70" s="142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99"/>
      <c r="E71" s="1"/>
      <c r="F71" s="1"/>
      <c r="G71" s="1"/>
      <c r="H71" s="1"/>
      <c r="I71" s="142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99"/>
      <c r="E72" s="1"/>
      <c r="F72" s="1"/>
      <c r="G72" s="1"/>
      <c r="H72" s="1"/>
      <c r="I72" s="142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99"/>
      <c r="E73" s="1"/>
      <c r="F73" s="1"/>
      <c r="G73" s="1"/>
      <c r="H73" s="1"/>
      <c r="I73" s="142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99"/>
      <c r="E74" s="1"/>
      <c r="F74" s="1"/>
      <c r="G74" s="1"/>
      <c r="H74" s="1"/>
      <c r="I74" s="142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99"/>
      <c r="E75" s="1"/>
      <c r="F75" s="1"/>
      <c r="G75" s="1"/>
      <c r="H75" s="1"/>
      <c r="I75" s="142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99"/>
      <c r="E76" s="1"/>
      <c r="F76" s="1"/>
      <c r="G76" s="1"/>
      <c r="H76" s="1"/>
      <c r="I76" s="142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99"/>
      <c r="E77" s="1"/>
      <c r="F77" s="1"/>
      <c r="G77" s="1"/>
      <c r="H77" s="1"/>
      <c r="I77" s="142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99"/>
      <c r="E78" s="1"/>
      <c r="F78" s="1"/>
      <c r="G78" s="1"/>
      <c r="H78" s="1"/>
      <c r="I78" s="142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99"/>
      <c r="E79" s="1"/>
      <c r="F79" s="1"/>
      <c r="G79" s="1"/>
      <c r="H79" s="1"/>
      <c r="I79" s="142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99"/>
      <c r="E80" s="1"/>
      <c r="F80" s="1"/>
      <c r="G80" s="1"/>
      <c r="H80" s="1"/>
      <c r="I80" s="142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99"/>
      <c r="E81" s="1"/>
      <c r="F81" s="1"/>
      <c r="G81" s="1"/>
      <c r="H81" s="1"/>
      <c r="I81" s="142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99"/>
      <c r="E82" s="1"/>
      <c r="F82" s="1"/>
      <c r="G82" s="1"/>
      <c r="H82" s="1"/>
      <c r="I82" s="142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99"/>
      <c r="E83" s="1"/>
      <c r="F83" s="1"/>
      <c r="G83" s="1"/>
      <c r="H83" s="1"/>
      <c r="I83" s="142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99"/>
      <c r="E84" s="1"/>
      <c r="F84" s="1"/>
      <c r="G84" s="1"/>
      <c r="H84" s="1"/>
      <c r="I84" s="142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99"/>
      <c r="E85" s="1"/>
      <c r="F85" s="1"/>
      <c r="G85" s="1"/>
      <c r="H85" s="1"/>
      <c r="I85" s="142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99"/>
      <c r="E86" s="1"/>
      <c r="F86" s="1"/>
      <c r="G86" s="1"/>
      <c r="H86" s="1"/>
      <c r="I86" s="142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99"/>
      <c r="E87" s="1"/>
      <c r="F87" s="1"/>
      <c r="G87" s="1"/>
      <c r="H87" s="1"/>
      <c r="I87" s="142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99"/>
      <c r="E88" s="1"/>
      <c r="F88" s="1"/>
      <c r="G88" s="1"/>
      <c r="H88" s="1"/>
      <c r="I88" s="142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99"/>
      <c r="E89" s="1"/>
      <c r="F89" s="1"/>
      <c r="G89" s="1"/>
      <c r="H89" s="1"/>
      <c r="I89" s="142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99"/>
      <c r="E90" s="1"/>
      <c r="F90" s="1"/>
      <c r="G90" s="1"/>
      <c r="H90" s="1"/>
      <c r="I90" s="142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99"/>
      <c r="E91" s="1"/>
      <c r="F91" s="1"/>
      <c r="G91" s="1"/>
      <c r="H91" s="1"/>
      <c r="I91" s="142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99"/>
      <c r="E92" s="1"/>
      <c r="F92" s="1"/>
      <c r="G92" s="1"/>
      <c r="H92" s="1"/>
      <c r="I92" s="142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99"/>
      <c r="E93" s="1"/>
      <c r="F93" s="1"/>
      <c r="G93" s="1"/>
      <c r="H93" s="1"/>
      <c r="I93" s="142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99"/>
      <c r="E94" s="1"/>
      <c r="F94" s="1"/>
      <c r="G94" s="1"/>
      <c r="H94" s="1"/>
      <c r="I94" s="142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99"/>
      <c r="E95" s="1"/>
      <c r="F95" s="1"/>
      <c r="G95" s="1"/>
      <c r="H95" s="1"/>
      <c r="I95" s="142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99"/>
      <c r="E96" s="1"/>
      <c r="F96" s="1"/>
      <c r="G96" s="1"/>
      <c r="H96" s="1"/>
      <c r="I96" s="142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99"/>
      <c r="E97" s="1"/>
      <c r="F97" s="1"/>
      <c r="G97" s="1"/>
      <c r="H97" s="1"/>
      <c r="I97" s="142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99"/>
      <c r="E98" s="1"/>
      <c r="F98" s="1"/>
      <c r="G98" s="1"/>
      <c r="H98" s="1"/>
      <c r="I98" s="142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99"/>
      <c r="E99" s="1"/>
      <c r="F99" s="1"/>
      <c r="G99" s="1"/>
      <c r="H99" s="1"/>
      <c r="I99" s="142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99"/>
      <c r="E100" s="1"/>
      <c r="F100" s="1"/>
      <c r="G100" s="1"/>
      <c r="H100" s="1"/>
      <c r="I100" s="142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99"/>
      <c r="E101" s="1"/>
      <c r="F101" s="1"/>
      <c r="G101" s="1"/>
      <c r="H101" s="1"/>
      <c r="I101" s="142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99"/>
      <c r="E102" s="1"/>
      <c r="F102" s="1"/>
      <c r="G102" s="1"/>
      <c r="H102" s="1"/>
      <c r="I102" s="142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99"/>
      <c r="E103" s="1"/>
      <c r="F103" s="1"/>
      <c r="G103" s="1"/>
      <c r="H103" s="1"/>
      <c r="I103" s="142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99"/>
      <c r="E104" s="1"/>
      <c r="F104" s="1"/>
      <c r="G104" s="1"/>
      <c r="H104" s="1"/>
      <c r="I104" s="142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99"/>
      <c r="E105" s="1"/>
      <c r="F105" s="1"/>
      <c r="G105" s="1"/>
      <c r="H105" s="1"/>
      <c r="I105" s="142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99"/>
      <c r="E106" s="1"/>
      <c r="F106" s="1"/>
      <c r="G106" s="1"/>
      <c r="H106" s="1"/>
      <c r="I106" s="142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99"/>
      <c r="E107" s="1"/>
      <c r="F107" s="1"/>
      <c r="G107" s="1"/>
      <c r="H107" s="1"/>
      <c r="I107" s="142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99"/>
      <c r="E108" s="1"/>
      <c r="F108" s="1"/>
      <c r="G108" s="1"/>
      <c r="H108" s="1"/>
      <c r="I108" s="142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99"/>
      <c r="E109" s="1"/>
      <c r="F109" s="1"/>
      <c r="G109" s="1"/>
      <c r="H109" s="1"/>
      <c r="I109" s="142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99"/>
      <c r="E110" s="1"/>
      <c r="F110" s="1"/>
      <c r="G110" s="1"/>
      <c r="H110" s="1"/>
      <c r="I110" s="142"/>
      <c r="J110" s="1"/>
      <c r="K110" s="1"/>
      <c r="L110" s="1"/>
      <c r="M110" s="1"/>
      <c r="N110" s="1"/>
      <c r="O110" s="1"/>
      <c r="P110" s="1"/>
      <c r="Q110" s="1"/>
      <c r="R110" s="1"/>
      <c r="S110" s="1"/>
    </row>
  </sheetData>
  <mergeCells count="21">
    <mergeCell ref="B67:C67"/>
    <mergeCell ref="J4:J5"/>
    <mergeCell ref="K4:K5"/>
    <mergeCell ref="B4:B5"/>
    <mergeCell ref="C4:C5"/>
    <mergeCell ref="L4:L5"/>
    <mergeCell ref="D4:D5"/>
    <mergeCell ref="E2:R2"/>
    <mergeCell ref="R4:R5"/>
    <mergeCell ref="O4:O5"/>
    <mergeCell ref="E3:R3"/>
    <mergeCell ref="E4:E5"/>
    <mergeCell ref="F4:F5"/>
    <mergeCell ref="G4:G5"/>
    <mergeCell ref="H4:H5"/>
    <mergeCell ref="P4:P5"/>
    <mergeCell ref="Q4:Q5"/>
    <mergeCell ref="M4:M5"/>
    <mergeCell ref="N4:N5"/>
    <mergeCell ref="B2:D2"/>
    <mergeCell ref="B3:D3"/>
  </mergeCells>
  <phoneticPr fontId="44" type="noConversion"/>
  <pageMargins left="0.51181102362204722" right="0.51181102362204722" top="0.78740157480314965" bottom="0.78740157480314965" header="0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03CA-52D2-48BE-A32B-00496C659BE1}">
  <sheetPr>
    <pageSetUpPr fitToPage="1"/>
  </sheetPr>
  <dimension ref="A1:O101"/>
  <sheetViews>
    <sheetView showGridLines="0" zoomScale="70" zoomScaleNormal="70" workbookViewId="0">
      <pane ySplit="9" topLeftCell="A10" activePane="bottomLeft" state="frozen"/>
      <selection activeCell="H18" sqref="H18:I18"/>
      <selection pane="bottomLeft" activeCell="P14" sqref="P14"/>
    </sheetView>
  </sheetViews>
  <sheetFormatPr defaultColWidth="14.42578125" defaultRowHeight="15" customHeight="1" x14ac:dyDescent="0.25"/>
  <cols>
    <col min="1" max="1" width="8.7109375" style="291" customWidth="1"/>
    <col min="2" max="2" width="2.42578125" style="291" customWidth="1"/>
    <col min="3" max="3" width="35.140625" style="291" customWidth="1"/>
    <col min="4" max="4" width="15.85546875" style="291" customWidth="1"/>
    <col min="5" max="5" width="11.5703125" style="291" customWidth="1"/>
    <col min="6" max="6" width="16" style="291" customWidth="1"/>
    <col min="7" max="7" width="10" style="291" customWidth="1"/>
    <col min="8" max="8" width="16.7109375" style="291" customWidth="1"/>
    <col min="9" max="9" width="10" style="291" customWidth="1"/>
    <col min="10" max="10" width="15.85546875" style="291" customWidth="1"/>
    <col min="11" max="11" width="8.5703125" style="291" customWidth="1"/>
    <col min="12" max="12" width="19.7109375" style="291" customWidth="1"/>
    <col min="13" max="13" width="8.5703125" style="291" customWidth="1"/>
    <col min="14" max="14" width="26" style="291" customWidth="1"/>
    <col min="15" max="15" width="14.42578125" style="291" customWidth="1"/>
    <col min="16" max="16384" width="14.42578125" style="291"/>
  </cols>
  <sheetData>
    <row r="1" spans="1:15" x14ac:dyDescent="0.25">
      <c r="A1" s="295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</row>
    <row r="2" spans="1:15" ht="15" customHeight="1" x14ac:dyDescent="0.25">
      <c r="A2" s="295"/>
      <c r="B2" s="295"/>
      <c r="C2" s="10" t="str">
        <f>+'Preço SFCR-FRONIUS-BYD'!C2</f>
        <v>Versão: Maio/2020</v>
      </c>
      <c r="D2" s="7"/>
      <c r="E2" s="7"/>
      <c r="F2" s="295"/>
      <c r="G2" s="295"/>
      <c r="H2" s="295"/>
      <c r="I2" s="295"/>
      <c r="J2" s="295"/>
      <c r="K2" s="295"/>
      <c r="L2" s="295"/>
      <c r="M2" s="295"/>
      <c r="N2" s="295"/>
      <c r="O2" s="295"/>
    </row>
    <row r="3" spans="1:15" ht="15" customHeight="1" x14ac:dyDescent="0.25">
      <c r="A3" s="295"/>
      <c r="B3" s="295"/>
      <c r="C3" s="10"/>
      <c r="D3" s="346" t="s">
        <v>12</v>
      </c>
      <c r="E3" s="347"/>
      <c r="F3" s="347"/>
      <c r="G3" s="347"/>
      <c r="H3" s="347"/>
      <c r="I3" s="347"/>
      <c r="J3" s="295"/>
      <c r="K3" s="295"/>
      <c r="L3" s="295"/>
      <c r="M3" s="295"/>
      <c r="N3" s="295"/>
      <c r="O3" s="295"/>
    </row>
    <row r="4" spans="1:15" ht="15" customHeight="1" x14ac:dyDescent="0.25">
      <c r="A4" s="295"/>
      <c r="B4" s="295"/>
      <c r="C4" s="10"/>
      <c r="D4" s="347"/>
      <c r="E4" s="347"/>
      <c r="F4" s="347"/>
      <c r="G4" s="347"/>
      <c r="H4" s="347"/>
      <c r="I4" s="347"/>
      <c r="J4" s="295"/>
      <c r="K4" s="295"/>
      <c r="L4" s="295"/>
      <c r="M4" s="295"/>
      <c r="N4" s="295"/>
      <c r="O4" s="295"/>
    </row>
    <row r="5" spans="1:15" ht="15" customHeight="1" x14ac:dyDescent="0.25">
      <c r="A5" s="295"/>
      <c r="B5" s="295"/>
      <c r="C5" s="10"/>
      <c r="D5" s="346" t="s">
        <v>289</v>
      </c>
      <c r="E5" s="347"/>
      <c r="F5" s="347"/>
      <c r="G5" s="347"/>
      <c r="H5" s="347"/>
      <c r="I5" s="347"/>
      <c r="J5" s="295"/>
      <c r="K5" s="295"/>
      <c r="L5" s="295"/>
      <c r="M5" s="295"/>
      <c r="N5" s="295"/>
      <c r="O5" s="295"/>
    </row>
    <row r="6" spans="1:15" ht="15" customHeight="1" x14ac:dyDescent="0.25">
      <c r="A6" s="295"/>
      <c r="B6" s="295"/>
      <c r="C6" s="10"/>
      <c r="D6" s="347"/>
      <c r="E6" s="347"/>
      <c r="F6" s="347"/>
      <c r="G6" s="347"/>
      <c r="H6" s="347"/>
      <c r="I6" s="347"/>
      <c r="J6" s="295"/>
      <c r="K6" s="295"/>
      <c r="L6" s="295"/>
      <c r="M6" s="295"/>
      <c r="N6" s="295"/>
      <c r="O6" s="295"/>
    </row>
    <row r="7" spans="1:15" ht="15" customHeight="1" thickBot="1" x14ac:dyDescent="0.3">
      <c r="A7" s="295"/>
      <c r="B7" s="295"/>
      <c r="C7" s="10"/>
      <c r="D7" s="7"/>
      <c r="E7" s="7"/>
      <c r="F7" s="295"/>
      <c r="G7" s="295"/>
      <c r="H7" s="295"/>
      <c r="I7" s="295"/>
      <c r="J7" s="295"/>
      <c r="K7" s="295"/>
      <c r="L7" s="295"/>
      <c r="M7" s="295"/>
      <c r="N7" s="295"/>
      <c r="O7" s="295"/>
    </row>
    <row r="8" spans="1:15" ht="19.5" thickBot="1" x14ac:dyDescent="0.35">
      <c r="A8" s="295"/>
      <c r="B8" s="295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295"/>
      <c r="O8" s="295"/>
    </row>
    <row r="9" spans="1:15" ht="21" customHeight="1" thickBot="1" x14ac:dyDescent="0.35">
      <c r="A9" s="295"/>
      <c r="B9" s="295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0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295"/>
    </row>
    <row r="10" spans="1:15" ht="15.75" customHeight="1" x14ac:dyDescent="0.25">
      <c r="A10" s="295"/>
      <c r="B10" s="295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295"/>
    </row>
    <row r="11" spans="1:15" ht="15.75" customHeight="1" x14ac:dyDescent="0.25">
      <c r="A11" s="295"/>
      <c r="B11" s="295"/>
      <c r="C11" s="24" t="s">
        <v>18</v>
      </c>
      <c r="D11" s="374" t="e">
        <f>+VLOOKUP(MIN('FRONIUS-PHONO 450Wp'!D:D),'FRONIUS-PHONO 450Wp'!D:E,2,0)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295"/>
    </row>
    <row r="12" spans="1:15" ht="15.75" customHeight="1" x14ac:dyDescent="0.25">
      <c r="A12" s="295"/>
      <c r="B12" s="295"/>
      <c r="C12" s="25" t="s">
        <v>19</v>
      </c>
      <c r="D12" s="367" t="s">
        <v>272</v>
      </c>
      <c r="E12" s="338"/>
      <c r="F12" s="368" t="str">
        <f t="shared" ref="F12:F13" si="0">+D12</f>
        <v>PHONO MONO PERC</v>
      </c>
      <c r="G12" s="338"/>
      <c r="H12" s="369" t="str">
        <f>+F12</f>
        <v>PHONO MONO PERC</v>
      </c>
      <c r="I12" s="338"/>
      <c r="J12" s="370" t="str">
        <f>+H12</f>
        <v>PHONO MONO PERC</v>
      </c>
      <c r="K12" s="338"/>
      <c r="L12" s="363" t="str">
        <f>+J12</f>
        <v>PHONO MONO PERC</v>
      </c>
      <c r="M12" s="354"/>
      <c r="N12" s="2"/>
      <c r="O12" s="295"/>
    </row>
    <row r="13" spans="1:15" ht="15.75" customHeight="1" x14ac:dyDescent="0.25">
      <c r="A13" s="295"/>
      <c r="B13" s="295"/>
      <c r="C13" s="24" t="s">
        <v>21</v>
      </c>
      <c r="D13" s="372">
        <v>450</v>
      </c>
      <c r="E13" s="338"/>
      <c r="F13" s="375">
        <f t="shared" si="0"/>
        <v>450</v>
      </c>
      <c r="G13" s="338"/>
      <c r="H13" s="376">
        <f>+D13</f>
        <v>450</v>
      </c>
      <c r="I13" s="338"/>
      <c r="J13" s="352">
        <f>+D13</f>
        <v>450</v>
      </c>
      <c r="K13" s="338"/>
      <c r="L13" s="364">
        <f>+D13</f>
        <v>450</v>
      </c>
      <c r="M13" s="354"/>
      <c r="N13" s="2"/>
      <c r="O13" s="295"/>
    </row>
    <row r="14" spans="1:15" ht="15.75" customHeight="1" x14ac:dyDescent="0.25">
      <c r="A14" s="295"/>
      <c r="B14" s="295"/>
      <c r="C14" s="25" t="s">
        <v>22</v>
      </c>
      <c r="D14" s="26" t="e">
        <f>+IF(D11="","",VLOOKUP(D11,'FRONIUS-JINKO 440Wp'!$E$7:$G$69,3,0))</f>
        <v>#DIV/0!</v>
      </c>
      <c r="E14" s="27">
        <v>1</v>
      </c>
      <c r="F14" s="28" t="str">
        <f>+IF(F11="","",VLOOKUP(F11,'FRONIUS-JINKO 440Wp'!$E$7:$G$69,3,0))</f>
        <v/>
      </c>
      <c r="G14" s="29">
        <v>1</v>
      </c>
      <c r="H14" s="30" t="str">
        <f>+IF(H11="","",VLOOKUP(H11,'FRONIUS-JINKO 440Wp'!$E$7:$G$69,3,0))</f>
        <v/>
      </c>
      <c r="I14" s="31">
        <v>1</v>
      </c>
      <c r="J14" s="32" t="str">
        <f>+IF(J11="","",VLOOKUP(J11,'FRONIUS-JINKO 440Wp'!$E$7:$G$69,3,0))</f>
        <v/>
      </c>
      <c r="K14" s="33">
        <v>1</v>
      </c>
      <c r="L14" s="34" t="str">
        <f>+IF(L11="","",VLOOKUP(L11,'FRONIUS-JINKO 440Wp'!$E$7:$G$69,3,0))</f>
        <v/>
      </c>
      <c r="M14" s="35">
        <v>1</v>
      </c>
      <c r="N14" s="2"/>
      <c r="O14" s="295"/>
    </row>
    <row r="15" spans="1:15" ht="15.75" hidden="1" customHeight="1" x14ac:dyDescent="0.25">
      <c r="A15" s="295"/>
      <c r="B15" s="295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295"/>
    </row>
    <row r="16" spans="1:15" ht="15.75" customHeight="1" x14ac:dyDescent="0.25">
      <c r="A16" s="295"/>
      <c r="B16" s="295"/>
      <c r="C16" s="24" t="s">
        <v>25</v>
      </c>
      <c r="D16" s="373" t="e">
        <f>+D11*2.18</f>
        <v>#DIV/0!</v>
      </c>
      <c r="E16" s="338"/>
      <c r="F16" s="355">
        <f>+F11*2.18</f>
        <v>0</v>
      </c>
      <c r="G16" s="338"/>
      <c r="H16" s="356">
        <f>+H11*2.18</f>
        <v>0</v>
      </c>
      <c r="I16" s="338"/>
      <c r="J16" s="365">
        <f>+J11*2.18</f>
        <v>0</v>
      </c>
      <c r="K16" s="338"/>
      <c r="L16" s="366">
        <f>+L11*2.18</f>
        <v>0</v>
      </c>
      <c r="M16" s="354"/>
      <c r="N16" s="2"/>
      <c r="O16" s="295"/>
    </row>
    <row r="17" spans="1:15" ht="15.75" customHeight="1" x14ac:dyDescent="0.25">
      <c r="A17" s="295"/>
      <c r="B17" s="295"/>
      <c r="C17" s="48" t="s">
        <v>26</v>
      </c>
      <c r="D17" s="371" t="e">
        <f>+D11*D13*$D$45/1000</f>
        <v>#DIV/0!</v>
      </c>
      <c r="E17" s="349"/>
      <c r="F17" s="357">
        <f>+F11*F13*$D$45/1000</f>
        <v>0</v>
      </c>
      <c r="G17" s="349"/>
      <c r="H17" s="358">
        <f>+H11*H13*$D$45/1000</f>
        <v>0</v>
      </c>
      <c r="I17" s="349"/>
      <c r="J17" s="359">
        <f>+J11*J13*$D$45/1000</f>
        <v>0</v>
      </c>
      <c r="K17" s="360"/>
      <c r="L17" s="361">
        <f>+L11*L13*$D$45/1000</f>
        <v>0</v>
      </c>
      <c r="M17" s="362"/>
      <c r="N17" s="2"/>
      <c r="O17" s="295"/>
    </row>
    <row r="18" spans="1:15" ht="15.75" customHeight="1" x14ac:dyDescent="0.25">
      <c r="A18" s="295"/>
      <c r="B18" s="295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295"/>
    </row>
    <row r="19" spans="1:15" ht="15.75" customHeight="1" thickBot="1" x14ac:dyDescent="0.3">
      <c r="A19" s="295"/>
      <c r="B19" s="295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295"/>
    </row>
    <row r="20" spans="1:15" ht="18.75" customHeight="1" thickBot="1" x14ac:dyDescent="0.4">
      <c r="A20" s="295"/>
      <c r="B20" s="295"/>
      <c r="C20" s="51"/>
      <c r="D20" s="52"/>
      <c r="E20" s="53"/>
      <c r="F20" s="293"/>
      <c r="G20" s="2"/>
      <c r="H20" s="293"/>
      <c r="I20" s="2"/>
      <c r="J20" s="55"/>
      <c r="K20" s="295"/>
      <c r="L20" s="293"/>
      <c r="M20" s="2"/>
      <c r="N20" s="2"/>
      <c r="O20" s="295"/>
    </row>
    <row r="21" spans="1:15" ht="43.5" hidden="1" customHeight="1" thickBot="1" x14ac:dyDescent="0.3">
      <c r="A21" s="295"/>
      <c r="B21" s="295"/>
      <c r="C21" s="188" t="s">
        <v>220</v>
      </c>
      <c r="D21" s="452" t="e">
        <f>+IF(D11="","",VLOOKUP(D11,'FRONIUS-PHONO 450Wp'!$E$7:$F$69,2,0))</f>
        <v>#DIV/0!</v>
      </c>
      <c r="E21" s="398"/>
      <c r="F21" s="397" t="str">
        <f>+IF(F11="","",VLOOKUP(F11,'FRONIUS-PHONO 450Wp'!$E$7:$F$69,2,0))</f>
        <v/>
      </c>
      <c r="G21" s="398"/>
      <c r="H21" s="399" t="str">
        <f>+IF(H11="","",VLOOKUP(H11,'FRONIUS-PHONO 450Wp'!$E$7:$F$69,2,0))</f>
        <v/>
      </c>
      <c r="I21" s="398"/>
      <c r="J21" s="400" t="str">
        <f>+IF(J11="","",VLOOKUP(J11,'FRONIUS-PHONO 450Wp'!$E$7:$F$69,2,0))</f>
        <v/>
      </c>
      <c r="K21" s="398"/>
      <c r="L21" s="401" t="str">
        <f>+IF(L11="","",VLOOKUP(L11,'FRONIUS-PHONO 450Wp'!$E$7:$F$69,2,0))</f>
        <v/>
      </c>
      <c r="M21" s="381"/>
      <c r="N21" s="2"/>
      <c r="O21" s="295"/>
    </row>
    <row r="22" spans="1:15" ht="43.5" customHeight="1" thickBot="1" x14ac:dyDescent="0.3">
      <c r="A22" s="295"/>
      <c r="B22" s="295"/>
      <c r="C22" s="189" t="s">
        <v>29</v>
      </c>
      <c r="D22" s="452" t="e">
        <f>ROUND(D21+(D21*$H$44),0)</f>
        <v>#DIV/0!</v>
      </c>
      <c r="E22" s="398"/>
      <c r="F22" s="397" t="e">
        <f>ROUND(F21+(F21*$H$44),0)</f>
        <v>#VALUE!</v>
      </c>
      <c r="G22" s="398"/>
      <c r="H22" s="399" t="e">
        <f>ROUND(H21+(H21*$H$44),0)</f>
        <v>#VALUE!</v>
      </c>
      <c r="I22" s="398"/>
      <c r="J22" s="400" t="e">
        <f>ROUND(J21+(J21*$H$44),0)</f>
        <v>#VALUE!</v>
      </c>
      <c r="K22" s="398"/>
      <c r="L22" s="401" t="e">
        <f>ROUND(L21+(L21*$H$44),0)</f>
        <v>#VALUE!</v>
      </c>
      <c r="M22" s="381"/>
      <c r="N22" s="2"/>
      <c r="O22" s="295"/>
    </row>
    <row r="23" spans="1:15" ht="12.75" customHeight="1" x14ac:dyDescent="0.35">
      <c r="A23" s="295"/>
      <c r="B23" s="295"/>
      <c r="C23" s="51"/>
      <c r="D23" s="56"/>
      <c r="E23" s="57"/>
      <c r="F23" s="56"/>
      <c r="G23" s="57"/>
      <c r="H23" s="56"/>
      <c r="I23" s="57"/>
      <c r="J23" s="293"/>
      <c r="K23" s="58"/>
      <c r="L23" s="293"/>
      <c r="M23" s="58"/>
      <c r="N23" s="2"/>
      <c r="O23" s="295"/>
    </row>
    <row r="24" spans="1:15" ht="15.75" customHeight="1" thickBot="1" x14ac:dyDescent="0.4">
      <c r="A24" s="295"/>
      <c r="B24" s="295"/>
      <c r="C24" s="444" t="s">
        <v>30</v>
      </c>
      <c r="D24" s="347"/>
      <c r="E24" s="347"/>
      <c r="F24" s="347"/>
      <c r="G24" s="347"/>
      <c r="H24" s="347"/>
      <c r="I24" s="57"/>
      <c r="J24" s="293"/>
      <c r="K24" s="58"/>
      <c r="L24" s="293"/>
      <c r="M24" s="58"/>
      <c r="N24" s="2"/>
      <c r="O24" s="295"/>
    </row>
    <row r="25" spans="1:15" ht="15" customHeight="1" x14ac:dyDescent="0.25">
      <c r="A25" s="295"/>
      <c r="B25" s="295"/>
      <c r="C25" s="59" t="s">
        <v>31</v>
      </c>
      <c r="D25" s="389" t="e">
        <f>+$D$42*D22</f>
        <v>#DIV/0!</v>
      </c>
      <c r="E25" s="338"/>
      <c r="F25" s="404" t="e">
        <f t="shared" ref="F25" si="1">+$D$42*F22</f>
        <v>#VALUE!</v>
      </c>
      <c r="G25" s="403"/>
      <c r="H25" s="405" t="e">
        <f t="shared" ref="H25" si="2">+$D$42*H22</f>
        <v>#VALUE!</v>
      </c>
      <c r="I25" s="403"/>
      <c r="J25" s="406" t="e">
        <f t="shared" ref="J25" si="3">+$D$42*J22</f>
        <v>#VALUE!</v>
      </c>
      <c r="K25" s="403"/>
      <c r="L25" s="407" t="e">
        <f t="shared" ref="L25" si="4">+$D$42*L22</f>
        <v>#VALUE!</v>
      </c>
      <c r="M25" s="408"/>
      <c r="N25" s="60" t="s">
        <v>32</v>
      </c>
      <c r="O25" s="295"/>
    </row>
    <row r="26" spans="1:15" ht="15" hidden="1" customHeight="1" x14ac:dyDescent="0.25">
      <c r="A26" s="295"/>
      <c r="B26" s="295"/>
      <c r="C26" s="61"/>
      <c r="D26" s="389" t="e">
        <f>+D22-D25</f>
        <v>#DIV/0!</v>
      </c>
      <c r="E26" s="338"/>
      <c r="F26" s="388" t="e">
        <f t="shared" ref="F26" si="5">+F22-F25</f>
        <v>#VALUE!</v>
      </c>
      <c r="G26" s="338"/>
      <c r="H26" s="385" t="e">
        <f t="shared" ref="H26" si="6">+H22-H25</f>
        <v>#VALUE!</v>
      </c>
      <c r="I26" s="338"/>
      <c r="J26" s="386" t="e">
        <f t="shared" ref="J26" si="7">+J22-J25</f>
        <v>#VALUE!</v>
      </c>
      <c r="K26" s="338"/>
      <c r="L26" s="387" t="e">
        <f t="shared" ref="L26" si="8">+L22-L25</f>
        <v>#VALUE!</v>
      </c>
      <c r="M26" s="354"/>
      <c r="N26" s="62"/>
      <c r="O26" s="295"/>
    </row>
    <row r="27" spans="1:15" ht="15" customHeight="1" x14ac:dyDescent="0.25">
      <c r="A27" s="295"/>
      <c r="B27" s="295"/>
      <c r="C27" s="216">
        <f>+'Preço SFCR-FRONIUS-BYD'!C27</f>
        <v>12</v>
      </c>
      <c r="D27" s="389" t="e">
        <f>+PMT(N27,C27,-$D$26)</f>
        <v>#DIV/0!</v>
      </c>
      <c r="E27" s="338"/>
      <c r="F27" s="388" t="e">
        <f>+PMT(N27,C27,-$F$26)</f>
        <v>#VALUE!</v>
      </c>
      <c r="G27" s="338"/>
      <c r="H27" s="385" t="e">
        <f>+PMT(N27,C27,-$H$26)</f>
        <v>#VALUE!</v>
      </c>
      <c r="I27" s="338"/>
      <c r="J27" s="386" t="e">
        <f>+PMT(N27,C27,-$J$26)</f>
        <v>#VALUE!</v>
      </c>
      <c r="K27" s="338"/>
      <c r="L27" s="387" t="e">
        <f>+PMT(N27,C27,-$L$26)</f>
        <v>#VALUE!</v>
      </c>
      <c r="M27" s="354"/>
      <c r="N27" s="90">
        <f>+'Preço SFCR-FRONIUS-BYD'!N27</f>
        <v>1.6799999999999999E-2</v>
      </c>
      <c r="O27" s="295"/>
    </row>
    <row r="28" spans="1:15" ht="15" customHeight="1" x14ac:dyDescent="0.25">
      <c r="A28" s="295"/>
      <c r="B28" s="295"/>
      <c r="C28" s="218">
        <f>+'Preço SFCR-FRONIUS-BYD'!C28</f>
        <v>24</v>
      </c>
      <c r="D28" s="389" t="e">
        <f t="shared" ref="D28:D31" si="9">+PMT(N28,C28,-$D$26)</f>
        <v>#DIV/0!</v>
      </c>
      <c r="E28" s="338"/>
      <c r="F28" s="388" t="e">
        <f t="shared" ref="F28:F31" si="10">+PMT(N28,C28,-$F$26)</f>
        <v>#VALUE!</v>
      </c>
      <c r="G28" s="338"/>
      <c r="H28" s="385" t="e">
        <f t="shared" ref="H28:H31" si="11">+PMT(N28,C28,-$H$26)</f>
        <v>#VALUE!</v>
      </c>
      <c r="I28" s="338"/>
      <c r="J28" s="386" t="e">
        <f t="shared" ref="J28:J31" si="12">+PMT(N28,C28,-$J$26)</f>
        <v>#VALUE!</v>
      </c>
      <c r="K28" s="338"/>
      <c r="L28" s="387" t="e">
        <f t="shared" ref="L28:L31" si="13">+PMT(N28,C28,-$L$26)</f>
        <v>#VALUE!</v>
      </c>
      <c r="M28" s="354"/>
      <c r="N28" s="90">
        <f>+'Preço SFCR-FRONIUS-BYD'!N28</f>
        <v>1.55E-2</v>
      </c>
      <c r="O28" s="295"/>
    </row>
    <row r="29" spans="1:15" ht="15" customHeight="1" x14ac:dyDescent="0.25">
      <c r="A29" s="295"/>
      <c r="B29" s="295"/>
      <c r="C29" s="216">
        <f>+'Preço SFCR-FRONIUS-BYD'!C29</f>
        <v>36</v>
      </c>
      <c r="D29" s="389" t="e">
        <f t="shared" si="9"/>
        <v>#DIV/0!</v>
      </c>
      <c r="E29" s="338"/>
      <c r="F29" s="388" t="e">
        <f t="shared" si="10"/>
        <v>#VALUE!</v>
      </c>
      <c r="G29" s="338"/>
      <c r="H29" s="385" t="e">
        <f t="shared" si="11"/>
        <v>#VALUE!</v>
      </c>
      <c r="I29" s="338"/>
      <c r="J29" s="386" t="e">
        <f t="shared" si="12"/>
        <v>#VALUE!</v>
      </c>
      <c r="K29" s="338"/>
      <c r="L29" s="387" t="e">
        <f t="shared" si="13"/>
        <v>#VALUE!</v>
      </c>
      <c r="M29" s="354"/>
      <c r="N29" s="90">
        <f>+'Preço SFCR-FRONIUS-BYD'!N29</f>
        <v>1.5800000000000002E-2</v>
      </c>
      <c r="O29" s="295"/>
    </row>
    <row r="30" spans="1:15" ht="15" customHeight="1" x14ac:dyDescent="0.25">
      <c r="A30" s="295"/>
      <c r="B30" s="295"/>
      <c r="C30" s="218">
        <f>+'Preço SFCR-FRONIUS-BYD'!C30</f>
        <v>48</v>
      </c>
      <c r="D30" s="389" t="e">
        <f t="shared" si="9"/>
        <v>#DIV/0!</v>
      </c>
      <c r="E30" s="338"/>
      <c r="F30" s="388" t="e">
        <f t="shared" si="10"/>
        <v>#VALUE!</v>
      </c>
      <c r="G30" s="338"/>
      <c r="H30" s="385" t="e">
        <f t="shared" si="11"/>
        <v>#VALUE!</v>
      </c>
      <c r="I30" s="338"/>
      <c r="J30" s="386" t="e">
        <f t="shared" si="12"/>
        <v>#VALUE!</v>
      </c>
      <c r="K30" s="338"/>
      <c r="L30" s="387" t="e">
        <f t="shared" si="13"/>
        <v>#VALUE!</v>
      </c>
      <c r="M30" s="354"/>
      <c r="N30" s="90">
        <f>+'Preço SFCR-FRONIUS-BYD'!N30</f>
        <v>1.61E-2</v>
      </c>
      <c r="O30" s="295"/>
    </row>
    <row r="31" spans="1:15" ht="15" customHeight="1" thickBot="1" x14ac:dyDescent="0.3">
      <c r="A31" s="295"/>
      <c r="B31" s="295"/>
      <c r="C31" s="219">
        <f>+'Preço SFCR-FRONIUS-BYD'!C31</f>
        <v>60</v>
      </c>
      <c r="D31" s="418" t="e">
        <f t="shared" si="9"/>
        <v>#DIV/0!</v>
      </c>
      <c r="E31" s="391"/>
      <c r="F31" s="421" t="e">
        <f t="shared" si="10"/>
        <v>#VALUE!</v>
      </c>
      <c r="G31" s="391"/>
      <c r="H31" s="414" t="e">
        <f t="shared" si="11"/>
        <v>#VALUE!</v>
      </c>
      <c r="I31" s="391"/>
      <c r="J31" s="415" t="e">
        <f t="shared" si="12"/>
        <v>#VALUE!</v>
      </c>
      <c r="K31" s="391"/>
      <c r="L31" s="419" t="e">
        <f t="shared" si="13"/>
        <v>#VALUE!</v>
      </c>
      <c r="M31" s="420"/>
      <c r="N31" s="90">
        <f>+'Preço SFCR-FRONIUS-BYD'!N31</f>
        <v>1.6400000000000001E-2</v>
      </c>
      <c r="O31" s="295"/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295"/>
    </row>
    <row r="33" spans="1:15" ht="14.25" customHeight="1" x14ac:dyDescent="0.25">
      <c r="A33" s="65"/>
      <c r="B33" s="65"/>
      <c r="C33" s="65" t="str">
        <f>+'Preço SFCR-FRONIUS-BYD'!C33</f>
        <v>Observação: Proposta apenas orientativa, caso tenha interesse formalizamos uma proposta.</v>
      </c>
      <c r="D33" s="65"/>
      <c r="E33" s="65"/>
      <c r="F33" s="65"/>
      <c r="G33" s="65"/>
      <c r="H33" s="293"/>
      <c r="I33" s="293"/>
      <c r="J33" s="65"/>
      <c r="K33" s="65"/>
      <c r="L33" s="65"/>
      <c r="M33" s="65"/>
      <c r="N33" s="65"/>
      <c r="O33" s="295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293"/>
      <c r="I34" s="293"/>
      <c r="J34" s="65"/>
      <c r="K34" s="65"/>
      <c r="L34" s="65"/>
      <c r="M34" s="65"/>
      <c r="N34" s="65"/>
      <c r="O34" s="295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295"/>
    </row>
    <row r="36" spans="1:15" ht="14.25" customHeight="1" x14ac:dyDescent="0.25">
      <c r="A36" s="295"/>
      <c r="B36" s="295"/>
      <c r="C36" s="73" t="s">
        <v>34</v>
      </c>
      <c r="D36" s="416" t="e">
        <f>+D22/(D10*1000)</f>
        <v>#DIV/0!</v>
      </c>
      <c r="E36" s="417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295"/>
    </row>
    <row r="37" spans="1:15" ht="14.25" customHeight="1" x14ac:dyDescent="0.25">
      <c r="A37" s="295"/>
      <c r="B37" s="295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295"/>
    </row>
    <row r="38" spans="1:15" ht="14.25" customHeight="1" x14ac:dyDescent="0.25">
      <c r="A38" s="295"/>
      <c r="B38" s="295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295"/>
    </row>
    <row r="39" spans="1:15" ht="14.25" customHeight="1" x14ac:dyDescent="0.25">
      <c r="A39" s="295"/>
      <c r="B39" s="295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295"/>
      <c r="O39" s="295"/>
    </row>
    <row r="40" spans="1:15" ht="14.25" customHeight="1" x14ac:dyDescent="0.25">
      <c r="A40" s="295"/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</row>
    <row r="41" spans="1:15" ht="14.25" customHeight="1" x14ac:dyDescent="0.25">
      <c r="A41" s="295"/>
      <c r="B41" s="295"/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</row>
    <row r="42" spans="1:15" ht="14.25" customHeight="1" x14ac:dyDescent="0.25">
      <c r="A42" s="295"/>
      <c r="B42" s="295"/>
      <c r="C42" s="77" t="s">
        <v>38</v>
      </c>
      <c r="D42" s="91">
        <f>+'Preço SFCR-FRONIUS-BYD'!D42</f>
        <v>0</v>
      </c>
      <c r="E42" s="92"/>
      <c r="F42" s="93"/>
      <c r="G42" s="93"/>
      <c r="H42" s="2"/>
      <c r="I42" s="295"/>
      <c r="J42" s="295"/>
      <c r="K42" s="295"/>
      <c r="L42" s="295"/>
      <c r="M42" s="295"/>
      <c r="N42" s="295"/>
      <c r="O42" s="295"/>
    </row>
    <row r="43" spans="1:15" ht="14.25" customHeight="1" x14ac:dyDescent="0.25">
      <c r="A43" s="295"/>
      <c r="B43" s="295"/>
      <c r="C43" s="80" t="s">
        <v>39</v>
      </c>
      <c r="D43" s="81" t="e">
        <f>+'Preço SFCR-FRONIUS-BYD'!D43</f>
        <v>#DIV/0!</v>
      </c>
      <c r="E43" s="94"/>
      <c r="F43" s="95" t="s">
        <v>40</v>
      </c>
      <c r="G43" s="96" t="e">
        <f>+D43/D45</f>
        <v>#DIV/0!</v>
      </c>
      <c r="H43" s="2"/>
      <c r="I43" s="295"/>
      <c r="J43" s="295"/>
      <c r="K43" s="295"/>
      <c r="L43" s="295"/>
      <c r="M43" s="295"/>
      <c r="N43" s="295"/>
      <c r="O43" s="295"/>
    </row>
    <row r="44" spans="1:15" ht="14.25" customHeight="1" x14ac:dyDescent="0.25">
      <c r="A44" s="295"/>
      <c r="B44" s="295"/>
      <c r="C44" s="84" t="s">
        <v>41</v>
      </c>
      <c r="D44" s="97">
        <f>+'Preço SFCR-FRONIUS-BYD'!D44</f>
        <v>0.85</v>
      </c>
      <c r="E44" s="77"/>
      <c r="F44" s="505" t="s">
        <v>42</v>
      </c>
      <c r="G44" s="412"/>
      <c r="H44" s="98">
        <f>+'Preço SFCR-FRONIUS-BYD'!H44</f>
        <v>0.05</v>
      </c>
      <c r="I44" s="295"/>
      <c r="J44" s="295"/>
      <c r="K44" s="295"/>
      <c r="L44" s="295"/>
      <c r="M44" s="295"/>
      <c r="N44" s="295"/>
      <c r="O44" s="295"/>
    </row>
    <row r="45" spans="1:15" ht="14.25" customHeight="1" x14ac:dyDescent="0.25">
      <c r="A45" s="295"/>
      <c r="B45" s="295"/>
      <c r="C45" s="87" t="s">
        <v>43</v>
      </c>
      <c r="D45" s="97">
        <f>+'Preço SFCR-FRONIUS-BYD'!D45</f>
        <v>120</v>
      </c>
      <c r="E45" s="77"/>
      <c r="F45" s="2"/>
      <c r="G45" s="2"/>
      <c r="H45" s="2"/>
      <c r="I45" s="295"/>
      <c r="J45" s="295"/>
      <c r="K45" s="295"/>
      <c r="L45" s="295"/>
      <c r="M45" s="295"/>
      <c r="N45" s="295"/>
      <c r="O45" s="295"/>
    </row>
    <row r="46" spans="1:15" ht="14.25" customHeight="1" x14ac:dyDescent="0.25">
      <c r="A46" s="295"/>
      <c r="B46" s="295"/>
      <c r="C46" s="295"/>
      <c r="D46" s="2"/>
      <c r="E46" s="2"/>
      <c r="F46" s="2"/>
      <c r="G46" s="2"/>
      <c r="H46" s="2"/>
      <c r="I46" s="295"/>
      <c r="J46" s="295"/>
      <c r="K46" s="295"/>
      <c r="L46" s="295"/>
      <c r="M46" s="295"/>
      <c r="N46" s="295"/>
      <c r="O46" s="295"/>
    </row>
    <row r="47" spans="1:15" ht="14.25" customHeight="1" x14ac:dyDescent="0.25">
      <c r="A47" s="295"/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</row>
    <row r="48" spans="1:15" ht="14.25" customHeight="1" x14ac:dyDescent="0.25">
      <c r="A48" s="295"/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</row>
    <row r="49" spans="1:15" ht="14.25" customHeight="1" x14ac:dyDescent="0.25">
      <c r="A49" s="295"/>
      <c r="B49" s="295"/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</row>
    <row r="50" spans="1:15" ht="14.25" customHeight="1" x14ac:dyDescent="0.25">
      <c r="A50" s="295"/>
      <c r="B50" s="295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5"/>
    </row>
    <row r="51" spans="1:15" ht="14.25" customHeight="1" x14ac:dyDescent="0.25">
      <c r="A51" s="295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</row>
    <row r="52" spans="1:15" ht="14.25" customHeight="1" x14ac:dyDescent="0.25">
      <c r="A52" s="295"/>
      <c r="B52" s="295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</row>
    <row r="53" spans="1:15" ht="14.25" customHeight="1" x14ac:dyDescent="0.25">
      <c r="A53" s="295"/>
      <c r="B53" s="295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</row>
    <row r="54" spans="1:15" ht="14.25" customHeight="1" x14ac:dyDescent="0.25">
      <c r="A54" s="295"/>
      <c r="B54" s="295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5"/>
      <c r="N54" s="295"/>
      <c r="O54" s="295"/>
    </row>
    <row r="55" spans="1:15" ht="14.25" customHeight="1" x14ac:dyDescent="0.25">
      <c r="A55" s="295"/>
      <c r="B55" s="295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</row>
    <row r="56" spans="1:15" ht="14.25" customHeight="1" x14ac:dyDescent="0.25">
      <c r="A56" s="295"/>
      <c r="B56" s="295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5"/>
      <c r="N56" s="295"/>
      <c r="O56" s="295"/>
    </row>
    <row r="57" spans="1:15" ht="14.25" customHeight="1" x14ac:dyDescent="0.25">
      <c r="A57" s="295"/>
      <c r="B57" s="295"/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</row>
    <row r="58" spans="1:15" ht="14.25" customHeight="1" x14ac:dyDescent="0.25">
      <c r="A58" s="295"/>
      <c r="B58" s="295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5"/>
      <c r="N58" s="295"/>
      <c r="O58" s="295"/>
    </row>
    <row r="59" spans="1:15" ht="14.25" customHeight="1" x14ac:dyDescent="0.25">
      <c r="A59" s="295"/>
      <c r="B59" s="295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</row>
    <row r="60" spans="1:15" ht="14.25" customHeight="1" x14ac:dyDescent="0.25">
      <c r="A60" s="295"/>
      <c r="B60" s="295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</row>
    <row r="61" spans="1:15" ht="14.25" customHeight="1" x14ac:dyDescent="0.25">
      <c r="A61" s="295"/>
      <c r="B61" s="295"/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</row>
    <row r="62" spans="1:15" ht="14.25" customHeight="1" x14ac:dyDescent="0.25">
      <c r="A62" s="295"/>
      <c r="B62" s="295"/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  <c r="O62" s="295"/>
    </row>
    <row r="63" spans="1:15" ht="14.25" customHeight="1" x14ac:dyDescent="0.25">
      <c r="A63" s="295"/>
      <c r="B63" s="295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</row>
    <row r="64" spans="1:15" ht="14.25" customHeight="1" x14ac:dyDescent="0.25">
      <c r="A64" s="295"/>
      <c r="B64" s="295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5"/>
    </row>
    <row r="65" spans="1:15" ht="14.25" customHeight="1" x14ac:dyDescent="0.25">
      <c r="A65" s="295"/>
      <c r="B65" s="295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</row>
    <row r="66" spans="1:15" ht="14.25" customHeight="1" x14ac:dyDescent="0.25">
      <c r="A66" s="295"/>
      <c r="B66" s="295"/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</row>
    <row r="67" spans="1:15" ht="14.25" customHeight="1" x14ac:dyDescent="0.25">
      <c r="A67" s="295"/>
      <c r="B67" s="295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</row>
    <row r="68" spans="1:15" ht="14.25" customHeight="1" x14ac:dyDescent="0.25">
      <c r="A68" s="295"/>
      <c r="B68" s="295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</row>
    <row r="69" spans="1:15" ht="14.25" customHeight="1" x14ac:dyDescent="0.25">
      <c r="A69" s="295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</row>
    <row r="70" spans="1:15" ht="14.25" customHeight="1" x14ac:dyDescent="0.25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</row>
    <row r="71" spans="1:15" ht="14.25" customHeight="1" x14ac:dyDescent="0.25">
      <c r="A71" s="295"/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</row>
    <row r="72" spans="1:15" ht="14.25" customHeight="1" x14ac:dyDescent="0.25">
      <c r="A72" s="295"/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</row>
    <row r="73" spans="1:15" ht="14.25" customHeight="1" x14ac:dyDescent="0.25">
      <c r="A73" s="295"/>
      <c r="B73" s="295"/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  <c r="N73" s="295"/>
      <c r="O73" s="295"/>
    </row>
    <row r="74" spans="1:15" ht="14.25" customHeight="1" x14ac:dyDescent="0.25">
      <c r="A74" s="295"/>
      <c r="B74" s="295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</row>
    <row r="75" spans="1:15" ht="14.25" customHeight="1" x14ac:dyDescent="0.25">
      <c r="A75" s="295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</row>
    <row r="76" spans="1:15" ht="14.25" customHeight="1" x14ac:dyDescent="0.25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</row>
    <row r="77" spans="1:15" ht="14.25" customHeight="1" x14ac:dyDescent="0.25">
      <c r="A77" s="29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</row>
    <row r="78" spans="1:15" ht="14.25" customHeight="1" x14ac:dyDescent="0.25">
      <c r="A78" s="295"/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</row>
    <row r="79" spans="1:15" ht="14.25" customHeight="1" x14ac:dyDescent="0.25">
      <c r="A79" s="295"/>
      <c r="B79" s="295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</row>
    <row r="80" spans="1:15" ht="14.25" customHeight="1" x14ac:dyDescent="0.25">
      <c r="A80" s="295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</row>
    <row r="81" spans="1:15" ht="14.25" customHeight="1" x14ac:dyDescent="0.25">
      <c r="A81" s="295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</row>
    <row r="82" spans="1:15" ht="14.25" customHeight="1" x14ac:dyDescent="0.25">
      <c r="A82" s="295"/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</row>
    <row r="83" spans="1:15" ht="14.25" customHeight="1" x14ac:dyDescent="0.25">
      <c r="A83" s="29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</row>
    <row r="84" spans="1:15" ht="14.25" customHeight="1" x14ac:dyDescent="0.25">
      <c r="A84" s="29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</row>
    <row r="85" spans="1:15" ht="14.25" customHeight="1" x14ac:dyDescent="0.25">
      <c r="A85" s="295"/>
      <c r="B85" s="295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</row>
    <row r="86" spans="1:15" ht="14.25" customHeight="1" x14ac:dyDescent="0.25">
      <c r="A86" s="295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</row>
    <row r="87" spans="1:15" ht="14.25" customHeight="1" x14ac:dyDescent="0.25">
      <c r="A87" s="295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</row>
    <row r="88" spans="1:15" ht="14.25" customHeight="1" x14ac:dyDescent="0.25">
      <c r="A88" s="295"/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</row>
    <row r="89" spans="1:15" ht="14.25" customHeight="1" x14ac:dyDescent="0.25">
      <c r="A89" s="295"/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</row>
    <row r="90" spans="1:15" ht="14.25" customHeight="1" x14ac:dyDescent="0.25">
      <c r="A90" s="295"/>
      <c r="B90" s="295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</row>
    <row r="91" spans="1:15" ht="14.25" customHeight="1" x14ac:dyDescent="0.25">
      <c r="A91" s="295"/>
      <c r="B91" s="295"/>
      <c r="C91" s="295"/>
      <c r="D91" s="295"/>
      <c r="E91" s="295"/>
      <c r="F91" s="295"/>
      <c r="G91" s="295"/>
      <c r="H91" s="295"/>
      <c r="I91" s="295"/>
      <c r="J91" s="295"/>
      <c r="K91" s="295"/>
      <c r="L91" s="295"/>
      <c r="M91" s="295"/>
      <c r="N91" s="295"/>
      <c r="O91" s="295"/>
    </row>
    <row r="92" spans="1:15" ht="14.25" customHeight="1" x14ac:dyDescent="0.25">
      <c r="A92" s="295"/>
      <c r="B92" s="295"/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</row>
    <row r="93" spans="1:15" ht="14.25" customHeight="1" x14ac:dyDescent="0.25">
      <c r="A93" s="295"/>
      <c r="B93" s="295"/>
      <c r="C93" s="295"/>
      <c r="D93" s="295"/>
      <c r="E93" s="295"/>
      <c r="F93" s="295"/>
      <c r="G93" s="295"/>
      <c r="H93" s="295"/>
      <c r="I93" s="295"/>
      <c r="J93" s="295"/>
      <c r="K93" s="295"/>
      <c r="L93" s="295"/>
      <c r="M93" s="295"/>
      <c r="N93" s="295"/>
      <c r="O93" s="295"/>
    </row>
    <row r="94" spans="1:15" ht="14.25" customHeight="1" x14ac:dyDescent="0.25">
      <c r="A94" s="295"/>
      <c r="B94" s="295"/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</row>
    <row r="95" spans="1:15" ht="15.75" customHeight="1" x14ac:dyDescent="0.25">
      <c r="A95" s="295"/>
      <c r="B95" s="295"/>
      <c r="C95" s="295"/>
      <c r="D95" s="295"/>
      <c r="E95" s="295"/>
      <c r="F95" s="295"/>
      <c r="G95" s="295"/>
      <c r="H95" s="295"/>
      <c r="I95" s="295"/>
      <c r="J95" s="295"/>
      <c r="K95" s="295"/>
      <c r="L95" s="295"/>
      <c r="M95" s="295"/>
      <c r="N95" s="295"/>
      <c r="O95" s="295"/>
    </row>
    <row r="96" spans="1:15" ht="15.75" customHeight="1" x14ac:dyDescent="0.25">
      <c r="A96" s="295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</row>
    <row r="97" spans="1:15" ht="15.75" customHeight="1" x14ac:dyDescent="0.25">
      <c r="A97" s="295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5"/>
    </row>
    <row r="98" spans="1:15" ht="15.75" customHeight="1" x14ac:dyDescent="0.25">
      <c r="A98" s="295"/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</row>
    <row r="99" spans="1:15" ht="15.75" customHeight="1" x14ac:dyDescent="0.25">
      <c r="A99" s="295"/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</row>
    <row r="100" spans="1:15" ht="15.75" customHeight="1" x14ac:dyDescent="0.25">
      <c r="A100" s="295"/>
      <c r="B100" s="295"/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</row>
    <row r="101" spans="1:15" ht="15.75" customHeight="1" x14ac:dyDescent="0.25">
      <c r="A101" s="295"/>
      <c r="B101" s="295"/>
      <c r="C101" s="295"/>
      <c r="D101" s="295"/>
      <c r="E101" s="295"/>
      <c r="F101" s="295"/>
      <c r="G101" s="295"/>
      <c r="H101" s="295"/>
      <c r="I101" s="295"/>
      <c r="J101" s="295"/>
      <c r="K101" s="295"/>
      <c r="L101" s="295"/>
      <c r="M101" s="295"/>
      <c r="N101" s="295"/>
      <c r="O101" s="295"/>
    </row>
  </sheetData>
  <mergeCells count="112">
    <mergeCell ref="C8:C9"/>
    <mergeCell ref="D8:I8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L11:M11"/>
    <mergeCell ref="D3:I4"/>
    <mergeCell ref="D5:I6"/>
    <mergeCell ref="D12:E12"/>
    <mergeCell ref="F12:G12"/>
    <mergeCell ref="H12:I12"/>
    <mergeCell ref="J12:K12"/>
    <mergeCell ref="L12:M12"/>
    <mergeCell ref="D13:E13"/>
    <mergeCell ref="F13:G13"/>
    <mergeCell ref="H13:I13"/>
    <mergeCell ref="J13:K13"/>
    <mergeCell ref="L13:M13"/>
    <mergeCell ref="D16:E16"/>
    <mergeCell ref="F16:G16"/>
    <mergeCell ref="H16:I16"/>
    <mergeCell ref="J16:K16"/>
    <mergeCell ref="L16:M16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9:E19"/>
    <mergeCell ref="F19:G19"/>
    <mergeCell ref="H19:I19"/>
    <mergeCell ref="J19:K19"/>
    <mergeCell ref="L19:M19"/>
    <mergeCell ref="C24:H24"/>
    <mergeCell ref="D25:E25"/>
    <mergeCell ref="F25:G25"/>
    <mergeCell ref="H25:I25"/>
    <mergeCell ref="J25:K25"/>
    <mergeCell ref="L25:M25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26:E26"/>
    <mergeCell ref="F26:G26"/>
    <mergeCell ref="H26:I26"/>
    <mergeCell ref="J26:K26"/>
    <mergeCell ref="L26:M26"/>
    <mergeCell ref="D27:E27"/>
    <mergeCell ref="F27:G27"/>
    <mergeCell ref="H27:I27"/>
    <mergeCell ref="J27:K27"/>
    <mergeCell ref="L27:M27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H32:I32"/>
    <mergeCell ref="D36:E36"/>
    <mergeCell ref="F36:G36"/>
    <mergeCell ref="H36:I36"/>
    <mergeCell ref="J36:K36"/>
    <mergeCell ref="L36:M36"/>
    <mergeCell ref="D30:E30"/>
    <mergeCell ref="F30:G30"/>
    <mergeCell ref="H30:I30"/>
    <mergeCell ref="J30:K30"/>
    <mergeCell ref="L30:M30"/>
    <mergeCell ref="D31:E31"/>
    <mergeCell ref="F31:G31"/>
    <mergeCell ref="H31:I31"/>
    <mergeCell ref="J31:K31"/>
    <mergeCell ref="L31:M31"/>
    <mergeCell ref="D39:E39"/>
    <mergeCell ref="F39:G39"/>
    <mergeCell ref="H39:I39"/>
    <mergeCell ref="J39:K39"/>
    <mergeCell ref="L39:M39"/>
    <mergeCell ref="F44:G44"/>
    <mergeCell ref="D37:E37"/>
    <mergeCell ref="F37:G37"/>
    <mergeCell ref="H37:I37"/>
    <mergeCell ref="J37:K37"/>
    <mergeCell ref="L37:M37"/>
    <mergeCell ref="D38:E38"/>
    <mergeCell ref="F38:G38"/>
    <mergeCell ref="H38:I38"/>
    <mergeCell ref="J38:K38"/>
    <mergeCell ref="L38:M38"/>
  </mergeCells>
  <dataValidations disablePrompts="1" count="2">
    <dataValidation type="list" allowBlank="1" showErrorMessage="1" sqref="F15 L15 J15 H15" xr:uid="{74FBB426-7FFD-4450-9CE2-D86EA03BB6F7}">
      <formula1>$C$8:$C$26</formula1>
    </dataValidation>
    <dataValidation type="list" allowBlank="1" showErrorMessage="1" sqref="D15" xr:uid="{F64B9D2D-33BA-4835-A7ED-D1B4DE6BC424}">
      <formula1>#REF!</formula1>
    </dataValidation>
  </dataValidations>
  <pageMargins left="0.511811024" right="0.511811024" top="0.78740157499999996" bottom="0.78740157499999996" header="0" footer="0"/>
  <pageSetup paperSize="9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ABD-52A0-40B8-9F64-F6E65735D845}">
  <sheetPr>
    <pageSetUpPr fitToPage="1"/>
  </sheetPr>
  <dimension ref="A1:S110"/>
  <sheetViews>
    <sheetView zoomScale="85" zoomScaleNormal="85" workbookViewId="0">
      <selection activeCell="F15" sqref="F15"/>
    </sheetView>
  </sheetViews>
  <sheetFormatPr defaultColWidth="14.42578125" defaultRowHeight="15" customHeight="1" x14ac:dyDescent="0.25"/>
  <cols>
    <col min="1" max="1" width="4" style="291" customWidth="1"/>
    <col min="2" max="2" width="12.85546875" style="291" customWidth="1"/>
    <col min="3" max="4" width="6.85546875" style="291" customWidth="1"/>
    <col min="5" max="5" width="9" style="291" customWidth="1"/>
    <col min="6" max="6" width="14.42578125" style="291" customWidth="1"/>
    <col min="7" max="7" width="23.85546875" style="291" bestFit="1" customWidth="1"/>
    <col min="8" max="9" width="15.140625" style="291" customWidth="1"/>
    <col min="10" max="10" width="14.5703125" style="291" customWidth="1"/>
    <col min="11" max="17" width="15.7109375" style="291" customWidth="1"/>
    <col min="18" max="18" width="15" style="291" customWidth="1"/>
    <col min="19" max="19" width="1.42578125" style="291" customWidth="1"/>
    <col min="20" max="16384" width="14.42578125" style="291"/>
  </cols>
  <sheetData>
    <row r="1" spans="1:19" ht="15.75" thickBot="1" x14ac:dyDescent="0.3">
      <c r="A1" s="295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</row>
    <row r="2" spans="1:19" ht="18.75" customHeight="1" x14ac:dyDescent="0.25">
      <c r="A2" s="295"/>
      <c r="B2" s="340" t="s">
        <v>49</v>
      </c>
      <c r="C2" s="341"/>
      <c r="D2" s="342"/>
      <c r="E2" s="328" t="s">
        <v>50</v>
      </c>
      <c r="F2" s="329"/>
      <c r="G2" s="329"/>
      <c r="H2" s="329"/>
      <c r="I2" s="330"/>
      <c r="J2" s="329"/>
      <c r="K2" s="329"/>
      <c r="L2" s="329"/>
      <c r="M2" s="329"/>
      <c r="N2" s="329"/>
      <c r="O2" s="329"/>
      <c r="P2" s="329"/>
      <c r="Q2" s="329"/>
      <c r="R2" s="330"/>
      <c r="S2" s="295"/>
    </row>
    <row r="3" spans="1:19" ht="18.75" customHeight="1" thickBot="1" x14ac:dyDescent="0.3">
      <c r="A3" s="295"/>
      <c r="B3" s="343">
        <v>0.45</v>
      </c>
      <c r="C3" s="344"/>
      <c r="D3" s="345"/>
      <c r="E3" s="331" t="s">
        <v>51</v>
      </c>
      <c r="F3" s="332"/>
      <c r="G3" s="332"/>
      <c r="H3" s="332"/>
      <c r="I3" s="333"/>
      <c r="J3" s="332"/>
      <c r="K3" s="332"/>
      <c r="L3" s="332"/>
      <c r="M3" s="332"/>
      <c r="N3" s="332"/>
      <c r="O3" s="332"/>
      <c r="P3" s="332"/>
      <c r="Q3" s="332"/>
      <c r="R3" s="333"/>
      <c r="S3" s="101"/>
    </row>
    <row r="4" spans="1:19" ht="30" customHeight="1" x14ac:dyDescent="0.25">
      <c r="A4" s="295"/>
      <c r="B4" s="339" t="s">
        <v>52</v>
      </c>
      <c r="C4" s="326" t="s">
        <v>53</v>
      </c>
      <c r="D4" s="326" t="s">
        <v>225</v>
      </c>
      <c r="E4" s="326" t="s">
        <v>54</v>
      </c>
      <c r="F4" s="334" t="s">
        <v>55</v>
      </c>
      <c r="G4" s="326" t="s">
        <v>56</v>
      </c>
      <c r="H4" s="326" t="s">
        <v>57</v>
      </c>
      <c r="I4" s="294" t="s">
        <v>233</v>
      </c>
      <c r="J4" s="326" t="s">
        <v>58</v>
      </c>
      <c r="K4" s="326" t="s">
        <v>59</v>
      </c>
      <c r="L4" s="326" t="s">
        <v>60</v>
      </c>
      <c r="M4" s="326" t="s">
        <v>61</v>
      </c>
      <c r="N4" s="326" t="s">
        <v>62</v>
      </c>
      <c r="O4" s="326" t="s">
        <v>63</v>
      </c>
      <c r="P4" s="326" t="s">
        <v>64</v>
      </c>
      <c r="Q4" s="326" t="s">
        <v>65</v>
      </c>
      <c r="R4" s="326" t="s">
        <v>66</v>
      </c>
      <c r="S4" s="102"/>
    </row>
    <row r="5" spans="1:19" x14ac:dyDescent="0.25">
      <c r="A5" s="295"/>
      <c r="B5" s="327"/>
      <c r="C5" s="327"/>
      <c r="D5" s="336"/>
      <c r="E5" s="327"/>
      <c r="F5" s="335"/>
      <c r="G5" s="327"/>
      <c r="H5" s="327"/>
      <c r="I5" s="226">
        <v>1.4999999999999999E-2</v>
      </c>
      <c r="J5" s="327"/>
      <c r="K5" s="327"/>
      <c r="L5" s="335"/>
      <c r="M5" s="335"/>
      <c r="N5" s="335"/>
      <c r="O5" s="335"/>
      <c r="P5" s="327"/>
      <c r="Q5" s="327"/>
      <c r="R5" s="327"/>
      <c r="S5" s="102"/>
    </row>
    <row r="6" spans="1:19" x14ac:dyDescent="0.25">
      <c r="A6" s="295"/>
      <c r="B6" s="103" t="s">
        <v>85</v>
      </c>
      <c r="C6" s="104">
        <f t="shared" ref="C6:C63" si="0">+E6*$B$3</f>
        <v>1.35</v>
      </c>
      <c r="D6" s="205" t="e">
        <f>+ABS('Preço SFCR-FRONIUS JINKO'!$G$43-C6)</f>
        <v>#DIV/0!</v>
      </c>
      <c r="E6" s="105">
        <f>+'FRONIUS-BYD 335Wp'!E6</f>
        <v>3</v>
      </c>
      <c r="F6" s="112" t="str">
        <f>+IF(K6=0,"",ROUND(M6/(1-'Tabela de BDI'!$C$3),0))</f>
        <v/>
      </c>
      <c r="G6" s="107"/>
      <c r="H6" s="106"/>
      <c r="I6" s="143"/>
      <c r="J6" s="106">
        <f>+I6/(1-$I$5)</f>
        <v>0</v>
      </c>
      <c r="K6" s="106">
        <f t="shared" ref="K6:K63" si="1">+H6+J6</f>
        <v>0</v>
      </c>
      <c r="L6" s="106">
        <f>+'FRONIUS-BYD 335Wp'!L6</f>
        <v>2500</v>
      </c>
      <c r="M6" s="106">
        <f t="shared" ref="M6:M63" si="2">+K6+L6</f>
        <v>2500</v>
      </c>
      <c r="N6" s="106" t="str">
        <f>+IF(F6="","",F6*'Tabela de BDI'!$C$7)</f>
        <v/>
      </c>
      <c r="O6" s="106" t="str">
        <f>IF(F6="","",F6*'Tabela de BDI'!$C$8)</f>
        <v/>
      </c>
      <c r="P6" s="109" t="str">
        <f t="shared" ref="P6:P63" si="3">IF(F6="","",(F6-K6)/K6)</f>
        <v/>
      </c>
      <c r="Q6" s="110" t="str">
        <f t="shared" ref="Q6:Q65" si="4">IF(F6="","",(F6/C6)/1000)</f>
        <v/>
      </c>
      <c r="R6" s="111">
        <f>+'Tabela de BDI'!$F$9*C6</f>
        <v>162</v>
      </c>
      <c r="S6" s="102"/>
    </row>
    <row r="7" spans="1:19" x14ac:dyDescent="0.25">
      <c r="A7" s="295"/>
      <c r="B7" s="103" t="s">
        <v>85</v>
      </c>
      <c r="C7" s="104">
        <f t="shared" si="0"/>
        <v>1.8</v>
      </c>
      <c r="D7" s="205" t="e">
        <f>+ABS('Preço SFCR-FRONIUS JINKO'!$G$43-C7)</f>
        <v>#DIV/0!</v>
      </c>
      <c r="E7" s="105">
        <f>+'FRONIUS-BYD 335Wp'!E7</f>
        <v>4</v>
      </c>
      <c r="F7" s="112" t="str">
        <f>+IF(K7=0,"",ROUND(M7/(1-'Tabela de BDI'!$C$3),0))</f>
        <v/>
      </c>
      <c r="G7" s="107"/>
      <c r="H7" s="106"/>
      <c r="I7" s="143"/>
      <c r="J7" s="106">
        <f t="shared" ref="J7:J42" si="5">+I7/(1-$I$5)</f>
        <v>0</v>
      </c>
      <c r="K7" s="106">
        <f t="shared" si="1"/>
        <v>0</v>
      </c>
      <c r="L7" s="106">
        <f>+'FRONIUS-BYD 335Wp'!L7</f>
        <v>2625</v>
      </c>
      <c r="M7" s="106">
        <f t="shared" si="2"/>
        <v>2625</v>
      </c>
      <c r="N7" s="106" t="str">
        <f>+IF(F7="","",F7*'Tabela de BDI'!$C$7)</f>
        <v/>
      </c>
      <c r="O7" s="106" t="str">
        <f>IF(F7="","",F7*'Tabela de BDI'!$C$8)</f>
        <v/>
      </c>
      <c r="P7" s="109" t="str">
        <f t="shared" si="3"/>
        <v/>
      </c>
      <c r="Q7" s="110" t="str">
        <f t="shared" si="4"/>
        <v/>
      </c>
      <c r="R7" s="111">
        <f>+'Tabela de BDI'!$F$9*C7</f>
        <v>216</v>
      </c>
      <c r="S7" s="102"/>
    </row>
    <row r="8" spans="1:19" x14ac:dyDescent="0.25">
      <c r="A8" s="295"/>
      <c r="B8" s="103" t="s">
        <v>85</v>
      </c>
      <c r="C8" s="104">
        <f t="shared" si="0"/>
        <v>2.25</v>
      </c>
      <c r="D8" s="205" t="e">
        <f>+ABS('Preço SFCR-FRONIUS JINKO'!$G$43-C8)</f>
        <v>#DIV/0!</v>
      </c>
      <c r="E8" s="105">
        <f>+'FRONIUS-BYD 335Wp'!E8</f>
        <v>5</v>
      </c>
      <c r="F8" s="112" t="str">
        <f>+IF(K8=0,"",ROUND(M8/(1-'Tabela de BDI'!$C$3),0))</f>
        <v/>
      </c>
      <c r="G8" s="107"/>
      <c r="H8" s="106"/>
      <c r="I8" s="143"/>
      <c r="J8" s="106">
        <f t="shared" si="5"/>
        <v>0</v>
      </c>
      <c r="K8" s="106">
        <f t="shared" si="1"/>
        <v>0</v>
      </c>
      <c r="L8" s="106">
        <f>+'FRONIUS-BYD 335Wp'!L8</f>
        <v>2750</v>
      </c>
      <c r="M8" s="106">
        <f t="shared" si="2"/>
        <v>2750</v>
      </c>
      <c r="N8" s="106" t="str">
        <f>+IF(F8="","",F8*'Tabela de BDI'!$C$7)</f>
        <v/>
      </c>
      <c r="O8" s="106" t="str">
        <f>IF(F8="","",F8*'Tabela de BDI'!$C$8)</f>
        <v/>
      </c>
      <c r="P8" s="109" t="str">
        <f t="shared" si="3"/>
        <v/>
      </c>
      <c r="Q8" s="110" t="str">
        <f t="shared" si="4"/>
        <v/>
      </c>
      <c r="R8" s="111">
        <f>+'Tabela de BDI'!$F$9*C8</f>
        <v>270</v>
      </c>
      <c r="S8" s="102"/>
    </row>
    <row r="9" spans="1:19" x14ac:dyDescent="0.25">
      <c r="A9" s="295"/>
      <c r="B9" s="103" t="s">
        <v>85</v>
      </c>
      <c r="C9" s="104">
        <f t="shared" si="0"/>
        <v>2.7</v>
      </c>
      <c r="D9" s="205" t="e">
        <f>+ABS('Preço SFCR-FRONIUS JINKO'!$G$43-C9)</f>
        <v>#DIV/0!</v>
      </c>
      <c r="E9" s="105">
        <f>+'FRONIUS-BYD 335Wp'!E9</f>
        <v>6</v>
      </c>
      <c r="F9" s="112" t="str">
        <f>+IF(K9=0,"",ROUND(M9/(1-'Tabela de BDI'!$C$3),0))</f>
        <v/>
      </c>
      <c r="G9" s="107"/>
      <c r="H9" s="106"/>
      <c r="I9" s="143"/>
      <c r="J9" s="106">
        <f t="shared" si="5"/>
        <v>0</v>
      </c>
      <c r="K9" s="106">
        <f t="shared" si="1"/>
        <v>0</v>
      </c>
      <c r="L9" s="106">
        <f>+'FRONIUS-BYD 335Wp'!L9</f>
        <v>2875</v>
      </c>
      <c r="M9" s="106">
        <f t="shared" si="2"/>
        <v>2875</v>
      </c>
      <c r="N9" s="106" t="str">
        <f>+IF(F9="","",F9*'Tabela de BDI'!$C$7)</f>
        <v/>
      </c>
      <c r="O9" s="106" t="str">
        <f>IF(F9="","",F9*'Tabela de BDI'!$C$8)</f>
        <v/>
      </c>
      <c r="P9" s="109" t="str">
        <f t="shared" si="3"/>
        <v/>
      </c>
      <c r="Q9" s="110" t="str">
        <f t="shared" si="4"/>
        <v/>
      </c>
      <c r="R9" s="111">
        <f>+'Tabela de BDI'!$F$9*C9</f>
        <v>324</v>
      </c>
      <c r="S9" s="102"/>
    </row>
    <row r="10" spans="1:19" x14ac:dyDescent="0.25">
      <c r="A10" s="295"/>
      <c r="B10" s="103" t="s">
        <v>85</v>
      </c>
      <c r="C10" s="104">
        <f t="shared" si="0"/>
        <v>3.15</v>
      </c>
      <c r="D10" s="205" t="e">
        <f>+ABS('Preço SFCR-FRONIUS JINKO'!$G$43-C10)</f>
        <v>#DIV/0!</v>
      </c>
      <c r="E10" s="105">
        <f>+'FRONIUS-BYD 335Wp'!E10</f>
        <v>7</v>
      </c>
      <c r="F10" s="112">
        <f>+IF(K10=0,"",ROUND(M10/(1-'Tabela de BDI'!$C$3),0))</f>
        <v>19689</v>
      </c>
      <c r="G10" s="107" t="s">
        <v>68</v>
      </c>
      <c r="H10" s="106"/>
      <c r="I10" s="148">
        <v>13917.07</v>
      </c>
      <c r="J10" s="106">
        <f t="shared" si="5"/>
        <v>14129.005076142132</v>
      </c>
      <c r="K10" s="106">
        <f t="shared" si="1"/>
        <v>14129.005076142132</v>
      </c>
      <c r="L10" s="106">
        <f>+'FRONIUS-BYD 335Wp'!L10</f>
        <v>3000</v>
      </c>
      <c r="M10" s="106">
        <f t="shared" si="2"/>
        <v>17129.00507614213</v>
      </c>
      <c r="N10" s="106">
        <f>+IF(F10="","",F10*'Tabela de BDI'!$C$7)</f>
        <v>1575.1200000000001</v>
      </c>
      <c r="O10" s="106">
        <f>IF(F10="","",F10*'Tabela de BDI'!$C$8)</f>
        <v>984.45</v>
      </c>
      <c r="P10" s="109">
        <f t="shared" si="3"/>
        <v>0.39351637952528806</v>
      </c>
      <c r="Q10" s="110">
        <f t="shared" si="4"/>
        <v>6.2504761904761912</v>
      </c>
      <c r="R10" s="111">
        <f>+'Tabela de BDI'!$F$9*C10</f>
        <v>378</v>
      </c>
      <c r="S10" s="102"/>
    </row>
    <row r="11" spans="1:19" x14ac:dyDescent="0.25">
      <c r="A11" s="295"/>
      <c r="B11" s="103" t="s">
        <v>85</v>
      </c>
      <c r="C11" s="104">
        <f t="shared" si="0"/>
        <v>3.6</v>
      </c>
      <c r="D11" s="205" t="e">
        <f>+ABS('Preço SFCR-FRONIUS JINKO'!$G$43-C11)</f>
        <v>#DIV/0!</v>
      </c>
      <c r="E11" s="105">
        <f>+'FRONIUS-BYD 335Wp'!E11</f>
        <v>8</v>
      </c>
      <c r="F11" s="112">
        <f>+IF(K11=0,"",ROUND(M11/(1-'Tabela de BDI'!$C$3),0))</f>
        <v>20890</v>
      </c>
      <c r="G11" s="107" t="s">
        <v>68</v>
      </c>
      <c r="H11" s="106"/>
      <c r="I11" s="148">
        <v>14823.27</v>
      </c>
      <c r="J11" s="106">
        <f t="shared" si="5"/>
        <v>15049.005076142133</v>
      </c>
      <c r="K11" s="106">
        <f t="shared" si="1"/>
        <v>15049.005076142133</v>
      </c>
      <c r="L11" s="106">
        <f>+'FRONIUS-BYD 335Wp'!L11</f>
        <v>3125</v>
      </c>
      <c r="M11" s="106">
        <f t="shared" si="2"/>
        <v>18174.005076142133</v>
      </c>
      <c r="N11" s="106">
        <f>+IF(F11="","",F11*'Tabela de BDI'!$C$7)</f>
        <v>1671.2</v>
      </c>
      <c r="O11" s="106">
        <f>IF(F11="","",F11*'Tabela de BDI'!$C$8)</f>
        <v>1044.5</v>
      </c>
      <c r="P11" s="109">
        <f t="shared" si="3"/>
        <v>0.38813163357342867</v>
      </c>
      <c r="Q11" s="110">
        <f t="shared" si="4"/>
        <v>5.8027777777777771</v>
      </c>
      <c r="R11" s="111">
        <f>+'Tabela de BDI'!$F$9*C11</f>
        <v>432</v>
      </c>
      <c r="S11" s="102"/>
    </row>
    <row r="12" spans="1:19" x14ac:dyDescent="0.25">
      <c r="A12" s="295"/>
      <c r="B12" s="103" t="s">
        <v>85</v>
      </c>
      <c r="C12" s="104">
        <f t="shared" si="0"/>
        <v>4.05</v>
      </c>
      <c r="D12" s="205" t="e">
        <f>+ABS('Preço SFCR-FRONIUS JINKO'!$G$43-C12)</f>
        <v>#DIV/0!</v>
      </c>
      <c r="E12" s="105">
        <f>+'FRONIUS-BYD 335Wp'!E12</f>
        <v>9</v>
      </c>
      <c r="F12" s="112">
        <f>+IF(K12=0,"",ROUND(M12/(1-'Tabela de BDI'!$C$3),0))</f>
        <v>22493</v>
      </c>
      <c r="G12" s="107" t="s">
        <v>234</v>
      </c>
      <c r="H12" s="106"/>
      <c r="I12" s="148">
        <v>16074.22</v>
      </c>
      <c r="J12" s="106">
        <f t="shared" si="5"/>
        <v>16319.005076142132</v>
      </c>
      <c r="K12" s="106">
        <f t="shared" si="1"/>
        <v>16319.005076142132</v>
      </c>
      <c r="L12" s="106">
        <f>+'FRONIUS-BYD 335Wp'!L12</f>
        <v>3250</v>
      </c>
      <c r="M12" s="106">
        <f t="shared" si="2"/>
        <v>19569.00507614213</v>
      </c>
      <c r="N12" s="106">
        <f>+IF(F12="","",F12*'Tabela de BDI'!$C$7)</f>
        <v>1799.44</v>
      </c>
      <c r="O12" s="106">
        <f>IF(F12="","",F12*'Tabela de BDI'!$C$8)</f>
        <v>1124.6500000000001</v>
      </c>
      <c r="P12" s="109">
        <f t="shared" si="3"/>
        <v>0.378331576897666</v>
      </c>
      <c r="Q12" s="110">
        <f t="shared" si="4"/>
        <v>5.5538271604938272</v>
      </c>
      <c r="R12" s="111">
        <f>+'Tabela de BDI'!$F$9*C12</f>
        <v>486</v>
      </c>
      <c r="S12" s="102"/>
    </row>
    <row r="13" spans="1:19" x14ac:dyDescent="0.25">
      <c r="A13" s="295"/>
      <c r="B13" s="103" t="s">
        <v>85</v>
      </c>
      <c r="C13" s="104">
        <f t="shared" si="0"/>
        <v>4.5</v>
      </c>
      <c r="D13" s="205" t="e">
        <f>+ABS('Preço SFCR-FRONIUS JINKO'!$G$43-C13)</f>
        <v>#DIV/0!</v>
      </c>
      <c r="E13" s="105">
        <f>+'FRONIUS-BYD 335Wp'!E13</f>
        <v>10</v>
      </c>
      <c r="F13" s="112">
        <f>+IF(K13=0,"",ROUND(M13/(1-'Tabela de BDI'!$C$3),0))</f>
        <v>24384</v>
      </c>
      <c r="G13" s="107" t="s">
        <v>69</v>
      </c>
      <c r="H13" s="106"/>
      <c r="I13" s="148">
        <v>17571.419999999998</v>
      </c>
      <c r="J13" s="106">
        <f t="shared" si="5"/>
        <v>17839.00507614213</v>
      </c>
      <c r="K13" s="106">
        <f t="shared" si="1"/>
        <v>17839.00507614213</v>
      </c>
      <c r="L13" s="106">
        <f>+'FRONIUS-BYD 335Wp'!L13</f>
        <v>3375</v>
      </c>
      <c r="M13" s="106">
        <f t="shared" si="2"/>
        <v>21214.00507614213</v>
      </c>
      <c r="N13" s="106">
        <f>+IF(F13="","",F13*'Tabela de BDI'!$C$7)</f>
        <v>1950.72</v>
      </c>
      <c r="O13" s="106">
        <f>IF(F13="","",F13*'Tabela de BDI'!$C$8)</f>
        <v>1219.2</v>
      </c>
      <c r="P13" s="109">
        <f t="shared" si="3"/>
        <v>0.36689237409384118</v>
      </c>
      <c r="Q13" s="110">
        <f t="shared" si="4"/>
        <v>5.4186666666666667</v>
      </c>
      <c r="R13" s="111">
        <f>+'Tabela de BDI'!$F$9*C13</f>
        <v>540</v>
      </c>
      <c r="S13" s="114"/>
    </row>
    <row r="14" spans="1:19" x14ac:dyDescent="0.25">
      <c r="A14" s="295"/>
      <c r="B14" s="103" t="s">
        <v>85</v>
      </c>
      <c r="C14" s="104">
        <f t="shared" si="0"/>
        <v>4.95</v>
      </c>
      <c r="D14" s="205" t="e">
        <f>+ABS('Preço SFCR-FRONIUS JINKO'!$G$43-C14)</f>
        <v>#DIV/0!</v>
      </c>
      <c r="E14" s="105">
        <f>+'FRONIUS-BYD 335Wp'!E14</f>
        <v>11</v>
      </c>
      <c r="F14" s="112">
        <f>+IF(K14=0,"",ROUND(M14/(1-'Tabela de BDI'!$C$3),0))</f>
        <v>25597</v>
      </c>
      <c r="G14" s="107" t="s">
        <v>288</v>
      </c>
      <c r="H14" s="106"/>
      <c r="I14" s="148">
        <v>18487.47</v>
      </c>
      <c r="J14" s="106">
        <f t="shared" si="5"/>
        <v>18769.005076142133</v>
      </c>
      <c r="K14" s="106">
        <f t="shared" si="1"/>
        <v>18769.005076142133</v>
      </c>
      <c r="L14" s="106">
        <f>+'FRONIUS-BYD 335Wp'!L14</f>
        <v>3500</v>
      </c>
      <c r="M14" s="106">
        <f t="shared" si="2"/>
        <v>22269.005076142133</v>
      </c>
      <c r="N14" s="106">
        <f>+IF(F14="","",F14*'Tabela de BDI'!$C$7)</f>
        <v>2047.76</v>
      </c>
      <c r="O14" s="106">
        <f>IF(F14="","",F14*'Tabela de BDI'!$C$8)</f>
        <v>1279.8500000000001</v>
      </c>
      <c r="P14" s="109">
        <f t="shared" si="3"/>
        <v>0.36379098924839354</v>
      </c>
      <c r="Q14" s="110">
        <f t="shared" si="4"/>
        <v>5.1711111111111112</v>
      </c>
      <c r="R14" s="111">
        <f>+'Tabela de BDI'!$F$9*C14</f>
        <v>594</v>
      </c>
      <c r="S14" s="114"/>
    </row>
    <row r="15" spans="1:19" x14ac:dyDescent="0.25">
      <c r="A15" s="295"/>
      <c r="B15" s="103" t="s">
        <v>85</v>
      </c>
      <c r="C15" s="104">
        <f t="shared" si="0"/>
        <v>5.4</v>
      </c>
      <c r="D15" s="205" t="e">
        <f>+ABS('Preço SFCR-FRONIUS JINKO'!$G$43-C15)</f>
        <v>#DIV/0!</v>
      </c>
      <c r="E15" s="105">
        <f>+'FRONIUS-BYD 335Wp'!E15</f>
        <v>12</v>
      </c>
      <c r="F15" s="112">
        <f>+IF(K15=0,"",ROUND(M15/(1-'Tabela de BDI'!$C$3),0))</f>
        <v>26809</v>
      </c>
      <c r="G15" s="107" t="s">
        <v>69</v>
      </c>
      <c r="H15" s="106"/>
      <c r="I15" s="148">
        <v>19403.52</v>
      </c>
      <c r="J15" s="106">
        <f t="shared" si="5"/>
        <v>19699.005076142133</v>
      </c>
      <c r="K15" s="106">
        <f t="shared" si="1"/>
        <v>19699.005076142133</v>
      </c>
      <c r="L15" s="106">
        <f>+'FRONIUS-BYD 335Wp'!L15</f>
        <v>3625</v>
      </c>
      <c r="M15" s="106">
        <f t="shared" si="2"/>
        <v>23324.005076142133</v>
      </c>
      <c r="N15" s="106">
        <f>+IF(F15="","",F15*'Tabela de BDI'!$C$7)</f>
        <v>2144.7200000000003</v>
      </c>
      <c r="O15" s="106">
        <f>IF(F15="","",F15*'Tabela de BDI'!$C$8)</f>
        <v>1340.45</v>
      </c>
      <c r="P15" s="109">
        <f t="shared" si="3"/>
        <v>0.3609316763144006</v>
      </c>
      <c r="Q15" s="110">
        <f t="shared" si="4"/>
        <v>4.9646296296296297</v>
      </c>
      <c r="R15" s="111">
        <f>+'Tabela de BDI'!$F$9*C15</f>
        <v>648</v>
      </c>
      <c r="S15" s="114"/>
    </row>
    <row r="16" spans="1:19" x14ac:dyDescent="0.25">
      <c r="A16" s="295"/>
      <c r="B16" s="103" t="s">
        <v>85</v>
      </c>
      <c r="C16" s="104">
        <f t="shared" si="0"/>
        <v>5.8500000000000005</v>
      </c>
      <c r="D16" s="205" t="e">
        <f>+ABS('Preço SFCR-FRONIUS JINKO'!$G$43-C16)</f>
        <v>#DIV/0!</v>
      </c>
      <c r="E16" s="105">
        <f>+'FRONIUS-BYD 335Wp'!E16</f>
        <v>13</v>
      </c>
      <c r="F16" s="112" t="str">
        <f>+IF(K16=0,"",ROUND(M16/(1-'Tabela de BDI'!$C$3),0))</f>
        <v/>
      </c>
      <c r="G16" s="107"/>
      <c r="H16" s="106"/>
      <c r="I16" s="148"/>
      <c r="J16" s="106">
        <f t="shared" si="5"/>
        <v>0</v>
      </c>
      <c r="K16" s="106">
        <f t="shared" si="1"/>
        <v>0</v>
      </c>
      <c r="L16" s="106">
        <f>+'FRONIUS-BYD 335Wp'!L16</f>
        <v>3750</v>
      </c>
      <c r="M16" s="106">
        <f t="shared" si="2"/>
        <v>3750</v>
      </c>
      <c r="N16" s="106" t="str">
        <f>+IF(F16="","",F16*'Tabela de BDI'!$C$7)</f>
        <v/>
      </c>
      <c r="O16" s="106" t="str">
        <f>IF(F16="","",F16*'Tabela de BDI'!$C$8)</f>
        <v/>
      </c>
      <c r="P16" s="109" t="str">
        <f t="shared" si="3"/>
        <v/>
      </c>
      <c r="Q16" s="110" t="str">
        <f t="shared" si="4"/>
        <v/>
      </c>
      <c r="R16" s="111">
        <f>+'Tabela de BDI'!$F$9*C16</f>
        <v>702.00000000000011</v>
      </c>
      <c r="S16" s="114"/>
    </row>
    <row r="17" spans="1:19" x14ac:dyDescent="0.25">
      <c r="A17" s="295"/>
      <c r="B17" s="103" t="s">
        <v>85</v>
      </c>
      <c r="C17" s="104">
        <f t="shared" si="0"/>
        <v>6.3</v>
      </c>
      <c r="D17" s="205" t="e">
        <f>+ABS('Preço SFCR-FRONIUS JINKO'!$G$43-C17)</f>
        <v>#DIV/0!</v>
      </c>
      <c r="E17" s="105">
        <f>+'FRONIUS-BYD 335Wp'!E17</f>
        <v>14</v>
      </c>
      <c r="F17" s="112">
        <f>+IF(K17=0,"",ROUND(M17/(1-'Tabela de BDI'!$C$3),0))</f>
        <v>30315</v>
      </c>
      <c r="G17" s="107" t="s">
        <v>70</v>
      </c>
      <c r="H17" s="106"/>
      <c r="I17" s="148">
        <v>22161.52</v>
      </c>
      <c r="J17" s="106">
        <f t="shared" si="5"/>
        <v>22499.005076142133</v>
      </c>
      <c r="K17" s="106">
        <f t="shared" si="1"/>
        <v>22499.005076142133</v>
      </c>
      <c r="L17" s="106">
        <f>+'FRONIUS-BYD 335Wp'!L17</f>
        <v>3875</v>
      </c>
      <c r="M17" s="106">
        <f t="shared" si="2"/>
        <v>26374.005076142133</v>
      </c>
      <c r="N17" s="106">
        <f>+IF(F17="","",F17*'Tabela de BDI'!$C$7)</f>
        <v>2425.2000000000003</v>
      </c>
      <c r="O17" s="106">
        <f>IF(F17="","",F17*'Tabela de BDI'!$C$8)</f>
        <v>1515.75</v>
      </c>
      <c r="P17" s="109">
        <f t="shared" si="3"/>
        <v>0.34739291348246865</v>
      </c>
      <c r="Q17" s="110">
        <f t="shared" si="4"/>
        <v>4.8119047619047626</v>
      </c>
      <c r="R17" s="111">
        <f>+'Tabela de BDI'!$F$9*C17</f>
        <v>756</v>
      </c>
      <c r="S17" s="114"/>
    </row>
    <row r="18" spans="1:19" x14ac:dyDescent="0.25">
      <c r="A18" s="295"/>
      <c r="B18" s="103" t="s">
        <v>85</v>
      </c>
      <c r="C18" s="104">
        <f t="shared" si="0"/>
        <v>6.75</v>
      </c>
      <c r="D18" s="205" t="e">
        <f>+ABS('Preço SFCR-FRONIUS JINKO'!$G$43-C18)</f>
        <v>#DIV/0!</v>
      </c>
      <c r="E18" s="105">
        <f>+'FRONIUS-BYD 335Wp'!E18</f>
        <v>15</v>
      </c>
      <c r="F18" s="112" t="str">
        <f>+IF(K18=0,"",ROUND(M18/(1-'Tabela de BDI'!$C$3),0))</f>
        <v/>
      </c>
      <c r="G18" s="107"/>
      <c r="H18" s="106"/>
      <c r="I18" s="146"/>
      <c r="J18" s="106">
        <f t="shared" si="5"/>
        <v>0</v>
      </c>
      <c r="K18" s="106">
        <f t="shared" si="1"/>
        <v>0</v>
      </c>
      <c r="L18" s="106">
        <f>+'FRONIUS-BYD 335Wp'!L18</f>
        <v>4000</v>
      </c>
      <c r="M18" s="106">
        <f t="shared" si="2"/>
        <v>4000</v>
      </c>
      <c r="N18" s="106" t="str">
        <f>+IF(F18="","",F18*'Tabela de BDI'!$C$7)</f>
        <v/>
      </c>
      <c r="O18" s="106" t="str">
        <f>IF(F18="","",F18*'Tabela de BDI'!$C$8)</f>
        <v/>
      </c>
      <c r="P18" s="109" t="str">
        <f t="shared" si="3"/>
        <v/>
      </c>
      <c r="Q18" s="110" t="str">
        <f t="shared" si="4"/>
        <v/>
      </c>
      <c r="R18" s="111">
        <f>+'Tabela de BDI'!$F$9*C18</f>
        <v>810</v>
      </c>
      <c r="S18" s="114"/>
    </row>
    <row r="19" spans="1:19" x14ac:dyDescent="0.25">
      <c r="A19" s="295"/>
      <c r="B19" s="103" t="s">
        <v>85</v>
      </c>
      <c r="C19" s="104">
        <f t="shared" si="0"/>
        <v>7.2</v>
      </c>
      <c r="D19" s="205" t="e">
        <f>+ABS('Preço SFCR-FRONIUS JINKO'!$G$43-C19)</f>
        <v>#DIV/0!</v>
      </c>
      <c r="E19" s="105">
        <f>+'FRONIUS-BYD 335Wp'!E19</f>
        <v>16</v>
      </c>
      <c r="F19" s="112">
        <f>+IF(K19=0,"",ROUND(M19/(1-'Tabela de BDI'!$C$3),0))</f>
        <v>32729</v>
      </c>
      <c r="G19" s="107" t="s">
        <v>235</v>
      </c>
      <c r="H19" s="106"/>
      <c r="I19" s="148">
        <v>23983.77</v>
      </c>
      <c r="J19" s="106">
        <f t="shared" si="5"/>
        <v>24349.005076142133</v>
      </c>
      <c r="K19" s="106">
        <f t="shared" si="1"/>
        <v>24349.005076142133</v>
      </c>
      <c r="L19" s="106">
        <f>+'FRONIUS-BYD 335Wp'!L19</f>
        <v>4125</v>
      </c>
      <c r="M19" s="106">
        <f t="shared" si="2"/>
        <v>28474.005076142133</v>
      </c>
      <c r="N19" s="106">
        <f>+IF(F19="","",F19*'Tabela de BDI'!$C$7)</f>
        <v>2618.3200000000002</v>
      </c>
      <c r="O19" s="106">
        <f>IF(F19="","",F19*'Tabela de BDI'!$C$8)</f>
        <v>1636.45</v>
      </c>
      <c r="P19" s="109">
        <f t="shared" si="3"/>
        <v>0.34416169768139027</v>
      </c>
      <c r="Q19" s="110">
        <f t="shared" si="4"/>
        <v>4.545694444444444</v>
      </c>
      <c r="R19" s="111">
        <f>+'Tabela de BDI'!$F$9*C19</f>
        <v>864</v>
      </c>
      <c r="S19" s="114"/>
    </row>
    <row r="20" spans="1:19" x14ac:dyDescent="0.25">
      <c r="A20" s="295"/>
      <c r="B20" s="103" t="s">
        <v>85</v>
      </c>
      <c r="C20" s="104">
        <f t="shared" si="0"/>
        <v>8.1</v>
      </c>
      <c r="D20" s="205" t="e">
        <f>+ABS('Preço SFCR-FRONIUS JINKO'!$G$43-C20)</f>
        <v>#DIV/0!</v>
      </c>
      <c r="E20" s="105">
        <f>+'FRONIUS-BYD 335Wp'!E21</f>
        <v>18</v>
      </c>
      <c r="F20" s="112">
        <f>+IF(K20=0,"",ROUND(M20/(1-'Tabela de BDI'!$C$3),0))</f>
        <v>37005</v>
      </c>
      <c r="G20" s="107" t="s">
        <v>71</v>
      </c>
      <c r="H20" s="106"/>
      <c r="I20" s="148">
        <v>27401.72</v>
      </c>
      <c r="J20" s="106">
        <f t="shared" si="5"/>
        <v>27819.005076142133</v>
      </c>
      <c r="K20" s="106">
        <f t="shared" si="1"/>
        <v>27819.005076142133</v>
      </c>
      <c r="L20" s="106">
        <f>+'FRONIUS-BYD 335Wp'!L21</f>
        <v>4375</v>
      </c>
      <c r="M20" s="106">
        <f t="shared" si="2"/>
        <v>32194.005076142133</v>
      </c>
      <c r="N20" s="106">
        <f>+IF(F20="","",F20*'Tabela de BDI'!$C$7)</f>
        <v>2960.4</v>
      </c>
      <c r="O20" s="106">
        <f>IF(F20="","",F20*'Tabela de BDI'!$C$8)</f>
        <v>1850.25</v>
      </c>
      <c r="P20" s="109">
        <f t="shared" si="3"/>
        <v>0.3302057316110083</v>
      </c>
      <c r="Q20" s="110">
        <f t="shared" si="4"/>
        <v>4.5685185185185189</v>
      </c>
      <c r="R20" s="111">
        <f>+'Tabela de BDI'!$F$9*C20</f>
        <v>972</v>
      </c>
      <c r="S20" s="114"/>
    </row>
    <row r="21" spans="1:19" x14ac:dyDescent="0.25">
      <c r="A21" s="295"/>
      <c r="B21" s="103" t="s">
        <v>85</v>
      </c>
      <c r="C21" s="104">
        <f t="shared" si="0"/>
        <v>8.5500000000000007</v>
      </c>
      <c r="D21" s="205" t="e">
        <f>+ABS('Preço SFCR-FRONIUS JINKO'!$G$43-C21)</f>
        <v>#DIV/0!</v>
      </c>
      <c r="E21" s="105">
        <f>+'FRONIUS-BYD 335Wp'!E22</f>
        <v>19</v>
      </c>
      <c r="F21" s="112" t="str">
        <f>+IF(K21=0,"",ROUND(M21/(1-'Tabela de BDI'!$C$3),0))</f>
        <v/>
      </c>
      <c r="G21" s="107"/>
      <c r="H21" s="106"/>
      <c r="I21" s="146"/>
      <c r="J21" s="106">
        <f t="shared" si="5"/>
        <v>0</v>
      </c>
      <c r="K21" s="106">
        <f>+H21+J21</f>
        <v>0</v>
      </c>
      <c r="L21" s="106">
        <f>+'FRONIUS-BYD 335Wp'!L22</f>
        <v>4500</v>
      </c>
      <c r="M21" s="106">
        <f t="shared" si="2"/>
        <v>4500</v>
      </c>
      <c r="N21" s="106" t="str">
        <f>+IF(F21="","",F21*'Tabela de BDI'!$C$7)</f>
        <v/>
      </c>
      <c r="O21" s="106" t="str">
        <f>IF(F21="","",F21*'Tabela de BDI'!$C$8)</f>
        <v/>
      </c>
      <c r="P21" s="109" t="str">
        <f t="shared" si="3"/>
        <v/>
      </c>
      <c r="Q21" s="110" t="str">
        <f t="shared" si="4"/>
        <v/>
      </c>
      <c r="R21" s="111">
        <f>+'Tabela de BDI'!$F$9*C21</f>
        <v>1026</v>
      </c>
      <c r="S21" s="114"/>
    </row>
    <row r="22" spans="1:19" x14ac:dyDescent="0.25">
      <c r="A22" s="295"/>
      <c r="B22" s="103" t="s">
        <v>85</v>
      </c>
      <c r="C22" s="104">
        <f t="shared" si="0"/>
        <v>9</v>
      </c>
      <c r="D22" s="205" t="e">
        <f>+ABS('Preço SFCR-FRONIUS JINKO'!$G$43-C22)</f>
        <v>#DIV/0!</v>
      </c>
      <c r="E22" s="105">
        <f>+'FRONIUS-BYD 335Wp'!E23</f>
        <v>20</v>
      </c>
      <c r="F22" s="112">
        <f>+IF(K22=0,"",ROUND(M22/(1-'Tabela de BDI'!$C$3),0))</f>
        <v>41614</v>
      </c>
      <c r="G22" s="107" t="s">
        <v>72</v>
      </c>
      <c r="H22" s="106"/>
      <c r="I22" s="148">
        <v>31105.32</v>
      </c>
      <c r="J22" s="106">
        <f t="shared" si="5"/>
        <v>31579.005076142133</v>
      </c>
      <c r="K22" s="106">
        <f t="shared" si="1"/>
        <v>31579.005076142133</v>
      </c>
      <c r="L22" s="106">
        <f>+'FRONIUS-BYD 335Wp'!L23</f>
        <v>4625</v>
      </c>
      <c r="M22" s="106">
        <f t="shared" si="2"/>
        <v>36204.00507614213</v>
      </c>
      <c r="N22" s="106">
        <f>+IF(F22="","",F22*'Tabela de BDI'!$C$7)</f>
        <v>3329.12</v>
      </c>
      <c r="O22" s="106">
        <f>IF(F22="","",F22*'Tabela de BDI'!$C$8)</f>
        <v>2080.7000000000003</v>
      </c>
      <c r="P22" s="109">
        <f t="shared" si="3"/>
        <v>0.31777425855127028</v>
      </c>
      <c r="Q22" s="110">
        <f t="shared" si="4"/>
        <v>4.6237777777777778</v>
      </c>
      <c r="R22" s="111">
        <f>+'Tabela de BDI'!$F$9*C22</f>
        <v>1080</v>
      </c>
      <c r="S22" s="114"/>
    </row>
    <row r="23" spans="1:19" x14ac:dyDescent="0.25">
      <c r="A23" s="295"/>
      <c r="B23" s="103" t="s">
        <v>85</v>
      </c>
      <c r="C23" s="104">
        <f t="shared" si="0"/>
        <v>9.9</v>
      </c>
      <c r="D23" s="205" t="e">
        <f>+ABS('Preço SFCR-FRONIUS JINKO'!$G$43-C23)</f>
        <v>#DIV/0!</v>
      </c>
      <c r="E23" s="105">
        <f>+'FRONIUS-BYD 335Wp'!E25</f>
        <v>22</v>
      </c>
      <c r="F23" s="112">
        <f>+IF(K23=0,"",ROUND(M23/(1-'Tabela de BDI'!$C$3),0))</f>
        <v>44407</v>
      </c>
      <c r="G23" s="107" t="s">
        <v>72</v>
      </c>
      <c r="H23" s="106"/>
      <c r="I23" s="148">
        <v>33252.620000000003</v>
      </c>
      <c r="J23" s="106">
        <f t="shared" si="5"/>
        <v>33759.005076142137</v>
      </c>
      <c r="K23" s="106">
        <f t="shared" si="1"/>
        <v>33759.005076142137</v>
      </c>
      <c r="L23" s="106">
        <f>+'FRONIUS-BYD 335Wp'!L25</f>
        <v>4875</v>
      </c>
      <c r="M23" s="106">
        <f t="shared" si="2"/>
        <v>38634.005076142137</v>
      </c>
      <c r="N23" s="106">
        <f>+IF(F23="","",F23*'Tabela de BDI'!$C$7)</f>
        <v>3552.56</v>
      </c>
      <c r="O23" s="106">
        <f>IF(F23="","",F23*'Tabela de BDI'!$C$8)</f>
        <v>2220.35</v>
      </c>
      <c r="P23" s="109">
        <f t="shared" si="3"/>
        <v>0.31541198858916963</v>
      </c>
      <c r="Q23" s="110">
        <f t="shared" si="4"/>
        <v>4.485555555555556</v>
      </c>
      <c r="R23" s="111">
        <f>+'Tabela de BDI'!$F$9*C23</f>
        <v>1188</v>
      </c>
      <c r="S23" s="114"/>
    </row>
    <row r="24" spans="1:19" x14ac:dyDescent="0.25">
      <c r="A24" s="295"/>
      <c r="B24" s="103" t="s">
        <v>85</v>
      </c>
      <c r="C24" s="104">
        <f t="shared" si="0"/>
        <v>10.35</v>
      </c>
      <c r="D24" s="205" t="e">
        <f>+ABS('Preço SFCR-FRONIUS JINKO'!$G$43-C24)</f>
        <v>#DIV/0!</v>
      </c>
      <c r="E24" s="105">
        <f>+'FRONIUS-BYD 335Wp'!E26</f>
        <v>23</v>
      </c>
      <c r="F24" s="112" t="str">
        <f>+IF(K24=0,"",ROUND(M24/(1-'Tabela de BDI'!$C$3),0))</f>
        <v/>
      </c>
      <c r="G24" s="107"/>
      <c r="H24" s="106"/>
      <c r="I24" s="146"/>
      <c r="J24" s="106">
        <f t="shared" si="5"/>
        <v>0</v>
      </c>
      <c r="K24" s="106">
        <f t="shared" si="1"/>
        <v>0</v>
      </c>
      <c r="L24" s="106">
        <f>+'FRONIUS-BYD 335Wp'!L26</f>
        <v>5000</v>
      </c>
      <c r="M24" s="106">
        <f t="shared" si="2"/>
        <v>5000</v>
      </c>
      <c r="N24" s="106" t="str">
        <f>+IF(F24="","",F24*'Tabela de BDI'!$C$7)</f>
        <v/>
      </c>
      <c r="O24" s="106" t="str">
        <f>IF(F24="","",F24*'Tabela de BDI'!$C$8)</f>
        <v/>
      </c>
      <c r="P24" s="109" t="str">
        <f t="shared" si="3"/>
        <v/>
      </c>
      <c r="Q24" s="110" t="str">
        <f t="shared" si="4"/>
        <v/>
      </c>
      <c r="R24" s="111">
        <f>+'Tabela de BDI'!$F$9*C24</f>
        <v>1242</v>
      </c>
      <c r="S24" s="114"/>
    </row>
    <row r="25" spans="1:19" x14ac:dyDescent="0.25">
      <c r="A25" s="295"/>
      <c r="B25" s="103" t="s">
        <v>85</v>
      </c>
      <c r="C25" s="104">
        <f t="shared" si="0"/>
        <v>10.8</v>
      </c>
      <c r="D25" s="205" t="e">
        <f>+ABS('Preço SFCR-FRONIUS JINKO'!$G$43-C25)</f>
        <v>#DIV/0!</v>
      </c>
      <c r="E25" s="105">
        <f>+'FRONIUS-BYD 335Wp'!E27</f>
        <v>24</v>
      </c>
      <c r="F25" s="112">
        <f>+IF(K25=0,"",ROUND(M25/(1-'Tabela de BDI'!$C$3),0))</f>
        <v>46832</v>
      </c>
      <c r="G25" s="107" t="s">
        <v>72</v>
      </c>
      <c r="H25" s="106"/>
      <c r="I25" s="148">
        <v>35084.720000000001</v>
      </c>
      <c r="J25" s="106">
        <f t="shared" si="5"/>
        <v>35619.005076142137</v>
      </c>
      <c r="K25" s="106">
        <f t="shared" si="1"/>
        <v>35619.005076142137</v>
      </c>
      <c r="L25" s="106">
        <f>+'FRONIUS-BYD 335Wp'!L27</f>
        <v>5125</v>
      </c>
      <c r="M25" s="106">
        <f t="shared" si="2"/>
        <v>40744.005076142137</v>
      </c>
      <c r="N25" s="106">
        <f>+IF(F25="","",F25*'Tabela de BDI'!$C$7)</f>
        <v>3746.56</v>
      </c>
      <c r="O25" s="106">
        <f>IF(F25="","",F25*'Tabela de BDI'!$C$8)</f>
        <v>2341.6</v>
      </c>
      <c r="P25" s="109">
        <f t="shared" si="3"/>
        <v>0.3148037094210811</v>
      </c>
      <c r="Q25" s="110">
        <f t="shared" si="4"/>
        <v>4.3362962962962959</v>
      </c>
      <c r="R25" s="111">
        <f>+'Tabela de BDI'!$F$9*C25</f>
        <v>1296</v>
      </c>
      <c r="S25" s="114"/>
    </row>
    <row r="26" spans="1:19" x14ac:dyDescent="0.25">
      <c r="A26" s="295"/>
      <c r="B26" s="103" t="s">
        <v>85</v>
      </c>
      <c r="C26" s="104">
        <f t="shared" si="0"/>
        <v>11.25</v>
      </c>
      <c r="D26" s="205" t="e">
        <f>+ABS('Preço SFCR-FRONIUS JINKO'!$G$43-C26)</f>
        <v>#DIV/0!</v>
      </c>
      <c r="E26" s="105">
        <f>+'FRONIUS-BYD 335Wp'!E28</f>
        <v>25</v>
      </c>
      <c r="F26" s="112" t="str">
        <f>+IF(K26=0,"",ROUND(M26/(1-'Tabela de BDI'!$C$3),0))</f>
        <v/>
      </c>
      <c r="G26" s="107"/>
      <c r="H26" s="106"/>
      <c r="I26" s="146"/>
      <c r="J26" s="106">
        <f t="shared" si="5"/>
        <v>0</v>
      </c>
      <c r="K26" s="106">
        <f t="shared" si="1"/>
        <v>0</v>
      </c>
      <c r="L26" s="106">
        <f>+'FRONIUS-BYD 335Wp'!L28</f>
        <v>5250</v>
      </c>
      <c r="M26" s="106">
        <f t="shared" si="2"/>
        <v>5250</v>
      </c>
      <c r="N26" s="106" t="str">
        <f>+IF(F26="","",F26*'Tabela de BDI'!$C$7)</f>
        <v/>
      </c>
      <c r="O26" s="106" t="str">
        <f>IF(F26="","",F26*'Tabela de BDI'!$C$8)</f>
        <v/>
      </c>
      <c r="P26" s="109" t="str">
        <f t="shared" si="3"/>
        <v/>
      </c>
      <c r="Q26" s="110" t="str">
        <f t="shared" si="4"/>
        <v/>
      </c>
      <c r="R26" s="111">
        <f>+'Tabela de BDI'!$F$9*C26</f>
        <v>1350</v>
      </c>
      <c r="S26" s="114"/>
    </row>
    <row r="27" spans="1:19" x14ac:dyDescent="0.25">
      <c r="A27" s="295"/>
      <c r="B27" s="103" t="s">
        <v>85</v>
      </c>
      <c r="C27" s="104">
        <f t="shared" si="0"/>
        <v>11.700000000000001</v>
      </c>
      <c r="D27" s="205" t="e">
        <f>+ABS('Preço SFCR-FRONIUS JINKO'!$G$43-C27)</f>
        <v>#DIV/0!</v>
      </c>
      <c r="E27" s="105">
        <f>+'FRONIUS-BYD 335Wp'!E29</f>
        <v>26</v>
      </c>
      <c r="F27" s="112" t="str">
        <f>+IF(K27=0,"",ROUND(M27/(1-'Tabela de BDI'!$C$3),0))</f>
        <v/>
      </c>
      <c r="G27" s="107"/>
      <c r="H27" s="106"/>
      <c r="I27" s="146"/>
      <c r="J27" s="106">
        <f t="shared" si="5"/>
        <v>0</v>
      </c>
      <c r="K27" s="106">
        <f t="shared" si="1"/>
        <v>0</v>
      </c>
      <c r="L27" s="106">
        <f>+'FRONIUS-BYD 335Wp'!L29</f>
        <v>5375</v>
      </c>
      <c r="M27" s="106">
        <f t="shared" si="2"/>
        <v>5375</v>
      </c>
      <c r="N27" s="106" t="str">
        <f>+IF(F27="","",F27*'Tabela de BDI'!$C$7)</f>
        <v/>
      </c>
      <c r="O27" s="106" t="str">
        <f>IF(F27="","",F27*'Tabela de BDI'!$C$8)</f>
        <v/>
      </c>
      <c r="P27" s="109" t="str">
        <f t="shared" si="3"/>
        <v/>
      </c>
      <c r="Q27" s="110" t="str">
        <f t="shared" si="4"/>
        <v/>
      </c>
      <c r="R27" s="111">
        <f>+'Tabela de BDI'!$F$9*C27</f>
        <v>1404.0000000000002</v>
      </c>
      <c r="S27" s="114"/>
    </row>
    <row r="28" spans="1:19" x14ac:dyDescent="0.25">
      <c r="A28" s="295"/>
      <c r="B28" s="103" t="s">
        <v>85</v>
      </c>
      <c r="C28" s="104">
        <f t="shared" si="0"/>
        <v>12.6</v>
      </c>
      <c r="D28" s="205" t="e">
        <f>+ABS('Preço SFCR-FRONIUS JINKO'!$G$43-C28)</f>
        <v>#DIV/0!</v>
      </c>
      <c r="E28" s="105">
        <f>+'FRONIUS-BYD 335Wp'!E30</f>
        <v>28</v>
      </c>
      <c r="F28" s="112">
        <f>+IF(K28=0,"",ROUND(M28/(1-'Tabela de BDI'!$C$3),0))</f>
        <v>58187</v>
      </c>
      <c r="G28" s="230" t="s">
        <v>244</v>
      </c>
      <c r="H28" s="106"/>
      <c r="I28" s="146">
        <f>2*I17</f>
        <v>44323.040000000001</v>
      </c>
      <c r="J28" s="106">
        <f t="shared" si="5"/>
        <v>44998.010152284267</v>
      </c>
      <c r="K28" s="106">
        <f t="shared" si="1"/>
        <v>44998.010152284267</v>
      </c>
      <c r="L28" s="106">
        <f>+'FRONIUS-BYD 335Wp'!L30</f>
        <v>5625</v>
      </c>
      <c r="M28" s="106">
        <f t="shared" si="2"/>
        <v>50623.010152284267</v>
      </c>
      <c r="N28" s="106">
        <f>+IF(F28="","",F28*'Tabela de BDI'!$C$7)</f>
        <v>4654.96</v>
      </c>
      <c r="O28" s="106">
        <f>IF(F28="","",F28*'Tabela de BDI'!$C$8)</f>
        <v>2909.3500000000004</v>
      </c>
      <c r="P28" s="109">
        <f t="shared" si="3"/>
        <v>0.29310162389583377</v>
      </c>
      <c r="Q28" s="110">
        <f t="shared" si="4"/>
        <v>4.6180158730158727</v>
      </c>
      <c r="R28" s="111">
        <f>+'Tabela de BDI'!$F$9*C28</f>
        <v>1512</v>
      </c>
      <c r="S28" s="114"/>
    </row>
    <row r="29" spans="1:19" x14ac:dyDescent="0.25">
      <c r="A29" s="295"/>
      <c r="B29" s="103" t="s">
        <v>85</v>
      </c>
      <c r="C29" s="104">
        <f t="shared" si="0"/>
        <v>13.5</v>
      </c>
      <c r="D29" s="205" t="e">
        <f>+ABS('Preço SFCR-FRONIUS JINKO'!$G$43-C29)</f>
        <v>#DIV/0!</v>
      </c>
      <c r="E29" s="105">
        <f>+'FRONIUS-BYD 335Wp'!E31</f>
        <v>30</v>
      </c>
      <c r="F29" s="112">
        <f>+IF(K29=0,"",ROUND(M29/(1-'Tabela de BDI'!$C$3),0))</f>
        <v>61901</v>
      </c>
      <c r="G29" s="230" t="s">
        <v>258</v>
      </c>
      <c r="H29" s="106"/>
      <c r="I29" s="148">
        <v>47259.32</v>
      </c>
      <c r="J29" s="106">
        <f t="shared" si="5"/>
        <v>47979.00507614213</v>
      </c>
      <c r="K29" s="106">
        <f t="shared" si="1"/>
        <v>47979.00507614213</v>
      </c>
      <c r="L29" s="106">
        <f>+'FRONIUS-BYD 335Wp'!L31</f>
        <v>5875</v>
      </c>
      <c r="M29" s="106">
        <f t="shared" si="2"/>
        <v>53854.00507614213</v>
      </c>
      <c r="N29" s="106">
        <f>+IF(F29="","",F29*'Tabela de BDI'!$C$7)</f>
        <v>4952.08</v>
      </c>
      <c r="O29" s="106">
        <f>IF(F29="","",F29*'Tabela de BDI'!$C$8)</f>
        <v>3095.05</v>
      </c>
      <c r="P29" s="109">
        <f t="shared" si="3"/>
        <v>0.29016847893706477</v>
      </c>
      <c r="Q29" s="110">
        <f t="shared" si="4"/>
        <v>4.5852592592592591</v>
      </c>
      <c r="R29" s="111">
        <f>+'Tabela de BDI'!$F$9*C29</f>
        <v>1620</v>
      </c>
      <c r="S29" s="114"/>
    </row>
    <row r="30" spans="1:19" x14ac:dyDescent="0.25">
      <c r="A30" s="295"/>
      <c r="B30" s="103" t="s">
        <v>85</v>
      </c>
      <c r="C30" s="104">
        <f t="shared" si="0"/>
        <v>14.4</v>
      </c>
      <c r="D30" s="205" t="e">
        <f>+ABS('Preço SFCR-FRONIUS JINKO'!$G$43-C30)</f>
        <v>#DIV/0!</v>
      </c>
      <c r="E30" s="105">
        <f>+'FRONIUS-BYD 335Wp'!E32</f>
        <v>32</v>
      </c>
      <c r="F30" s="112">
        <f>+IF(K30=0,"",ROUND(M30/(1-'Tabela de BDI'!$C$3),0))</f>
        <v>62970</v>
      </c>
      <c r="G30" s="230" t="s">
        <v>76</v>
      </c>
      <c r="H30" s="106"/>
      <c r="I30" s="148">
        <v>47929.120000000003</v>
      </c>
      <c r="J30" s="106">
        <f t="shared" si="5"/>
        <v>48659.005076142137</v>
      </c>
      <c r="K30" s="106">
        <f t="shared" si="1"/>
        <v>48659.005076142137</v>
      </c>
      <c r="L30" s="106">
        <f>+'FRONIUS-BYD 335Wp'!L32</f>
        <v>6125</v>
      </c>
      <c r="M30" s="106">
        <f t="shared" si="2"/>
        <v>54784.005076142137</v>
      </c>
      <c r="N30" s="106">
        <f>+IF(F30="","",F30*'Tabela de BDI'!$C$7)</f>
        <v>5037.6000000000004</v>
      </c>
      <c r="O30" s="106">
        <f>IF(F30="","",F30*'Tabela de BDI'!$C$8)</f>
        <v>3148.5</v>
      </c>
      <c r="P30" s="109">
        <f t="shared" si="3"/>
        <v>0.29410784091174619</v>
      </c>
      <c r="Q30" s="110">
        <f t="shared" si="4"/>
        <v>4.3729166666666668</v>
      </c>
      <c r="R30" s="111">
        <f>+'Tabela de BDI'!$F$9*C30</f>
        <v>1728</v>
      </c>
      <c r="S30" s="114"/>
    </row>
    <row r="31" spans="1:19" ht="15.75" customHeight="1" x14ac:dyDescent="0.25">
      <c r="A31" s="295"/>
      <c r="B31" s="103" t="s">
        <v>85</v>
      </c>
      <c r="C31" s="104">
        <f t="shared" si="0"/>
        <v>15.3</v>
      </c>
      <c r="D31" s="205" t="e">
        <f>+ABS('Preço SFCR-FRONIUS JINKO'!$G$43-C31)</f>
        <v>#DIV/0!</v>
      </c>
      <c r="E31" s="105">
        <f>+'FRONIUS-BYD 335Wp'!E33</f>
        <v>34</v>
      </c>
      <c r="F31" s="112">
        <f>+IF(K31=0,"",ROUND(M31/(1-'Tabela de BDI'!$C$3),0))</f>
        <v>66401</v>
      </c>
      <c r="G31" s="230" t="s">
        <v>76</v>
      </c>
      <c r="H31" s="106"/>
      <c r="I31" s="148">
        <v>50007.47</v>
      </c>
      <c r="J31" s="106">
        <f t="shared" si="5"/>
        <v>50769.005076142137</v>
      </c>
      <c r="K31" s="106">
        <f t="shared" si="1"/>
        <v>50769.005076142137</v>
      </c>
      <c r="L31" s="106">
        <f>+'FRONIUS-BYD 335Wp'!L33</f>
        <v>7000</v>
      </c>
      <c r="M31" s="106">
        <f t="shared" si="2"/>
        <v>57769.005076142137</v>
      </c>
      <c r="N31" s="106">
        <f>+IF(F31="","",F31*'Tabela de BDI'!$C$7)</f>
        <v>5312.08</v>
      </c>
      <c r="O31" s="106">
        <f>IF(F31="","",F31*'Tabela de BDI'!$C$8)</f>
        <v>3320.05</v>
      </c>
      <c r="P31" s="109">
        <f t="shared" si="3"/>
        <v>0.30790429909771466</v>
      </c>
      <c r="Q31" s="110">
        <f t="shared" si="4"/>
        <v>4.3399346405228751</v>
      </c>
      <c r="R31" s="111">
        <f>+'Tabela de BDI'!$F$9*C31</f>
        <v>1836</v>
      </c>
      <c r="S31" s="114"/>
    </row>
    <row r="32" spans="1:19" ht="15.75" customHeight="1" x14ac:dyDescent="0.25">
      <c r="A32" s="295"/>
      <c r="B32" s="103" t="s">
        <v>85</v>
      </c>
      <c r="C32" s="104">
        <f t="shared" si="0"/>
        <v>16.2</v>
      </c>
      <c r="D32" s="205" t="e">
        <f>+ABS('Preço SFCR-FRONIUS JINKO'!$G$43-C32)</f>
        <v>#DIV/0!</v>
      </c>
      <c r="E32" s="105">
        <f>+'FRONIUS-BYD 335Wp'!E34</f>
        <v>36</v>
      </c>
      <c r="F32" s="112">
        <f>+IF(K32=0,"",ROUND(M32/(1-'Tabela de BDI'!$C$3),0))</f>
        <v>68746</v>
      </c>
      <c r="G32" s="230" t="s">
        <v>76</v>
      </c>
      <c r="H32" s="106"/>
      <c r="I32" s="148">
        <v>51770.62</v>
      </c>
      <c r="J32" s="106">
        <f t="shared" si="5"/>
        <v>52559.005076142137</v>
      </c>
      <c r="K32" s="106">
        <f t="shared" si="1"/>
        <v>52559.005076142137</v>
      </c>
      <c r="L32" s="106">
        <f>+'FRONIUS-BYD 335Wp'!L34</f>
        <v>7250</v>
      </c>
      <c r="M32" s="106">
        <f t="shared" si="2"/>
        <v>59809.005076142137</v>
      </c>
      <c r="N32" s="106">
        <f>+IF(F32="","",F32*'Tabela de BDI'!$C$7)</f>
        <v>5499.68</v>
      </c>
      <c r="O32" s="106">
        <f>IF(F32="","",F32*'Tabela de BDI'!$C$8)</f>
        <v>3437.3</v>
      </c>
      <c r="P32" s="109">
        <f t="shared" si="3"/>
        <v>0.30797757492570099</v>
      </c>
      <c r="Q32" s="110">
        <f t="shared" si="4"/>
        <v>4.2435802469135808</v>
      </c>
      <c r="R32" s="111">
        <f>+'Tabela de BDI'!$F$9*C32</f>
        <v>1944</v>
      </c>
      <c r="S32" s="114"/>
    </row>
    <row r="33" spans="1:19" ht="15.75" customHeight="1" x14ac:dyDescent="0.25">
      <c r="A33" s="295"/>
      <c r="B33" s="103" t="s">
        <v>85</v>
      </c>
      <c r="C33" s="104">
        <f t="shared" si="0"/>
        <v>17.100000000000001</v>
      </c>
      <c r="D33" s="205" t="e">
        <f>+ABS('Preço SFCR-FRONIUS JINKO'!$G$43-C33)</f>
        <v>#DIV/0!</v>
      </c>
      <c r="E33" s="105">
        <f>+'FRONIUS-BYD 335Wp'!E35</f>
        <v>38</v>
      </c>
      <c r="F33" s="112" t="str">
        <f>+IF(K33=0,"",ROUND(M33/(1-'Tabela de BDI'!$C$3),0))</f>
        <v/>
      </c>
      <c r="G33" s="230"/>
      <c r="H33" s="106"/>
      <c r="I33" s="146"/>
      <c r="J33" s="106">
        <f t="shared" si="5"/>
        <v>0</v>
      </c>
      <c r="K33" s="106">
        <f t="shared" si="1"/>
        <v>0</v>
      </c>
      <c r="L33" s="106">
        <f>+'FRONIUS-BYD 335Wp'!L35</f>
        <v>7500</v>
      </c>
      <c r="M33" s="106">
        <f t="shared" si="2"/>
        <v>7500</v>
      </c>
      <c r="N33" s="106" t="str">
        <f>+IF(F33="","",F33*'Tabela de BDI'!$C$7)</f>
        <v/>
      </c>
      <c r="O33" s="106" t="str">
        <f>IF(F33="","",F33*'Tabela de BDI'!$C$8)</f>
        <v/>
      </c>
      <c r="P33" s="109" t="str">
        <f t="shared" si="3"/>
        <v/>
      </c>
      <c r="Q33" s="110" t="str">
        <f t="shared" si="4"/>
        <v/>
      </c>
      <c r="R33" s="111">
        <f>+'Tabela de BDI'!$F$9*C33</f>
        <v>2052</v>
      </c>
      <c r="S33" s="114"/>
    </row>
    <row r="34" spans="1:19" ht="15.75" customHeight="1" x14ac:dyDescent="0.25">
      <c r="A34" s="295"/>
      <c r="B34" s="103" t="s">
        <v>85</v>
      </c>
      <c r="C34" s="104">
        <f t="shared" si="0"/>
        <v>18</v>
      </c>
      <c r="D34" s="205" t="e">
        <f>+ABS('Preço SFCR-FRONIUS JINKO'!$G$43-C34)</f>
        <v>#DIV/0!</v>
      </c>
      <c r="E34" s="105">
        <f>+'FRONIUS-BYD 335Wp'!E36</f>
        <v>40</v>
      </c>
      <c r="F34" s="112">
        <f>+IF(K34=0,"",ROUND(M34/(1-'Tabela de BDI'!$C$3),0))</f>
        <v>75194</v>
      </c>
      <c r="G34" s="230" t="s">
        <v>76</v>
      </c>
      <c r="H34" s="106"/>
      <c r="I34" s="148">
        <v>56803.97</v>
      </c>
      <c r="J34" s="106">
        <f t="shared" si="5"/>
        <v>57669.005076142137</v>
      </c>
      <c r="K34" s="106">
        <f t="shared" si="1"/>
        <v>57669.005076142137</v>
      </c>
      <c r="L34" s="106">
        <f>+'FRONIUS-BYD 335Wp'!L36</f>
        <v>7750</v>
      </c>
      <c r="M34" s="106">
        <f t="shared" si="2"/>
        <v>65419.005076142137</v>
      </c>
      <c r="N34" s="106">
        <f>+IF(F34="","",F34*'Tabela de BDI'!$C$7)</f>
        <v>6015.52</v>
      </c>
      <c r="O34" s="106">
        <f>IF(F34="","",F34*'Tabela de BDI'!$C$8)</f>
        <v>3759.7000000000003</v>
      </c>
      <c r="P34" s="109">
        <f t="shared" si="3"/>
        <v>0.30388932322864043</v>
      </c>
      <c r="Q34" s="110">
        <f t="shared" si="4"/>
        <v>4.1774444444444443</v>
      </c>
      <c r="R34" s="111">
        <f>+'Tabela de BDI'!$F$9*C34</f>
        <v>2160</v>
      </c>
      <c r="S34" s="114"/>
    </row>
    <row r="35" spans="1:19" ht="15.75" customHeight="1" x14ac:dyDescent="0.25">
      <c r="A35" s="295"/>
      <c r="B35" s="103" t="s">
        <v>85</v>
      </c>
      <c r="C35" s="104">
        <f t="shared" si="0"/>
        <v>18.900000000000002</v>
      </c>
      <c r="D35" s="205" t="e">
        <f>+ABS('Preço SFCR-FRONIUS JINKO'!$G$43-C35)</f>
        <v>#DIV/0!</v>
      </c>
      <c r="E35" s="105">
        <f>+'FRONIUS-BYD 335Wp'!E37</f>
        <v>42</v>
      </c>
      <c r="F35" s="112">
        <f>+IF(K35=0,"",ROUND(M35/(1-'Tabela de BDI'!$C$3),0))</f>
        <v>77803</v>
      </c>
      <c r="G35" s="107" t="s">
        <v>76</v>
      </c>
      <c r="H35" s="106"/>
      <c r="I35" s="148">
        <v>58793.67</v>
      </c>
      <c r="J35" s="106">
        <f>+I35/(1-$I$5)</f>
        <v>59689.00507614213</v>
      </c>
      <c r="K35" s="106">
        <f t="shared" si="1"/>
        <v>59689.00507614213</v>
      </c>
      <c r="L35" s="106">
        <f>+'FRONIUS-BYD 335Wp'!L37</f>
        <v>8000</v>
      </c>
      <c r="M35" s="106">
        <f t="shared" si="2"/>
        <v>67689.00507614213</v>
      </c>
      <c r="N35" s="106">
        <f>+IF(F35="","",F35*'Tabela de BDI'!$C$7)</f>
        <v>6224.24</v>
      </c>
      <c r="O35" s="106">
        <f>IF(F35="","",F35*'Tabela de BDI'!$C$8)</f>
        <v>3890.15</v>
      </c>
      <c r="P35" s="109">
        <f t="shared" si="3"/>
        <v>0.30347289087413665</v>
      </c>
      <c r="Q35" s="110">
        <f t="shared" si="4"/>
        <v>4.1165608465608461</v>
      </c>
      <c r="R35" s="111">
        <f>+'Tabela de BDI'!$F$9*C35</f>
        <v>2268.0000000000005</v>
      </c>
      <c r="S35" s="114"/>
    </row>
    <row r="36" spans="1:19" ht="15.75" customHeight="1" x14ac:dyDescent="0.25">
      <c r="A36" s="295"/>
      <c r="B36" s="103" t="s">
        <v>85</v>
      </c>
      <c r="C36" s="104">
        <f t="shared" si="0"/>
        <v>19.8</v>
      </c>
      <c r="D36" s="205" t="e">
        <f>+ABS('Preço SFCR-FRONIUS JINKO'!$G$43-C36)</f>
        <v>#DIV/0!</v>
      </c>
      <c r="E36" s="105">
        <f>+'FRONIUS-BYD 335Wp'!E38</f>
        <v>44</v>
      </c>
      <c r="F36" s="112">
        <f>+IF(K36=0,"",ROUND(M36/(1-'Tabela de BDI'!$C$3),0))</f>
        <v>80252</v>
      </c>
      <c r="G36" s="107" t="s">
        <v>76</v>
      </c>
      <c r="H36" s="106"/>
      <c r="I36" s="148">
        <v>60645.47</v>
      </c>
      <c r="J36" s="106">
        <f t="shared" si="5"/>
        <v>61569.005076142137</v>
      </c>
      <c r="K36" s="106">
        <f t="shared" si="1"/>
        <v>61569.005076142137</v>
      </c>
      <c r="L36" s="106">
        <f>+'FRONIUS-BYD 335Wp'!L38</f>
        <v>8250</v>
      </c>
      <c r="M36" s="106">
        <f t="shared" si="2"/>
        <v>69819.005076142144</v>
      </c>
      <c r="N36" s="106">
        <f>+IF(F36="","",F36*'Tabela de BDI'!$C$7)</f>
        <v>6420.16</v>
      </c>
      <c r="O36" s="106">
        <f>IF(F36="","",F36*'Tabela de BDI'!$C$8)</f>
        <v>4012.6000000000004</v>
      </c>
      <c r="P36" s="109">
        <f t="shared" si="3"/>
        <v>0.30344805638409583</v>
      </c>
      <c r="Q36" s="110">
        <f t="shared" si="4"/>
        <v>4.0531313131313134</v>
      </c>
      <c r="R36" s="111">
        <f>+'Tabela de BDI'!$F$9*C36</f>
        <v>2376</v>
      </c>
      <c r="S36" s="114"/>
    </row>
    <row r="37" spans="1:19" ht="15.75" customHeight="1" x14ac:dyDescent="0.25">
      <c r="A37" s="295"/>
      <c r="B37" s="103" t="s">
        <v>85</v>
      </c>
      <c r="C37" s="104">
        <f t="shared" si="0"/>
        <v>20.7</v>
      </c>
      <c r="D37" s="205" t="e">
        <f>+ABS('Preço SFCR-FRONIUS JINKO'!$G$43-C37)</f>
        <v>#DIV/0!</v>
      </c>
      <c r="E37" s="105">
        <f>+'FRONIUS-BYD 335Wp'!E39</f>
        <v>46</v>
      </c>
      <c r="F37" s="112" t="str">
        <f>+IF(K37=0,"",ROUND(M37/(1-'Tabela de BDI'!$C$3),0))</f>
        <v/>
      </c>
      <c r="G37" s="107"/>
      <c r="H37" s="106"/>
      <c r="I37" s="146"/>
      <c r="J37" s="106">
        <f t="shared" si="5"/>
        <v>0</v>
      </c>
      <c r="K37" s="106">
        <f t="shared" si="1"/>
        <v>0</v>
      </c>
      <c r="L37" s="106">
        <f>+'FRONIUS-BYD 335Wp'!L39</f>
        <v>8500</v>
      </c>
      <c r="M37" s="106">
        <f t="shared" si="2"/>
        <v>8500</v>
      </c>
      <c r="N37" s="106" t="str">
        <f>+IF(F37="","",F37*'Tabela de BDI'!$C$7)</f>
        <v/>
      </c>
      <c r="O37" s="106" t="str">
        <f>IF(F37="","",F37*'Tabela de BDI'!$C$8)</f>
        <v/>
      </c>
      <c r="P37" s="109" t="str">
        <f t="shared" si="3"/>
        <v/>
      </c>
      <c r="Q37" s="110" t="str">
        <f t="shared" si="4"/>
        <v/>
      </c>
      <c r="R37" s="111">
        <f>+'Tabela de BDI'!$F$9*C37</f>
        <v>2484</v>
      </c>
      <c r="S37" s="114"/>
    </row>
    <row r="38" spans="1:19" ht="15.75" customHeight="1" x14ac:dyDescent="0.25">
      <c r="A38" s="295"/>
      <c r="B38" s="103" t="s">
        <v>85</v>
      </c>
      <c r="C38" s="104">
        <f t="shared" si="0"/>
        <v>21.6</v>
      </c>
      <c r="D38" s="205" t="e">
        <f>+ABS('Preço SFCR-FRONIUS JINKO'!$G$43-C38)</f>
        <v>#DIV/0!</v>
      </c>
      <c r="E38" s="105">
        <f>+'FRONIUS-BYD 335Wp'!E40</f>
        <v>48</v>
      </c>
      <c r="F38" s="112" t="str">
        <f>+IF(K38=0,"",ROUND(M38/(1-'Tabela de BDI'!$C$3),0))</f>
        <v/>
      </c>
      <c r="G38" s="107"/>
      <c r="H38" s="106"/>
      <c r="I38" s="146"/>
      <c r="J38" s="106">
        <f t="shared" si="5"/>
        <v>0</v>
      </c>
      <c r="K38" s="106">
        <f t="shared" si="1"/>
        <v>0</v>
      </c>
      <c r="L38" s="106">
        <f>+'FRONIUS-BYD 335Wp'!L40</f>
        <v>8750</v>
      </c>
      <c r="M38" s="106">
        <f t="shared" si="2"/>
        <v>8750</v>
      </c>
      <c r="N38" s="106" t="str">
        <f>+IF(F38="","",F38*'Tabela de BDI'!$C$7)</f>
        <v/>
      </c>
      <c r="O38" s="106" t="str">
        <f>IF(F38="","",F38*'Tabela de BDI'!$C$8)</f>
        <v/>
      </c>
      <c r="P38" s="109" t="str">
        <f t="shared" si="3"/>
        <v/>
      </c>
      <c r="Q38" s="110" t="str">
        <f t="shared" si="4"/>
        <v/>
      </c>
      <c r="R38" s="111">
        <f>+'Tabela de BDI'!$F$9*C38</f>
        <v>2592</v>
      </c>
      <c r="S38" s="114"/>
    </row>
    <row r="39" spans="1:19" ht="15.75" customHeight="1" x14ac:dyDescent="0.25">
      <c r="A39" s="295"/>
      <c r="B39" s="103" t="s">
        <v>85</v>
      </c>
      <c r="C39" s="104">
        <f t="shared" si="0"/>
        <v>22.5</v>
      </c>
      <c r="D39" s="205" t="e">
        <f>+ABS('Preço SFCR-FRONIUS JINKO'!$G$43-C39)</f>
        <v>#DIV/0!</v>
      </c>
      <c r="E39" s="105">
        <f>+'FRONIUS-BYD 335Wp'!E41</f>
        <v>50</v>
      </c>
      <c r="F39" s="112" t="str">
        <f>+IF(K39=0,"",ROUND(M39/(1-'Tabela de BDI'!$C$3),0))</f>
        <v/>
      </c>
      <c r="G39" s="107"/>
      <c r="H39" s="106"/>
      <c r="I39" s="146"/>
      <c r="J39" s="106">
        <f t="shared" si="5"/>
        <v>0</v>
      </c>
      <c r="K39" s="106">
        <f t="shared" si="1"/>
        <v>0</v>
      </c>
      <c r="L39" s="106">
        <f>+'FRONIUS-BYD 335Wp'!L41</f>
        <v>9000</v>
      </c>
      <c r="M39" s="106">
        <f t="shared" si="2"/>
        <v>9000</v>
      </c>
      <c r="N39" s="106" t="str">
        <f>+IF(F39="","",F39*'Tabela de BDI'!$C$7)</f>
        <v/>
      </c>
      <c r="O39" s="106" t="str">
        <f>IF(F39="","",F39*'Tabela de BDI'!$C$8)</f>
        <v/>
      </c>
      <c r="P39" s="109" t="str">
        <f t="shared" si="3"/>
        <v/>
      </c>
      <c r="Q39" s="110" t="str">
        <f t="shared" si="4"/>
        <v/>
      </c>
      <c r="R39" s="111">
        <f>+'Tabela de BDI'!$F$9*C39</f>
        <v>2700</v>
      </c>
      <c r="S39" s="114"/>
    </row>
    <row r="40" spans="1:19" ht="15.75" customHeight="1" x14ac:dyDescent="0.25">
      <c r="A40" s="295"/>
      <c r="B40" s="103" t="s">
        <v>85</v>
      </c>
      <c r="C40" s="104">
        <f t="shared" si="0"/>
        <v>23.400000000000002</v>
      </c>
      <c r="D40" s="205" t="e">
        <f>+ABS('Preço SFCR-FRONIUS JINKO'!$G$43-C40)</f>
        <v>#DIV/0!</v>
      </c>
      <c r="E40" s="105">
        <f>+'FRONIUS-BYD 335Wp'!E42</f>
        <v>52</v>
      </c>
      <c r="F40" s="112" t="str">
        <f>+IF(K40=0,"",ROUND(M40/(1-'Tabela de BDI'!$C$3),0))</f>
        <v/>
      </c>
      <c r="G40" s="107"/>
      <c r="H40" s="106"/>
      <c r="I40" s="146"/>
      <c r="J40" s="106">
        <f t="shared" si="5"/>
        <v>0</v>
      </c>
      <c r="K40" s="106">
        <f t="shared" si="1"/>
        <v>0</v>
      </c>
      <c r="L40" s="106">
        <f>+'FRONIUS-BYD 335Wp'!L42</f>
        <v>9250</v>
      </c>
      <c r="M40" s="106">
        <f t="shared" si="2"/>
        <v>9250</v>
      </c>
      <c r="N40" s="106" t="str">
        <f>+IF(F40="","",F40*'Tabela de BDI'!$C$7)</f>
        <v/>
      </c>
      <c r="O40" s="106" t="str">
        <f>IF(F40="","",F40*'Tabela de BDI'!$C$8)</f>
        <v/>
      </c>
      <c r="P40" s="109" t="str">
        <f t="shared" si="3"/>
        <v/>
      </c>
      <c r="Q40" s="110" t="str">
        <f t="shared" si="4"/>
        <v/>
      </c>
      <c r="R40" s="111">
        <f>+'Tabela de BDI'!$F$9*C40</f>
        <v>2808.0000000000005</v>
      </c>
      <c r="S40" s="114"/>
    </row>
    <row r="41" spans="1:19" ht="15.75" customHeight="1" x14ac:dyDescent="0.25">
      <c r="A41" s="295"/>
      <c r="B41" s="103" t="s">
        <v>85</v>
      </c>
      <c r="C41" s="104">
        <f t="shared" si="0"/>
        <v>24.3</v>
      </c>
      <c r="D41" s="205" t="e">
        <f>+ABS('Preço SFCR-FRONIUS JINKO'!$G$43-C41)</f>
        <v>#DIV/0!</v>
      </c>
      <c r="E41" s="105">
        <f>+'FRONIUS-BYD 335Wp'!E43</f>
        <v>54</v>
      </c>
      <c r="F41" s="112" t="str">
        <f>+IF(K41=0,"",ROUND(M41/(1-'Tabela de BDI'!$C$3),0))</f>
        <v/>
      </c>
      <c r="G41" s="107"/>
      <c r="H41" s="106"/>
      <c r="I41" s="143"/>
      <c r="J41" s="106">
        <f t="shared" si="5"/>
        <v>0</v>
      </c>
      <c r="K41" s="106">
        <f t="shared" si="1"/>
        <v>0</v>
      </c>
      <c r="L41" s="106">
        <f>+'FRONIUS-BYD 335Wp'!L43</f>
        <v>9500</v>
      </c>
      <c r="M41" s="106">
        <f t="shared" si="2"/>
        <v>9500</v>
      </c>
      <c r="N41" s="106" t="str">
        <f>+IF(F41="","",F41*'Tabela de BDI'!$C$7)</f>
        <v/>
      </c>
      <c r="O41" s="106" t="str">
        <f>IF(F41="","",F41*'Tabela de BDI'!$C$8)</f>
        <v/>
      </c>
      <c r="P41" s="109" t="str">
        <f t="shared" si="3"/>
        <v/>
      </c>
      <c r="Q41" s="110" t="str">
        <f t="shared" si="4"/>
        <v/>
      </c>
      <c r="R41" s="111">
        <f>+'Tabela de BDI'!$F$9*C41</f>
        <v>2916</v>
      </c>
      <c r="S41" s="114"/>
    </row>
    <row r="42" spans="1:19" ht="15.75" customHeight="1" x14ac:dyDescent="0.25">
      <c r="A42" s="295"/>
      <c r="B42" s="103" t="s">
        <v>85</v>
      </c>
      <c r="C42" s="104">
        <f t="shared" si="0"/>
        <v>25.2</v>
      </c>
      <c r="D42" s="205" t="e">
        <f>+ABS('Preço SFCR-FRONIUS JINKO'!$G$43-C42)</f>
        <v>#DIV/0!</v>
      </c>
      <c r="E42" s="105">
        <f>+'FRONIUS-BYD 335Wp'!E44</f>
        <v>56</v>
      </c>
      <c r="F42" s="112" t="str">
        <f>+IF(K42=0,"",ROUND(M42/(1-'Tabela de BDI'!$C$3),0))</f>
        <v/>
      </c>
      <c r="G42" s="107"/>
      <c r="H42" s="106"/>
      <c r="I42" s="143"/>
      <c r="J42" s="106">
        <f t="shared" si="5"/>
        <v>0</v>
      </c>
      <c r="K42" s="106">
        <f t="shared" si="1"/>
        <v>0</v>
      </c>
      <c r="L42" s="106">
        <f>+'FRONIUS-BYD 335Wp'!L44</f>
        <v>9750</v>
      </c>
      <c r="M42" s="106">
        <f t="shared" si="2"/>
        <v>9750</v>
      </c>
      <c r="N42" s="106" t="str">
        <f>+IF(F42="","",F42*'Tabela de BDI'!$C$7)</f>
        <v/>
      </c>
      <c r="O42" s="106" t="str">
        <f>IF(F42="","",F42*'Tabela de BDI'!$C$8)</f>
        <v/>
      </c>
      <c r="P42" s="109" t="str">
        <f t="shared" si="3"/>
        <v/>
      </c>
      <c r="Q42" s="110" t="str">
        <f t="shared" si="4"/>
        <v/>
      </c>
      <c r="R42" s="111">
        <f>+'Tabela de BDI'!$F$9*C42</f>
        <v>3024</v>
      </c>
      <c r="S42" s="114"/>
    </row>
    <row r="43" spans="1:19" ht="15.75" customHeight="1" x14ac:dyDescent="0.25">
      <c r="A43" s="295"/>
      <c r="B43" s="103" t="s">
        <v>85</v>
      </c>
      <c r="C43" s="104">
        <f t="shared" si="0"/>
        <v>26.1</v>
      </c>
      <c r="D43" s="205" t="e">
        <f>+ABS('Preço SFCR-FRONIUS JINKO'!$G$43-C43)</f>
        <v>#DIV/0!</v>
      </c>
      <c r="E43" s="105">
        <f>+'FRONIUS-BYD 335Wp'!E45</f>
        <v>58</v>
      </c>
      <c r="F43" s="112" t="str">
        <f>+IF(K43=0,"",ROUND(M43/(1-'Tabela de BDI'!$C$3),0))</f>
        <v/>
      </c>
      <c r="G43" s="167"/>
      <c r="H43" s="145"/>
      <c r="I43" s="146"/>
      <c r="J43" s="161"/>
      <c r="K43" s="106">
        <f t="shared" si="1"/>
        <v>0</v>
      </c>
      <c r="L43" s="106">
        <f>+'FRONIUS-BYD 335Wp'!L45</f>
        <v>10000</v>
      </c>
      <c r="M43" s="106">
        <f t="shared" si="2"/>
        <v>10000</v>
      </c>
      <c r="N43" s="106" t="str">
        <f>+IF(F43="","",F43*'Tabela de BDI'!$C$7)</f>
        <v/>
      </c>
      <c r="O43" s="106" t="str">
        <f>IF(F43="","",F43*'Tabela de BDI'!$C$8)</f>
        <v/>
      </c>
      <c r="P43" s="109" t="str">
        <f t="shared" si="3"/>
        <v/>
      </c>
      <c r="Q43" s="110" t="str">
        <f t="shared" si="4"/>
        <v/>
      </c>
      <c r="R43" s="111">
        <f>+'Tabela de BDI'!$F$9*C43</f>
        <v>3132</v>
      </c>
      <c r="S43" s="114"/>
    </row>
    <row r="44" spans="1:19" ht="15.75" customHeight="1" x14ac:dyDescent="0.25">
      <c r="A44" s="295"/>
      <c r="B44" s="103" t="s">
        <v>85</v>
      </c>
      <c r="C44" s="104">
        <f t="shared" si="0"/>
        <v>27</v>
      </c>
      <c r="D44" s="205" t="e">
        <f>+ABS('Preço SFCR-FRONIUS JINKO'!$G$43-C44)</f>
        <v>#DIV/0!</v>
      </c>
      <c r="E44" s="105">
        <f>+'FRONIUS-BYD 335Wp'!E46</f>
        <v>60</v>
      </c>
      <c r="F44" s="112" t="str">
        <f>+IF(K44=0,"",ROUND(M44/(1-'Tabela de BDI'!$C$3),0))</f>
        <v/>
      </c>
      <c r="G44" s="167"/>
      <c r="H44" s="145"/>
      <c r="I44" s="146"/>
      <c r="J44" s="161"/>
      <c r="K44" s="106">
        <f t="shared" si="1"/>
        <v>0</v>
      </c>
      <c r="L44" s="106">
        <f>+'FRONIUS-BYD 335Wp'!L46</f>
        <v>10250</v>
      </c>
      <c r="M44" s="106">
        <f t="shared" si="2"/>
        <v>10250</v>
      </c>
      <c r="N44" s="106" t="str">
        <f>+IF(F44="","",F44*'Tabela de BDI'!$C$7)</f>
        <v/>
      </c>
      <c r="O44" s="106" t="str">
        <f>IF(F44="","",F44*'Tabela de BDI'!$C$8)</f>
        <v/>
      </c>
      <c r="P44" s="109" t="str">
        <f t="shared" si="3"/>
        <v/>
      </c>
      <c r="Q44" s="110" t="str">
        <f t="shared" si="4"/>
        <v/>
      </c>
      <c r="R44" s="111">
        <f>+'Tabela de BDI'!$F$9*C44</f>
        <v>3240</v>
      </c>
      <c r="S44" s="114"/>
    </row>
    <row r="45" spans="1:19" ht="15.75" customHeight="1" x14ac:dyDescent="0.25">
      <c r="A45" s="295"/>
      <c r="B45" s="103" t="s">
        <v>85</v>
      </c>
      <c r="C45" s="104">
        <f t="shared" si="0"/>
        <v>27.900000000000002</v>
      </c>
      <c r="D45" s="205" t="e">
        <f>+ABS('Preço SFCR-FRONIUS JINKO'!$G$43-C45)</f>
        <v>#DIV/0!</v>
      </c>
      <c r="E45" s="105">
        <f>+'FRONIUS-BYD 335Wp'!E47</f>
        <v>62</v>
      </c>
      <c r="F45" s="112" t="str">
        <f>+IF(K45=0,"",ROUND(M45/(1-'Tabela de BDI'!$C$3),0))</f>
        <v/>
      </c>
      <c r="G45" s="167"/>
      <c r="H45" s="145"/>
      <c r="I45" s="146"/>
      <c r="J45" s="161"/>
      <c r="K45" s="106">
        <f t="shared" si="1"/>
        <v>0</v>
      </c>
      <c r="L45" s="106">
        <f>+'FRONIUS-BYD 335Wp'!L47</f>
        <v>10500</v>
      </c>
      <c r="M45" s="106">
        <f t="shared" si="2"/>
        <v>10500</v>
      </c>
      <c r="N45" s="106" t="str">
        <f>+IF(F45="","",F45*'Tabela de BDI'!$C$7)</f>
        <v/>
      </c>
      <c r="O45" s="106" t="str">
        <f>IF(F45="","",F45*'Tabela de BDI'!$C$8)</f>
        <v/>
      </c>
      <c r="P45" s="109" t="str">
        <f t="shared" si="3"/>
        <v/>
      </c>
      <c r="Q45" s="110" t="str">
        <f t="shared" si="4"/>
        <v/>
      </c>
      <c r="R45" s="111">
        <f>+'Tabela de BDI'!$F$9*C45</f>
        <v>3348.0000000000005</v>
      </c>
      <c r="S45" s="114"/>
    </row>
    <row r="46" spans="1:19" ht="15.75" customHeight="1" x14ac:dyDescent="0.25">
      <c r="A46" s="295"/>
      <c r="B46" s="103" t="s">
        <v>85</v>
      </c>
      <c r="C46" s="104">
        <f t="shared" si="0"/>
        <v>28.8</v>
      </c>
      <c r="D46" s="205" t="e">
        <f>+ABS('Preço SFCR-FRONIUS JINKO'!$G$43-C46)</f>
        <v>#DIV/0!</v>
      </c>
      <c r="E46" s="105">
        <f>+'FRONIUS-BYD 335Wp'!E48</f>
        <v>64</v>
      </c>
      <c r="F46" s="112" t="str">
        <f>+IF(K46=0,"",ROUND(M46/(1-'Tabela de BDI'!$C$3),0))</f>
        <v/>
      </c>
      <c r="G46" s="167"/>
      <c r="H46" s="145"/>
      <c r="I46" s="146"/>
      <c r="J46" s="146"/>
      <c r="K46" s="106">
        <f t="shared" si="1"/>
        <v>0</v>
      </c>
      <c r="L46" s="106">
        <f>+'FRONIUS-BYD 335Wp'!L48</f>
        <v>10750</v>
      </c>
      <c r="M46" s="106">
        <f t="shared" si="2"/>
        <v>10750</v>
      </c>
      <c r="N46" s="106" t="str">
        <f>+IF(F46="","",F46*'Tabela de BDI'!$C$7)</f>
        <v/>
      </c>
      <c r="O46" s="106" t="str">
        <f>IF(F46="","",F46*'Tabela de BDI'!$C$8)</f>
        <v/>
      </c>
      <c r="P46" s="109" t="str">
        <f t="shared" si="3"/>
        <v/>
      </c>
      <c r="Q46" s="110" t="str">
        <f t="shared" si="4"/>
        <v/>
      </c>
      <c r="R46" s="111">
        <f>+'Tabela de BDI'!$F$9*C46</f>
        <v>3456</v>
      </c>
      <c r="S46" s="114"/>
    </row>
    <row r="47" spans="1:19" ht="15.75" customHeight="1" x14ac:dyDescent="0.25">
      <c r="A47" s="295"/>
      <c r="B47" s="116" t="s">
        <v>89</v>
      </c>
      <c r="C47" s="104">
        <f t="shared" si="0"/>
        <v>29.7</v>
      </c>
      <c r="D47" s="205" t="e">
        <f>+ABS('Preço SFCR-FRONIUS JINKO'!$G$43-C47)</f>
        <v>#DIV/0!</v>
      </c>
      <c r="E47" s="181">
        <v>66</v>
      </c>
      <c r="F47" s="146"/>
      <c r="G47" s="167"/>
      <c r="H47" s="145"/>
      <c r="I47" s="146"/>
      <c r="J47" s="159"/>
      <c r="K47" s="106">
        <f t="shared" si="1"/>
        <v>0</v>
      </c>
      <c r="L47" s="106">
        <f>+'FRONIUS-BYD 335Wp'!L49</f>
        <v>12000</v>
      </c>
      <c r="M47" s="106">
        <f t="shared" si="2"/>
        <v>12000</v>
      </c>
      <c r="N47" s="106" t="str">
        <f>+IF(F47="","",F47*'Tabela de BDI'!$C$7)</f>
        <v/>
      </c>
      <c r="O47" s="106" t="str">
        <f>IF(F47="","",F47*'Tabela de BDI'!$C$8)</f>
        <v/>
      </c>
      <c r="P47" s="109" t="str">
        <f t="shared" si="3"/>
        <v/>
      </c>
      <c r="Q47" s="110" t="str">
        <f t="shared" si="4"/>
        <v/>
      </c>
      <c r="R47" s="111">
        <f>+'Tabela de BDI'!$F$9*C47</f>
        <v>3564</v>
      </c>
      <c r="S47" s="114"/>
    </row>
    <row r="48" spans="1:19" ht="15.75" customHeight="1" x14ac:dyDescent="0.25">
      <c r="A48" s="295"/>
      <c r="B48" s="116" t="s">
        <v>89</v>
      </c>
      <c r="C48" s="104">
        <f t="shared" si="0"/>
        <v>30.6</v>
      </c>
      <c r="D48" s="205" t="e">
        <f>+ABS('Preço SFCR-FRONIUS JINKO'!$G$43-C48)</f>
        <v>#DIV/0!</v>
      </c>
      <c r="E48" s="181">
        <v>68</v>
      </c>
      <c r="F48" s="146"/>
      <c r="G48" s="167"/>
      <c r="H48" s="145"/>
      <c r="I48" s="146"/>
      <c r="J48" s="146"/>
      <c r="K48" s="106">
        <f t="shared" si="1"/>
        <v>0</v>
      </c>
      <c r="L48" s="106">
        <f>+'FRONIUS-BYD 335Wp'!L50</f>
        <v>12250</v>
      </c>
      <c r="M48" s="106">
        <f t="shared" si="2"/>
        <v>12250</v>
      </c>
      <c r="N48" s="106" t="str">
        <f>+IF(F48="","",F48*'Tabela de BDI'!$C$7)</f>
        <v/>
      </c>
      <c r="O48" s="106" t="str">
        <f>IF(F48="","",F48*'Tabela de BDI'!$C$8)</f>
        <v/>
      </c>
      <c r="P48" s="109" t="str">
        <f t="shared" si="3"/>
        <v/>
      </c>
      <c r="Q48" s="110" t="str">
        <f t="shared" si="4"/>
        <v/>
      </c>
      <c r="R48" s="111">
        <f>+'Tabela de BDI'!$F$9*C48</f>
        <v>3672</v>
      </c>
      <c r="S48" s="114"/>
    </row>
    <row r="49" spans="1:19" ht="15.75" customHeight="1" x14ac:dyDescent="0.25">
      <c r="A49" s="295"/>
      <c r="B49" s="116" t="s">
        <v>89</v>
      </c>
      <c r="C49" s="104">
        <f t="shared" si="0"/>
        <v>32.4</v>
      </c>
      <c r="D49" s="205" t="e">
        <f>+ABS('Preço SFCR-FRONIUS JINKO'!$G$43-C49)</f>
        <v>#DIV/0!</v>
      </c>
      <c r="E49" s="181">
        <v>72</v>
      </c>
      <c r="F49" s="146"/>
      <c r="G49" s="167"/>
      <c r="H49" s="145"/>
      <c r="I49" s="146"/>
      <c r="J49" s="146"/>
      <c r="K49" s="106">
        <f t="shared" si="1"/>
        <v>0</v>
      </c>
      <c r="L49" s="106">
        <f>+'FRONIUS-BYD 335Wp'!L51</f>
        <v>12750</v>
      </c>
      <c r="M49" s="106">
        <f t="shared" si="2"/>
        <v>12750</v>
      </c>
      <c r="N49" s="106" t="str">
        <f>+IF(F49="","",F49*'Tabela de BDI'!$C$7)</f>
        <v/>
      </c>
      <c r="O49" s="106" t="str">
        <f>IF(F49="","",F49*'Tabela de BDI'!$C$8)</f>
        <v/>
      </c>
      <c r="P49" s="109" t="str">
        <f t="shared" si="3"/>
        <v/>
      </c>
      <c r="Q49" s="110" t="str">
        <f t="shared" si="4"/>
        <v/>
      </c>
      <c r="R49" s="111">
        <f>+'Tabela de BDI'!$F$9*C49</f>
        <v>3888</v>
      </c>
      <c r="S49" s="114"/>
    </row>
    <row r="50" spans="1:19" ht="15.75" customHeight="1" x14ac:dyDescent="0.25">
      <c r="A50" s="295"/>
      <c r="B50" s="116" t="s">
        <v>89</v>
      </c>
      <c r="C50" s="104">
        <f t="shared" si="0"/>
        <v>34.200000000000003</v>
      </c>
      <c r="D50" s="205" t="e">
        <f>+ABS('Preço SFCR-FRONIUS JINKO'!$G$43-C50)</f>
        <v>#DIV/0!</v>
      </c>
      <c r="E50" s="181">
        <v>76</v>
      </c>
      <c r="F50" s="146"/>
      <c r="G50" s="167"/>
      <c r="H50" s="145"/>
      <c r="I50" s="146"/>
      <c r="J50" s="146"/>
      <c r="K50" s="106">
        <f t="shared" si="1"/>
        <v>0</v>
      </c>
      <c r="L50" s="106">
        <f>+'FRONIUS-BYD 335Wp'!L52</f>
        <v>13250</v>
      </c>
      <c r="M50" s="106">
        <f t="shared" si="2"/>
        <v>13250</v>
      </c>
      <c r="N50" s="106" t="str">
        <f>+IF(F50="","",F50*'Tabela de BDI'!$C$7)</f>
        <v/>
      </c>
      <c r="O50" s="106" t="str">
        <f>IF(F50="","",F50*'Tabela de BDI'!$C$8)</f>
        <v/>
      </c>
      <c r="P50" s="109" t="str">
        <f t="shared" si="3"/>
        <v/>
      </c>
      <c r="Q50" s="110" t="str">
        <f t="shared" si="4"/>
        <v/>
      </c>
      <c r="R50" s="111">
        <f>+'Tabela de BDI'!$F$9*C50</f>
        <v>4104</v>
      </c>
      <c r="S50" s="114"/>
    </row>
    <row r="51" spans="1:19" ht="15.75" customHeight="1" x14ac:dyDescent="0.25">
      <c r="A51" s="295"/>
      <c r="B51" s="116" t="s">
        <v>89</v>
      </c>
      <c r="C51" s="104">
        <f t="shared" si="0"/>
        <v>35.1</v>
      </c>
      <c r="D51" s="205" t="e">
        <f>+ABS('Preço SFCR-FRONIUS JINKO'!$G$43-C51)</f>
        <v>#DIV/0!</v>
      </c>
      <c r="E51" s="181">
        <v>78</v>
      </c>
      <c r="F51" s="146"/>
      <c r="G51" s="167"/>
      <c r="H51" s="145"/>
      <c r="I51" s="146"/>
      <c r="J51" s="159"/>
      <c r="K51" s="106">
        <f t="shared" si="1"/>
        <v>0</v>
      </c>
      <c r="L51" s="106">
        <f>+'FRONIUS-BYD 335Wp'!L53</f>
        <v>13500</v>
      </c>
      <c r="M51" s="106">
        <f t="shared" si="2"/>
        <v>13500</v>
      </c>
      <c r="N51" s="106" t="str">
        <f>+IF(F51="","",F51*'Tabela de BDI'!$C$7)</f>
        <v/>
      </c>
      <c r="O51" s="106" t="str">
        <f>IF(F51="","",F51*'Tabela de BDI'!$C$8)</f>
        <v/>
      </c>
      <c r="P51" s="109" t="str">
        <f t="shared" si="3"/>
        <v/>
      </c>
      <c r="Q51" s="110" t="str">
        <f t="shared" si="4"/>
        <v/>
      </c>
      <c r="R51" s="111">
        <f>+'Tabela de BDI'!$F$9*C51</f>
        <v>4212</v>
      </c>
      <c r="S51" s="114"/>
    </row>
    <row r="52" spans="1:19" ht="15.75" customHeight="1" x14ac:dyDescent="0.25">
      <c r="A52" s="295"/>
      <c r="B52" s="116" t="s">
        <v>89</v>
      </c>
      <c r="C52" s="104">
        <f t="shared" si="0"/>
        <v>36</v>
      </c>
      <c r="D52" s="205" t="e">
        <f>+ABS('Preço SFCR-FRONIUS JINKO'!$G$43-C52)</f>
        <v>#DIV/0!</v>
      </c>
      <c r="E52" s="181">
        <v>80</v>
      </c>
      <c r="F52" s="146"/>
      <c r="G52" s="167"/>
      <c r="H52" s="145"/>
      <c r="I52" s="146"/>
      <c r="J52" s="159"/>
      <c r="K52" s="106">
        <f t="shared" si="1"/>
        <v>0</v>
      </c>
      <c r="L52" s="106">
        <f>+'FRONIUS-BYD 335Wp'!L54</f>
        <v>13750</v>
      </c>
      <c r="M52" s="106">
        <f t="shared" si="2"/>
        <v>13750</v>
      </c>
      <c r="N52" s="106" t="str">
        <f>+IF(F52="","",F52*'Tabela de BDI'!$C$7)</f>
        <v/>
      </c>
      <c r="O52" s="106" t="str">
        <f>IF(F52="","",F52*'Tabela de BDI'!$C$8)</f>
        <v/>
      </c>
      <c r="P52" s="109" t="str">
        <f t="shared" si="3"/>
        <v/>
      </c>
      <c r="Q52" s="110" t="str">
        <f t="shared" si="4"/>
        <v/>
      </c>
      <c r="R52" s="111">
        <f>+'Tabela de BDI'!$F$9*C52</f>
        <v>4320</v>
      </c>
      <c r="S52" s="114"/>
    </row>
    <row r="53" spans="1:19" ht="15.75" customHeight="1" x14ac:dyDescent="0.25">
      <c r="A53" s="295"/>
      <c r="B53" s="116" t="s">
        <v>89</v>
      </c>
      <c r="C53" s="104">
        <f t="shared" si="0"/>
        <v>37.800000000000004</v>
      </c>
      <c r="D53" s="205" t="e">
        <f>+ABS('Preço SFCR-FRONIUS JINKO'!$G$43-C53)</f>
        <v>#DIV/0!</v>
      </c>
      <c r="E53" s="181">
        <v>84</v>
      </c>
      <c r="F53" s="146"/>
      <c r="G53" s="167"/>
      <c r="H53" s="145"/>
      <c r="I53" s="146"/>
      <c r="J53" s="159"/>
      <c r="K53" s="106">
        <f t="shared" si="1"/>
        <v>0</v>
      </c>
      <c r="L53" s="106">
        <f>+'FRONIUS-BYD 335Wp'!L55</f>
        <v>14250</v>
      </c>
      <c r="M53" s="106">
        <f t="shared" si="2"/>
        <v>14250</v>
      </c>
      <c r="N53" s="106" t="str">
        <f>+IF(F53="","",F53*'Tabela de BDI'!$C$7)</f>
        <v/>
      </c>
      <c r="O53" s="106" t="str">
        <f>IF(F53="","",F53*'Tabela de BDI'!$C$8)</f>
        <v/>
      </c>
      <c r="P53" s="109" t="str">
        <f t="shared" si="3"/>
        <v/>
      </c>
      <c r="Q53" s="110" t="str">
        <f t="shared" si="4"/>
        <v/>
      </c>
      <c r="R53" s="111">
        <f>+'Tabela de BDI'!$F$9*C53</f>
        <v>4536.0000000000009</v>
      </c>
      <c r="S53" s="114"/>
    </row>
    <row r="54" spans="1:19" ht="15.75" customHeight="1" x14ac:dyDescent="0.25">
      <c r="A54" s="295"/>
      <c r="B54" s="116" t="s">
        <v>89</v>
      </c>
      <c r="C54" s="104">
        <f t="shared" si="0"/>
        <v>39.6</v>
      </c>
      <c r="D54" s="205" t="e">
        <f>+ABS('Preço SFCR-FRONIUS JINKO'!$G$43-C54)</f>
        <v>#DIV/0!</v>
      </c>
      <c r="E54" s="181">
        <v>88</v>
      </c>
      <c r="F54" s="146"/>
      <c r="G54" s="167"/>
      <c r="H54" s="145"/>
      <c r="I54" s="146"/>
      <c r="J54" s="159"/>
      <c r="K54" s="106">
        <f t="shared" si="1"/>
        <v>0</v>
      </c>
      <c r="L54" s="106">
        <f>+'FRONIUS-BYD 335Wp'!L56</f>
        <v>14750</v>
      </c>
      <c r="M54" s="106">
        <f t="shared" si="2"/>
        <v>14750</v>
      </c>
      <c r="N54" s="106" t="str">
        <f>+IF(F54="","",F54*'Tabela de BDI'!$C$7)</f>
        <v/>
      </c>
      <c r="O54" s="106" t="str">
        <f>IF(F54="","",F54*'Tabela de BDI'!$C$8)</f>
        <v/>
      </c>
      <c r="P54" s="109" t="str">
        <f t="shared" si="3"/>
        <v/>
      </c>
      <c r="Q54" s="110" t="str">
        <f t="shared" si="4"/>
        <v/>
      </c>
      <c r="R54" s="111">
        <f>+'Tabela de BDI'!$F$9*C54</f>
        <v>4752</v>
      </c>
      <c r="S54" s="114"/>
    </row>
    <row r="55" spans="1:19" ht="15.75" customHeight="1" x14ac:dyDescent="0.25">
      <c r="A55" s="295"/>
      <c r="B55" s="116" t="s">
        <v>89</v>
      </c>
      <c r="C55" s="104">
        <f t="shared" si="0"/>
        <v>40.5</v>
      </c>
      <c r="D55" s="205" t="e">
        <f>+ABS('Preço SFCR-FRONIUS JINKO'!$G$43-C55)</f>
        <v>#DIV/0!</v>
      </c>
      <c r="E55" s="181">
        <v>90</v>
      </c>
      <c r="F55" s="146"/>
      <c r="G55" s="167"/>
      <c r="H55" s="145"/>
      <c r="I55" s="146"/>
      <c r="J55" s="161"/>
      <c r="K55" s="106">
        <f t="shared" si="1"/>
        <v>0</v>
      </c>
      <c r="L55" s="106">
        <f>+'FRONIUS-BYD 335Wp'!L57</f>
        <v>15000</v>
      </c>
      <c r="M55" s="106">
        <f t="shared" si="2"/>
        <v>15000</v>
      </c>
      <c r="N55" s="106" t="str">
        <f>+IF(F55="","",F55*'Tabela de BDI'!$C$7)</f>
        <v/>
      </c>
      <c r="O55" s="106" t="str">
        <f>IF(F55="","",F55*'Tabela de BDI'!$C$8)</f>
        <v/>
      </c>
      <c r="P55" s="109" t="str">
        <f t="shared" si="3"/>
        <v/>
      </c>
      <c r="Q55" s="110" t="str">
        <f t="shared" si="4"/>
        <v/>
      </c>
      <c r="R55" s="111">
        <f>+'Tabela de BDI'!$F$9*C55</f>
        <v>4860</v>
      </c>
      <c r="S55" s="114"/>
    </row>
    <row r="56" spans="1:19" ht="15.75" customHeight="1" x14ac:dyDescent="0.25">
      <c r="A56" s="295"/>
      <c r="B56" s="116" t="s">
        <v>89</v>
      </c>
      <c r="C56" s="104">
        <f t="shared" si="0"/>
        <v>41.4</v>
      </c>
      <c r="D56" s="205" t="e">
        <f>+ABS('Preço SFCR-FRONIUS JINKO'!$G$43-C56)</f>
        <v>#DIV/0!</v>
      </c>
      <c r="E56" s="181">
        <v>92</v>
      </c>
      <c r="F56" s="112" t="str">
        <f>+IF(K56=0,"",ROUND(M56/(1-'Tabela de BDI'!$C$3),0))</f>
        <v/>
      </c>
      <c r="G56" s="107"/>
      <c r="H56" s="106"/>
      <c r="I56" s="143"/>
      <c r="J56" s="121"/>
      <c r="K56" s="106">
        <f t="shared" si="1"/>
        <v>0</v>
      </c>
      <c r="L56" s="106">
        <f>+'FRONIUS-BYD 335Wp'!L58</f>
        <v>15250</v>
      </c>
      <c r="M56" s="106">
        <f t="shared" si="2"/>
        <v>15250</v>
      </c>
      <c r="N56" s="106" t="str">
        <f>+IF(F56="","",F56*'Tabela de BDI'!$C$7)</f>
        <v/>
      </c>
      <c r="O56" s="106" t="str">
        <f>IF(F56="","",F56*'Tabela de BDI'!$C$8)</f>
        <v/>
      </c>
      <c r="P56" s="109" t="str">
        <f t="shared" si="3"/>
        <v/>
      </c>
      <c r="Q56" s="110" t="str">
        <f t="shared" si="4"/>
        <v/>
      </c>
      <c r="R56" s="111">
        <f>+'Tabela de BDI'!$F$9*C56</f>
        <v>4968</v>
      </c>
      <c r="S56" s="114"/>
    </row>
    <row r="57" spans="1:19" ht="15.75" customHeight="1" x14ac:dyDescent="0.25">
      <c r="A57" s="295"/>
      <c r="B57" s="116" t="s">
        <v>89</v>
      </c>
      <c r="C57" s="104">
        <f t="shared" si="0"/>
        <v>42.75</v>
      </c>
      <c r="D57" s="205" t="e">
        <f>+ABS('Preço SFCR-FRONIUS JINKO'!$G$43-C57)</f>
        <v>#DIV/0!</v>
      </c>
      <c r="E57" s="181">
        <v>95</v>
      </c>
      <c r="F57" s="112" t="str">
        <f>+IF(K57=0,"",ROUND(M57/(1-'Tabela de BDI'!$C$3),0))</f>
        <v/>
      </c>
      <c r="G57" s="107"/>
      <c r="H57" s="106"/>
      <c r="I57" s="143"/>
      <c r="J57" s="121"/>
      <c r="K57" s="106">
        <f t="shared" si="1"/>
        <v>0</v>
      </c>
      <c r="L57" s="106">
        <f>+'FRONIUS-BYD 335Wp'!L59</f>
        <v>15625</v>
      </c>
      <c r="M57" s="106">
        <f t="shared" si="2"/>
        <v>15625</v>
      </c>
      <c r="N57" s="106" t="str">
        <f>+IF(F57="","",F57*'Tabela de BDI'!$C$7)</f>
        <v/>
      </c>
      <c r="O57" s="106" t="str">
        <f>IF(F57="","",F57*'Tabela de BDI'!$C$8)</f>
        <v/>
      </c>
      <c r="P57" s="109" t="str">
        <f t="shared" si="3"/>
        <v/>
      </c>
      <c r="Q57" s="110" t="str">
        <f t="shared" si="4"/>
        <v/>
      </c>
      <c r="R57" s="111">
        <f>+'Tabela de BDI'!$F$9*C57</f>
        <v>5130</v>
      </c>
      <c r="S57" s="114"/>
    </row>
    <row r="58" spans="1:19" ht="15.75" customHeight="1" x14ac:dyDescent="0.25">
      <c r="A58" s="295"/>
      <c r="B58" s="116" t="s">
        <v>89</v>
      </c>
      <c r="C58" s="104">
        <f t="shared" si="0"/>
        <v>43.2</v>
      </c>
      <c r="D58" s="205" t="e">
        <f>+ABS('Preço SFCR-FRONIUS JINKO'!$G$43-C58)</f>
        <v>#DIV/0!</v>
      </c>
      <c r="E58" s="181">
        <v>96</v>
      </c>
      <c r="F58" s="112" t="str">
        <f>+IF(K58=0,"",ROUND(M58/(1-'Tabela de BDI'!$C$3),0))</f>
        <v/>
      </c>
      <c r="G58" s="107"/>
      <c r="H58" s="106"/>
      <c r="I58" s="143"/>
      <c r="J58" s="121"/>
      <c r="K58" s="106">
        <f t="shared" si="1"/>
        <v>0</v>
      </c>
      <c r="L58" s="106">
        <f>+'FRONIUS-BYD 335Wp'!L60</f>
        <v>15750</v>
      </c>
      <c r="M58" s="106">
        <f t="shared" si="2"/>
        <v>15750</v>
      </c>
      <c r="N58" s="106" t="str">
        <f>+IF(F58="","",F58*'Tabela de BDI'!$C$7)</f>
        <v/>
      </c>
      <c r="O58" s="106" t="str">
        <f>IF(F58="","",F58*'Tabela de BDI'!$C$8)</f>
        <v/>
      </c>
      <c r="P58" s="109" t="str">
        <f t="shared" si="3"/>
        <v/>
      </c>
      <c r="Q58" s="110" t="str">
        <f t="shared" si="4"/>
        <v/>
      </c>
      <c r="R58" s="111">
        <f>+'Tabela de BDI'!$F$9*C58</f>
        <v>5184</v>
      </c>
      <c r="S58" s="114"/>
    </row>
    <row r="59" spans="1:19" ht="15.75" customHeight="1" x14ac:dyDescent="0.25">
      <c r="A59" s="295"/>
      <c r="B59" s="116" t="s">
        <v>89</v>
      </c>
      <c r="C59" s="104">
        <f t="shared" si="0"/>
        <v>44.1</v>
      </c>
      <c r="D59" s="205" t="e">
        <f>+ABS('Preço SFCR-FRONIUS JINKO'!$G$43-C59)</f>
        <v>#DIV/0!</v>
      </c>
      <c r="E59" s="181">
        <v>98</v>
      </c>
      <c r="F59" s="112" t="str">
        <f>+IF(K59=0,"",ROUND(M59/(1-'Tabela de BDI'!$C$3),0))</f>
        <v/>
      </c>
      <c r="G59" s="107"/>
      <c r="H59" s="106"/>
      <c r="I59" s="143"/>
      <c r="J59" s="121"/>
      <c r="K59" s="106">
        <f t="shared" si="1"/>
        <v>0</v>
      </c>
      <c r="L59" s="106">
        <f>+'FRONIUS-BYD 335Wp'!L61</f>
        <v>16000</v>
      </c>
      <c r="M59" s="106">
        <f t="shared" si="2"/>
        <v>16000</v>
      </c>
      <c r="N59" s="106" t="str">
        <f>+IF(F59="","",F59*'Tabela de BDI'!$C$7)</f>
        <v/>
      </c>
      <c r="O59" s="106" t="str">
        <f>IF(F59="","",F59*'Tabela de BDI'!$C$8)</f>
        <v/>
      </c>
      <c r="P59" s="109" t="str">
        <f t="shared" si="3"/>
        <v/>
      </c>
      <c r="Q59" s="110" t="str">
        <f t="shared" si="4"/>
        <v/>
      </c>
      <c r="R59" s="111">
        <f>+'Tabela de BDI'!$F$9*C59</f>
        <v>5292</v>
      </c>
      <c r="S59" s="114"/>
    </row>
    <row r="60" spans="1:19" ht="15.75" customHeight="1" x14ac:dyDescent="0.25">
      <c r="A60" s="295"/>
      <c r="B60" s="116" t="s">
        <v>89</v>
      </c>
      <c r="C60" s="104">
        <f t="shared" si="0"/>
        <v>45</v>
      </c>
      <c r="D60" s="205" t="e">
        <f>+ABS('Preço SFCR-FRONIUS JINKO'!$G$43-C60)</f>
        <v>#DIV/0!</v>
      </c>
      <c r="E60" s="181">
        <v>100</v>
      </c>
      <c r="F60" s="112" t="str">
        <f>+IF(K60=0,"",ROUND(M60/(1-'Tabela de BDI'!$C$3),0))</f>
        <v/>
      </c>
      <c r="G60" s="107"/>
      <c r="H60" s="106"/>
      <c r="I60" s="143"/>
      <c r="J60" s="121"/>
      <c r="K60" s="106">
        <f t="shared" si="1"/>
        <v>0</v>
      </c>
      <c r="L60" s="106">
        <f>+'FRONIUS-BYD 335Wp'!L62</f>
        <v>16250</v>
      </c>
      <c r="M60" s="106">
        <f t="shared" si="2"/>
        <v>16250</v>
      </c>
      <c r="N60" s="106" t="str">
        <f>+IF(F60="","",F60*'Tabela de BDI'!$C$7)</f>
        <v/>
      </c>
      <c r="O60" s="106" t="str">
        <f>IF(F60="","",F60*'Tabela de BDI'!$C$8)</f>
        <v/>
      </c>
      <c r="P60" s="109" t="str">
        <f t="shared" si="3"/>
        <v/>
      </c>
      <c r="Q60" s="110" t="str">
        <f t="shared" si="4"/>
        <v/>
      </c>
      <c r="R60" s="111">
        <f>+'Tabela de BDI'!$F$9*C60</f>
        <v>5400</v>
      </c>
      <c r="S60" s="114"/>
    </row>
    <row r="61" spans="1:19" ht="15.75" customHeight="1" x14ac:dyDescent="0.25">
      <c r="A61" s="295"/>
      <c r="B61" s="116" t="s">
        <v>89</v>
      </c>
      <c r="C61" s="104">
        <f t="shared" si="0"/>
        <v>45.9</v>
      </c>
      <c r="D61" s="205" t="e">
        <f>+ABS('Preço SFCR-FRONIUS JINKO'!$G$43-C61)</f>
        <v>#DIV/0!</v>
      </c>
      <c r="E61" s="181">
        <v>102</v>
      </c>
      <c r="F61" s="112" t="str">
        <f>+IF(K61=0,"",ROUND(M61/(1-'Tabela de BDI'!$C$3),0))</f>
        <v/>
      </c>
      <c r="G61" s="107"/>
      <c r="H61" s="106"/>
      <c r="I61" s="143"/>
      <c r="J61" s="121"/>
      <c r="K61" s="106">
        <f t="shared" si="1"/>
        <v>0</v>
      </c>
      <c r="L61" s="106">
        <f>+'FRONIUS-BYD 335Wp'!L63</f>
        <v>16500</v>
      </c>
      <c r="M61" s="106">
        <f t="shared" si="2"/>
        <v>16500</v>
      </c>
      <c r="N61" s="106" t="str">
        <f>+IF(F61="","",F61*'Tabela de BDI'!$C$7)</f>
        <v/>
      </c>
      <c r="O61" s="106" t="str">
        <f>IF(F61="","",F61*'Tabela de BDI'!$C$8)</f>
        <v/>
      </c>
      <c r="P61" s="109" t="str">
        <f t="shared" si="3"/>
        <v/>
      </c>
      <c r="Q61" s="110" t="str">
        <f t="shared" si="4"/>
        <v/>
      </c>
      <c r="R61" s="111">
        <f>+'Tabela de BDI'!$F$9*C61</f>
        <v>5508</v>
      </c>
      <c r="S61" s="114"/>
    </row>
    <row r="62" spans="1:19" ht="15.75" customHeight="1" x14ac:dyDescent="0.25">
      <c r="A62" s="295"/>
      <c r="B62" s="116" t="s">
        <v>89</v>
      </c>
      <c r="C62" s="104">
        <f t="shared" si="0"/>
        <v>46.800000000000004</v>
      </c>
      <c r="D62" s="205" t="e">
        <f>+ABS('Preço SFCR-FRONIUS JINKO'!$G$43-C62)</f>
        <v>#DIV/0!</v>
      </c>
      <c r="E62" s="181">
        <v>104</v>
      </c>
      <c r="F62" s="112" t="str">
        <f>+IF(K62=0,"",ROUND(M62/(1-'Tabela de BDI'!$C$3),0))</f>
        <v/>
      </c>
      <c r="G62" s="107"/>
      <c r="H62" s="106"/>
      <c r="I62" s="143"/>
      <c r="J62" s="121"/>
      <c r="K62" s="106">
        <f t="shared" si="1"/>
        <v>0</v>
      </c>
      <c r="L62" s="106">
        <f>+'FRONIUS-BYD 335Wp'!L64</f>
        <v>16750</v>
      </c>
      <c r="M62" s="106">
        <f t="shared" si="2"/>
        <v>16750</v>
      </c>
      <c r="N62" s="106" t="str">
        <f>+IF(F62="","",F62*'Tabela de BDI'!$C$7)</f>
        <v/>
      </c>
      <c r="O62" s="106" t="str">
        <f>IF(F62="","",F62*'Tabela de BDI'!$C$8)</f>
        <v/>
      </c>
      <c r="P62" s="109" t="str">
        <f t="shared" si="3"/>
        <v/>
      </c>
      <c r="Q62" s="110" t="str">
        <f t="shared" si="4"/>
        <v/>
      </c>
      <c r="R62" s="111">
        <f>+'Tabela de BDI'!$F$9*C62</f>
        <v>5616.0000000000009</v>
      </c>
      <c r="S62" s="114"/>
    </row>
    <row r="63" spans="1:19" ht="15.75" customHeight="1" x14ac:dyDescent="0.25">
      <c r="A63" s="295"/>
      <c r="B63" s="116" t="s">
        <v>89</v>
      </c>
      <c r="C63" s="104">
        <f t="shared" si="0"/>
        <v>48.6</v>
      </c>
      <c r="D63" s="205" t="e">
        <f>+ABS('Preço SFCR-FRONIUS JINKO'!$G$43-C63)</f>
        <v>#DIV/0!</v>
      </c>
      <c r="E63" s="181">
        <v>108</v>
      </c>
      <c r="F63" s="112" t="str">
        <f>+IF(K63=0,"",ROUND(M63/(1-'Tabela de BDI'!$C$3),0))</f>
        <v/>
      </c>
      <c r="G63" s="107"/>
      <c r="H63" s="106"/>
      <c r="I63" s="143"/>
      <c r="J63" s="121"/>
      <c r="K63" s="106">
        <f t="shared" si="1"/>
        <v>0</v>
      </c>
      <c r="L63" s="106">
        <f>+'FRONIUS-BYD 335Wp'!L65</f>
        <v>17250</v>
      </c>
      <c r="M63" s="106">
        <f t="shared" si="2"/>
        <v>17250</v>
      </c>
      <c r="N63" s="106" t="str">
        <f>+IF(F63="","",F63*'Tabela de BDI'!$C$7)</f>
        <v/>
      </c>
      <c r="O63" s="106" t="str">
        <f>IF(F63="","",F63*'Tabela de BDI'!$C$8)</f>
        <v/>
      </c>
      <c r="P63" s="109" t="str">
        <f t="shared" si="3"/>
        <v/>
      </c>
      <c r="Q63" s="110" t="str">
        <f t="shared" si="4"/>
        <v/>
      </c>
      <c r="R63" s="111">
        <f>+'Tabela de BDI'!$F$9*C63</f>
        <v>5832</v>
      </c>
      <c r="S63" s="114"/>
    </row>
    <row r="64" spans="1:19" ht="15.75" customHeight="1" x14ac:dyDescent="0.25">
      <c r="A64" s="295"/>
      <c r="B64" s="117"/>
      <c r="C64" s="104"/>
      <c r="D64" s="201"/>
      <c r="E64" s="105"/>
      <c r="F64" s="106"/>
      <c r="G64" s="107"/>
      <c r="H64" s="106"/>
      <c r="I64" s="143"/>
      <c r="J64" s="106"/>
      <c r="K64" s="106"/>
      <c r="L64" s="106"/>
      <c r="M64" s="106"/>
      <c r="N64" s="106"/>
      <c r="O64" s="106"/>
      <c r="P64" s="106"/>
      <c r="Q64" s="110" t="str">
        <f t="shared" si="4"/>
        <v/>
      </c>
      <c r="R64" s="111"/>
      <c r="S64" s="114"/>
    </row>
    <row r="65" spans="1:19" ht="15.75" customHeight="1" x14ac:dyDescent="0.25">
      <c r="A65" s="295"/>
      <c r="B65" s="117"/>
      <c r="C65" s="104"/>
      <c r="D65" s="201"/>
      <c r="E65" s="105"/>
      <c r="F65" s="106"/>
      <c r="G65" s="107"/>
      <c r="H65" s="106"/>
      <c r="I65" s="143"/>
      <c r="J65" s="106"/>
      <c r="K65" s="106"/>
      <c r="L65" s="106"/>
      <c r="M65" s="106"/>
      <c r="N65" s="106"/>
      <c r="O65" s="106"/>
      <c r="P65" s="106"/>
      <c r="Q65" s="110" t="str">
        <f t="shared" si="4"/>
        <v/>
      </c>
      <c r="R65" s="111"/>
      <c r="S65" s="114"/>
    </row>
    <row r="66" spans="1:19" ht="15.75" customHeight="1" x14ac:dyDescent="0.25">
      <c r="A66" s="295"/>
      <c r="B66" s="295"/>
      <c r="C66" s="295"/>
      <c r="D66" s="295"/>
      <c r="E66" s="295"/>
      <c r="F66" s="295"/>
      <c r="G66" s="295"/>
      <c r="H66" s="295"/>
      <c r="I66" s="295"/>
      <c r="J66" s="295"/>
      <c r="K66" s="118"/>
      <c r="L66" s="118"/>
      <c r="M66" s="118"/>
      <c r="N66" s="118"/>
      <c r="O66" s="118"/>
      <c r="P66" s="118"/>
      <c r="Q66" s="118"/>
      <c r="R66" s="295"/>
      <c r="S66" s="295"/>
    </row>
    <row r="67" spans="1:19" ht="15.75" customHeight="1" x14ac:dyDescent="0.25">
      <c r="A67" s="295"/>
      <c r="B67" s="337" t="s">
        <v>79</v>
      </c>
      <c r="C67" s="338"/>
      <c r="D67" s="292"/>
      <c r="E67" s="295"/>
      <c r="F67" s="119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</row>
    <row r="68" spans="1:19" ht="15.75" customHeight="1" x14ac:dyDescent="0.25">
      <c r="A68" s="295"/>
      <c r="B68" s="119">
        <v>44332</v>
      </c>
      <c r="C68" s="295"/>
      <c r="D68" s="295"/>
      <c r="E68" s="295"/>
      <c r="F68" s="295"/>
      <c r="G68" s="295"/>
      <c r="H68" s="295"/>
      <c r="I68" s="295"/>
      <c r="J68" s="295"/>
      <c r="R68" s="295"/>
      <c r="S68" s="295"/>
    </row>
    <row r="69" spans="1:19" ht="15.75" customHeight="1" x14ac:dyDescent="0.25">
      <c r="A69" s="295"/>
      <c r="B69" s="295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</row>
    <row r="70" spans="1:19" ht="15.75" customHeight="1" x14ac:dyDescent="0.25">
      <c r="A70" s="295"/>
      <c r="B70" s="295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</row>
    <row r="71" spans="1:19" ht="15.75" customHeight="1" x14ac:dyDescent="0.25">
      <c r="A71" s="295"/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</row>
    <row r="72" spans="1:19" ht="15.75" customHeight="1" x14ac:dyDescent="0.25">
      <c r="A72" s="295"/>
      <c r="B72" s="295"/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</row>
    <row r="73" spans="1:19" ht="15.75" customHeight="1" x14ac:dyDescent="0.25">
      <c r="A73" s="295"/>
      <c r="B73" s="295"/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  <c r="N73" s="295"/>
      <c r="O73" s="295"/>
      <c r="P73" s="295"/>
      <c r="Q73" s="295"/>
      <c r="R73" s="295"/>
      <c r="S73" s="295"/>
    </row>
    <row r="74" spans="1:19" ht="15.75" customHeight="1" x14ac:dyDescent="0.25">
      <c r="A74" s="295"/>
      <c r="B74" s="295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</row>
    <row r="75" spans="1:19" ht="15.75" customHeight="1" x14ac:dyDescent="0.25">
      <c r="A75" s="295"/>
      <c r="B75" s="295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</row>
    <row r="76" spans="1:19" ht="15.75" customHeight="1" x14ac:dyDescent="0.25">
      <c r="A76" s="295"/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</row>
    <row r="77" spans="1:19" ht="15.75" customHeight="1" x14ac:dyDescent="0.25">
      <c r="A77" s="295"/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</row>
    <row r="78" spans="1:19" ht="15.75" customHeight="1" x14ac:dyDescent="0.25">
      <c r="A78" s="295"/>
      <c r="B78" s="295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</row>
    <row r="79" spans="1:19" ht="15.75" customHeight="1" x14ac:dyDescent="0.25">
      <c r="A79" s="295"/>
      <c r="B79" s="295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</row>
    <row r="80" spans="1:19" ht="15.75" customHeight="1" x14ac:dyDescent="0.25">
      <c r="A80" s="295"/>
      <c r="B80" s="295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</row>
    <row r="81" spans="1:19" ht="15.75" customHeight="1" x14ac:dyDescent="0.25">
      <c r="A81" s="295"/>
      <c r="B81" s="295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</row>
    <row r="82" spans="1:19" ht="15.75" customHeight="1" x14ac:dyDescent="0.25">
      <c r="A82" s="295"/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</row>
    <row r="83" spans="1:19" ht="15.75" customHeight="1" x14ac:dyDescent="0.25">
      <c r="A83" s="295"/>
      <c r="B83" s="295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</row>
    <row r="84" spans="1:19" ht="15.75" customHeight="1" x14ac:dyDescent="0.25">
      <c r="A84" s="295"/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</row>
    <row r="85" spans="1:19" ht="15.75" customHeight="1" x14ac:dyDescent="0.25">
      <c r="A85" s="295"/>
      <c r="B85" s="295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</row>
    <row r="86" spans="1:19" ht="15.75" customHeight="1" x14ac:dyDescent="0.25">
      <c r="A86" s="295"/>
      <c r="B86" s="295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</row>
    <row r="87" spans="1:19" ht="15.75" customHeight="1" x14ac:dyDescent="0.25">
      <c r="A87" s="295"/>
      <c r="B87" s="295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</row>
    <row r="88" spans="1:19" ht="15.75" customHeight="1" x14ac:dyDescent="0.25">
      <c r="A88" s="295"/>
      <c r="B88" s="295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</row>
    <row r="89" spans="1:19" ht="15.75" customHeight="1" x14ac:dyDescent="0.25">
      <c r="A89" s="295"/>
      <c r="B89" s="295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</row>
    <row r="90" spans="1:19" ht="15.75" customHeight="1" x14ac:dyDescent="0.25">
      <c r="A90" s="295"/>
      <c r="B90" s="295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</row>
    <row r="91" spans="1:19" ht="15.75" customHeight="1" x14ac:dyDescent="0.25">
      <c r="A91" s="295"/>
      <c r="B91" s="295"/>
      <c r="C91" s="295"/>
      <c r="D91" s="295"/>
      <c r="E91" s="295"/>
      <c r="F91" s="295"/>
      <c r="G91" s="295"/>
      <c r="H91" s="295"/>
      <c r="I91" s="295"/>
      <c r="J91" s="295"/>
      <c r="K91" s="295"/>
      <c r="L91" s="295"/>
      <c r="M91" s="295"/>
      <c r="N91" s="295"/>
      <c r="O91" s="295"/>
      <c r="P91" s="295"/>
      <c r="Q91" s="295"/>
      <c r="R91" s="295"/>
      <c r="S91" s="295"/>
    </row>
    <row r="92" spans="1:19" ht="15.75" customHeight="1" x14ac:dyDescent="0.25">
      <c r="A92" s="295"/>
      <c r="B92" s="295"/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</row>
    <row r="93" spans="1:19" ht="15.75" customHeight="1" x14ac:dyDescent="0.25">
      <c r="A93" s="295"/>
      <c r="B93" s="295"/>
      <c r="C93" s="295"/>
      <c r="D93" s="295"/>
      <c r="E93" s="295"/>
      <c r="F93" s="295"/>
      <c r="G93" s="295"/>
      <c r="H93" s="295"/>
      <c r="I93" s="295"/>
      <c r="J93" s="295"/>
      <c r="K93" s="295"/>
      <c r="L93" s="295"/>
      <c r="M93" s="295"/>
      <c r="N93" s="295"/>
      <c r="O93" s="295"/>
      <c r="P93" s="295"/>
      <c r="Q93" s="295"/>
      <c r="R93" s="295"/>
      <c r="S93" s="295"/>
    </row>
    <row r="94" spans="1:19" ht="15.75" customHeight="1" x14ac:dyDescent="0.25">
      <c r="A94" s="295"/>
      <c r="B94" s="295"/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</row>
    <row r="95" spans="1:19" ht="15.75" customHeight="1" x14ac:dyDescent="0.25">
      <c r="A95" s="295"/>
      <c r="B95" s="295"/>
      <c r="C95" s="295"/>
      <c r="D95" s="295"/>
      <c r="E95" s="295"/>
      <c r="F95" s="295"/>
      <c r="G95" s="295"/>
      <c r="H95" s="295"/>
      <c r="I95" s="295"/>
      <c r="J95" s="295"/>
      <c r="K95" s="295"/>
      <c r="L95" s="295"/>
      <c r="M95" s="295"/>
      <c r="N95" s="295"/>
      <c r="O95" s="295"/>
      <c r="P95" s="295"/>
      <c r="Q95" s="295"/>
      <c r="R95" s="295"/>
      <c r="S95" s="295"/>
    </row>
    <row r="96" spans="1:19" ht="15.75" customHeight="1" x14ac:dyDescent="0.25">
      <c r="A96" s="295"/>
      <c r="B96" s="295"/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</row>
    <row r="97" spans="1:19" ht="15.75" customHeight="1" x14ac:dyDescent="0.25">
      <c r="A97" s="295"/>
      <c r="B97" s="295"/>
      <c r="C97" s="295"/>
      <c r="D97" s="295"/>
      <c r="E97" s="295"/>
      <c r="F97" s="295"/>
      <c r="G97" s="295"/>
      <c r="H97" s="295"/>
      <c r="I97" s="295"/>
      <c r="J97" s="295"/>
      <c r="K97" s="295"/>
      <c r="L97" s="295"/>
      <c r="M97" s="295"/>
      <c r="N97" s="295"/>
      <c r="O97" s="295"/>
      <c r="P97" s="295"/>
      <c r="Q97" s="295"/>
      <c r="R97" s="295"/>
      <c r="S97" s="295"/>
    </row>
    <row r="98" spans="1:19" ht="15.75" customHeight="1" x14ac:dyDescent="0.25">
      <c r="A98" s="295"/>
      <c r="B98" s="295"/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</row>
    <row r="99" spans="1:19" ht="15.75" customHeight="1" x14ac:dyDescent="0.25">
      <c r="A99" s="295"/>
      <c r="B99" s="295"/>
      <c r="C99" s="295"/>
      <c r="D99" s="295"/>
      <c r="E99" s="295"/>
      <c r="F99" s="295"/>
      <c r="G99" s="295"/>
      <c r="H99" s="295"/>
      <c r="I99" s="295"/>
      <c r="J99" s="295"/>
      <c r="K99" s="295"/>
      <c r="L99" s="295"/>
      <c r="M99" s="295"/>
      <c r="N99" s="295"/>
      <c r="O99" s="295"/>
      <c r="P99" s="295"/>
      <c r="Q99" s="295"/>
      <c r="R99" s="295"/>
      <c r="S99" s="295"/>
    </row>
    <row r="100" spans="1:19" ht="15.75" customHeight="1" x14ac:dyDescent="0.25">
      <c r="A100" s="295"/>
      <c r="B100" s="295"/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</row>
    <row r="101" spans="1:19" ht="15.75" customHeight="1" x14ac:dyDescent="0.25">
      <c r="A101" s="295"/>
      <c r="B101" s="295"/>
      <c r="C101" s="295"/>
      <c r="D101" s="295"/>
      <c r="E101" s="295"/>
      <c r="F101" s="295"/>
      <c r="G101" s="295"/>
      <c r="H101" s="295"/>
      <c r="I101" s="295"/>
      <c r="J101" s="295"/>
      <c r="K101" s="295"/>
      <c r="L101" s="295"/>
      <c r="M101" s="295"/>
      <c r="N101" s="295"/>
      <c r="O101" s="295"/>
      <c r="P101" s="295"/>
      <c r="Q101" s="295"/>
      <c r="R101" s="295"/>
      <c r="S101" s="295"/>
    </row>
    <row r="102" spans="1:19" ht="15.75" customHeight="1" x14ac:dyDescent="0.25">
      <c r="A102" s="295"/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5"/>
      <c r="P102" s="295"/>
      <c r="Q102" s="295"/>
      <c r="R102" s="295"/>
      <c r="S102" s="295"/>
    </row>
    <row r="103" spans="1:19" ht="15.75" customHeight="1" x14ac:dyDescent="0.25">
      <c r="A103" s="295"/>
      <c r="B103" s="295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5"/>
      <c r="P103" s="295"/>
      <c r="Q103" s="295"/>
      <c r="R103" s="295"/>
      <c r="S103" s="295"/>
    </row>
    <row r="104" spans="1:19" ht="15.75" customHeight="1" x14ac:dyDescent="0.25">
      <c r="A104" s="295"/>
      <c r="B104" s="295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</row>
    <row r="105" spans="1:19" ht="15.75" customHeight="1" x14ac:dyDescent="0.25">
      <c r="A105" s="295"/>
      <c r="B105" s="295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5"/>
      <c r="S105" s="295"/>
    </row>
    <row r="106" spans="1:19" ht="15.75" customHeight="1" x14ac:dyDescent="0.25">
      <c r="A106" s="295"/>
      <c r="B106" s="295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5"/>
      <c r="S106" s="295"/>
    </row>
    <row r="107" spans="1:19" ht="15.75" customHeight="1" x14ac:dyDescent="0.25">
      <c r="A107" s="295"/>
      <c r="B107" s="295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5"/>
      <c r="S107" s="295"/>
    </row>
    <row r="108" spans="1:19" ht="15.75" customHeight="1" x14ac:dyDescent="0.25">
      <c r="A108" s="295"/>
      <c r="B108" s="295"/>
      <c r="C108" s="295"/>
      <c r="D108" s="295"/>
      <c r="E108" s="295"/>
      <c r="F108" s="295"/>
      <c r="G108" s="295"/>
      <c r="H108" s="295"/>
      <c r="I108" s="295"/>
      <c r="J108" s="295"/>
      <c r="K108" s="295"/>
      <c r="L108" s="295"/>
      <c r="M108" s="295"/>
      <c r="N108" s="295"/>
      <c r="O108" s="295"/>
      <c r="P108" s="295"/>
      <c r="Q108" s="295"/>
      <c r="R108" s="295"/>
      <c r="S108" s="295"/>
    </row>
    <row r="109" spans="1:19" ht="15.75" customHeight="1" x14ac:dyDescent="0.25">
      <c r="A109" s="295"/>
      <c r="B109" s="295"/>
      <c r="C109" s="295"/>
      <c r="D109" s="295"/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5"/>
      <c r="S109" s="295"/>
    </row>
    <row r="110" spans="1:19" ht="15.75" customHeight="1" x14ac:dyDescent="0.25">
      <c r="A110" s="295"/>
      <c r="B110" s="295"/>
      <c r="C110" s="295"/>
      <c r="D110" s="295"/>
      <c r="E110" s="295"/>
      <c r="F110" s="295"/>
      <c r="G110" s="295"/>
      <c r="H110" s="295"/>
      <c r="I110" s="295"/>
      <c r="J110" s="295"/>
      <c r="K110" s="295"/>
      <c r="L110" s="295"/>
      <c r="M110" s="295"/>
      <c r="N110" s="295"/>
      <c r="O110" s="295"/>
      <c r="P110" s="295"/>
      <c r="Q110" s="295"/>
      <c r="R110" s="295"/>
      <c r="S110" s="295"/>
    </row>
  </sheetData>
  <mergeCells count="21">
    <mergeCell ref="B2:D2"/>
    <mergeCell ref="E2:R2"/>
    <mergeCell ref="B3:D3"/>
    <mergeCell ref="E3:R3"/>
    <mergeCell ref="B4:B5"/>
    <mergeCell ref="C4:C5"/>
    <mergeCell ref="D4:D5"/>
    <mergeCell ref="E4:E5"/>
    <mergeCell ref="F4:F5"/>
    <mergeCell ref="G4:G5"/>
    <mergeCell ref="O4:O5"/>
    <mergeCell ref="P4:P5"/>
    <mergeCell ref="Q4:Q5"/>
    <mergeCell ref="R4:R5"/>
    <mergeCell ref="M4:M5"/>
    <mergeCell ref="N4:N5"/>
    <mergeCell ref="B67:C67"/>
    <mergeCell ref="H4:H5"/>
    <mergeCell ref="J4:J5"/>
    <mergeCell ref="K4:K5"/>
    <mergeCell ref="L4:L5"/>
  </mergeCells>
  <phoneticPr fontId="34" type="noConversion"/>
  <pageMargins left="0.51181102362204722" right="0.51181102362204722" top="0.78740157480314965" bottom="0.78740157480314965" header="0" footer="0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101"/>
  <sheetViews>
    <sheetView showGridLines="0" zoomScale="70" zoomScaleNormal="70" workbookViewId="0">
      <pane ySplit="9" topLeftCell="A10" activePane="bottomLeft" state="frozen"/>
      <selection activeCell="D11" sqref="D11:E11"/>
      <selection pane="bottomLeft" activeCell="D22" sqref="D22:E22"/>
    </sheetView>
  </sheetViews>
  <sheetFormatPr defaultColWidth="14.42578125" defaultRowHeight="15" customHeight="1" x14ac:dyDescent="0.25"/>
  <cols>
    <col min="1" max="1" width="8.7109375" customWidth="1"/>
    <col min="2" max="2" width="2.42578125" customWidth="1"/>
    <col min="3" max="3" width="35.140625" customWidth="1"/>
    <col min="4" max="4" width="18.85546875" customWidth="1"/>
    <col min="5" max="5" width="11.5703125" customWidth="1"/>
    <col min="6" max="6" width="18.85546875" bestFit="1" customWidth="1"/>
    <col min="7" max="7" width="10" customWidth="1"/>
    <col min="8" max="8" width="18.85546875" bestFit="1" customWidth="1"/>
    <col min="9" max="9" width="10" customWidth="1"/>
    <col min="10" max="10" width="18.85546875" customWidth="1"/>
    <col min="11" max="11" width="9.28515625" bestFit="1" customWidth="1"/>
    <col min="12" max="12" width="18.85546875" customWidth="1"/>
    <col min="13" max="13" width="8" bestFit="1" customWidth="1"/>
    <col min="14" max="14" width="26" customWidth="1"/>
    <col min="15" max="15" width="14.42578125" customWidth="1"/>
  </cols>
  <sheetData>
    <row r="1" spans="1:17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ht="15" customHeight="1" x14ac:dyDescent="0.25">
      <c r="A2" s="1"/>
      <c r="B2" s="1"/>
      <c r="C2" s="10" t="str">
        <f>+'Preço SFCR-FRONIUS-BYD'!C2</f>
        <v>Versão: Maio/2020</v>
      </c>
      <c r="D2" s="7"/>
      <c r="E2" s="7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7" ht="15" customHeight="1" x14ac:dyDescent="0.25">
      <c r="A3" s="1"/>
      <c r="B3" s="1"/>
      <c r="C3" s="10"/>
      <c r="D3" s="346" t="s">
        <v>12</v>
      </c>
      <c r="E3" s="347"/>
      <c r="F3" s="347"/>
      <c r="G3" s="347"/>
      <c r="H3" s="347"/>
      <c r="I3" s="347"/>
      <c r="J3" s="1"/>
      <c r="K3" s="1"/>
      <c r="L3" s="1"/>
      <c r="M3" s="1"/>
      <c r="N3" s="1"/>
      <c r="O3" s="1"/>
    </row>
    <row r="4" spans="1:17" ht="15" customHeight="1" x14ac:dyDescent="0.25">
      <c r="A4" s="1"/>
      <c r="B4" s="1"/>
      <c r="C4" s="10"/>
      <c r="D4" s="347"/>
      <c r="E4" s="347"/>
      <c r="F4" s="347"/>
      <c r="G4" s="347"/>
      <c r="H4" s="347"/>
      <c r="I4" s="347"/>
      <c r="J4" s="1"/>
      <c r="K4" s="1"/>
      <c r="L4" s="1"/>
      <c r="M4" s="1"/>
      <c r="N4" s="1"/>
      <c r="O4" s="1"/>
    </row>
    <row r="5" spans="1:17" ht="15" customHeight="1" x14ac:dyDescent="0.25">
      <c r="A5" s="1"/>
      <c r="B5" s="1"/>
      <c r="C5" s="10"/>
      <c r="D5" s="346" t="s">
        <v>45</v>
      </c>
      <c r="E5" s="347"/>
      <c r="F5" s="347"/>
      <c r="G5" s="347"/>
      <c r="H5" s="347"/>
      <c r="I5" s="347"/>
      <c r="J5" s="1"/>
      <c r="K5" s="1"/>
      <c r="L5" s="1"/>
      <c r="M5" s="1"/>
      <c r="N5" s="1"/>
      <c r="O5" s="1"/>
    </row>
    <row r="6" spans="1:17" ht="15" customHeight="1" x14ac:dyDescent="0.25">
      <c r="A6" s="1"/>
      <c r="B6" s="1"/>
      <c r="C6" s="10"/>
      <c r="D6" s="347"/>
      <c r="E6" s="347"/>
      <c r="F6" s="347"/>
      <c r="G6" s="347"/>
      <c r="H6" s="347"/>
      <c r="I6" s="347"/>
      <c r="J6" s="1"/>
      <c r="K6" s="1"/>
      <c r="L6" s="1"/>
      <c r="M6" s="1"/>
      <c r="N6" s="1"/>
      <c r="O6" s="1"/>
    </row>
    <row r="7" spans="1:17" ht="15" customHeight="1" x14ac:dyDescent="0.25">
      <c r="A7" s="1"/>
      <c r="B7" s="1"/>
      <c r="C7" s="457"/>
      <c r="D7" s="347"/>
      <c r="E7" s="347"/>
      <c r="F7" s="347"/>
      <c r="G7" s="99"/>
      <c r="H7" s="1"/>
      <c r="I7" s="1"/>
      <c r="J7" s="100"/>
      <c r="K7" s="100"/>
      <c r="L7" s="100"/>
      <c r="M7" s="100"/>
      <c r="N7" s="100"/>
      <c r="O7" s="1"/>
    </row>
    <row r="8" spans="1:17" ht="18.75" x14ac:dyDescent="0.3">
      <c r="A8" s="1"/>
      <c r="B8" s="1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1"/>
      <c r="O8" s="1"/>
    </row>
    <row r="9" spans="1:17" ht="21" customHeight="1" x14ac:dyDescent="0.3">
      <c r="A9" s="1"/>
      <c r="B9" s="1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0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1"/>
    </row>
    <row r="10" spans="1:17" ht="15.75" customHeight="1" x14ac:dyDescent="0.25">
      <c r="A10" s="1"/>
      <c r="B10" s="1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1"/>
    </row>
    <row r="11" spans="1:17" ht="15.75" customHeight="1" x14ac:dyDescent="0.25">
      <c r="A11" s="1"/>
      <c r="B11" s="1"/>
      <c r="C11" s="24" t="s">
        <v>18</v>
      </c>
      <c r="D11" s="374" t="e">
        <f>+VLOOKUP(MIN('REFUSOL-BYD 335Wp'!D:D),'REFUSOL-BYD 335Wp'!D:E,2,0)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1"/>
    </row>
    <row r="12" spans="1:17" ht="15.75" customHeight="1" x14ac:dyDescent="0.25">
      <c r="A12" s="1"/>
      <c r="B12" s="1"/>
      <c r="C12" s="25" t="s">
        <v>19</v>
      </c>
      <c r="D12" s="367" t="s">
        <v>20</v>
      </c>
      <c r="E12" s="338"/>
      <c r="F12" s="368" t="str">
        <f t="shared" ref="F12:F13" si="0">+D12</f>
        <v>BYD HALF CELL</v>
      </c>
      <c r="G12" s="338"/>
      <c r="H12" s="369" t="str">
        <f>+F12</f>
        <v>BYD HALF CELL</v>
      </c>
      <c r="I12" s="338"/>
      <c r="J12" s="370" t="str">
        <f>+H12</f>
        <v>BYD HALF CELL</v>
      </c>
      <c r="K12" s="338"/>
      <c r="L12" s="363">
        <v>16102</v>
      </c>
      <c r="M12" s="354"/>
      <c r="N12" s="2"/>
      <c r="O12" s="1"/>
    </row>
    <row r="13" spans="1:17" ht="15.75" customHeight="1" x14ac:dyDescent="0.25">
      <c r="A13" s="1"/>
      <c r="B13" s="1"/>
      <c r="C13" s="24" t="s">
        <v>21</v>
      </c>
      <c r="D13" s="372">
        <v>335</v>
      </c>
      <c r="E13" s="338"/>
      <c r="F13" s="375">
        <f t="shared" si="0"/>
        <v>335</v>
      </c>
      <c r="G13" s="338"/>
      <c r="H13" s="376">
        <f>+D13</f>
        <v>335</v>
      </c>
      <c r="I13" s="338"/>
      <c r="J13" s="352">
        <f>+D13</f>
        <v>335</v>
      </c>
      <c r="K13" s="338"/>
      <c r="L13" s="364">
        <f>+D13</f>
        <v>335</v>
      </c>
      <c r="M13" s="354"/>
      <c r="N13" s="2"/>
      <c r="O13" s="1"/>
    </row>
    <row r="14" spans="1:17" ht="15.75" customHeight="1" x14ac:dyDescent="0.25">
      <c r="A14" s="1"/>
      <c r="B14" s="1"/>
      <c r="C14" s="25" t="s">
        <v>46</v>
      </c>
      <c r="D14" s="26" t="e">
        <f>+IF(D11="","",VLOOKUP(D11,'REFUSOL-BYD 335Wp'!$E$7:$H$69,4,0))</f>
        <v>#DIV/0!</v>
      </c>
      <c r="E14" s="27">
        <v>1</v>
      </c>
      <c r="F14" s="28" t="str">
        <f>+IF(F11="","",VLOOKUP(F11,'REFUSOL-BYD 335Wp'!$E$7:$H$69,4,0))</f>
        <v/>
      </c>
      <c r="G14" s="29">
        <v>1</v>
      </c>
      <c r="H14" s="30" t="str">
        <f>+IF(H11="","",VLOOKUP(H11,'REFUSOL-BYD 335Wp'!$E$7:$H$69,4,0))</f>
        <v/>
      </c>
      <c r="I14" s="31">
        <v>1</v>
      </c>
      <c r="J14" s="32" t="str">
        <f>+IF(J11="","",VLOOKUP(J11,'REFUSOL-BYD 335Wp'!$E$7:$H$69,4,0))</f>
        <v/>
      </c>
      <c r="K14" s="33">
        <v>1</v>
      </c>
      <c r="L14" s="34" t="str">
        <f>+IF(L11="","",VLOOKUP(L11,'REFUSOL-BYD 335Wp'!$E$7:$H$69,4,0))</f>
        <v/>
      </c>
      <c r="M14" s="35">
        <v>1</v>
      </c>
      <c r="N14" s="2"/>
      <c r="O14" s="1"/>
    </row>
    <row r="15" spans="1:17" ht="15.75" hidden="1" customHeight="1" x14ac:dyDescent="0.25">
      <c r="A15" s="1"/>
      <c r="B15" s="1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1"/>
    </row>
    <row r="16" spans="1:17" ht="15.75" customHeight="1" x14ac:dyDescent="0.25">
      <c r="A16" s="1"/>
      <c r="B16" s="1"/>
      <c r="C16" s="24" t="s">
        <v>25</v>
      </c>
      <c r="D16" s="373" t="e">
        <f>+D11*1.94236</f>
        <v>#DIV/0!</v>
      </c>
      <c r="E16" s="338"/>
      <c r="F16" s="355">
        <f>+F11*1.94236</f>
        <v>0</v>
      </c>
      <c r="G16" s="338"/>
      <c r="H16" s="356">
        <f>+H11*1.94236</f>
        <v>0</v>
      </c>
      <c r="I16" s="338"/>
      <c r="J16" s="365">
        <f>+J11*1.94236</f>
        <v>0</v>
      </c>
      <c r="K16" s="338"/>
      <c r="L16" s="366">
        <f>+L11*1.94236</f>
        <v>0</v>
      </c>
      <c r="M16" s="354"/>
      <c r="N16" s="2"/>
      <c r="O16" s="1"/>
      <c r="Q16" s="160"/>
    </row>
    <row r="17" spans="1:15" ht="15.75" customHeight="1" x14ac:dyDescent="0.25">
      <c r="A17" s="1"/>
      <c r="B17" s="1"/>
      <c r="C17" s="48" t="s">
        <v>26</v>
      </c>
      <c r="D17" s="371" t="e">
        <f>+D11*D13*$D$45/1000</f>
        <v>#DIV/0!</v>
      </c>
      <c r="E17" s="349"/>
      <c r="F17" s="357">
        <f>+F11*F13*$D$45/1000</f>
        <v>0</v>
      </c>
      <c r="G17" s="349"/>
      <c r="H17" s="358">
        <f>+H11*H13*$D$45/1000</f>
        <v>0</v>
      </c>
      <c r="I17" s="349"/>
      <c r="J17" s="359">
        <f>+J11*J13*$D$45/1000</f>
        <v>0</v>
      </c>
      <c r="K17" s="360"/>
      <c r="L17" s="361">
        <f>+L11*L13*$D$45/1000</f>
        <v>0</v>
      </c>
      <c r="M17" s="362"/>
      <c r="N17" s="2"/>
      <c r="O17" s="1"/>
    </row>
    <row r="18" spans="1:15" ht="15.75" customHeight="1" x14ac:dyDescent="0.25">
      <c r="A18" s="1"/>
      <c r="B18" s="1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1"/>
    </row>
    <row r="19" spans="1:15" ht="15.75" customHeight="1" thickBot="1" x14ac:dyDescent="0.3">
      <c r="A19" s="1"/>
      <c r="B19" s="1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1"/>
    </row>
    <row r="20" spans="1:15" ht="18.75" customHeight="1" thickBot="1" x14ac:dyDescent="0.4">
      <c r="A20" s="1"/>
      <c r="B20" s="1"/>
      <c r="C20" s="51"/>
      <c r="D20" s="52"/>
      <c r="E20" s="53"/>
      <c r="F20" s="54"/>
      <c r="G20" s="2"/>
      <c r="H20" s="54"/>
      <c r="I20" s="2"/>
      <c r="J20" s="55"/>
      <c r="K20" s="1"/>
      <c r="L20" s="54"/>
      <c r="M20" s="2"/>
      <c r="N20" s="2"/>
      <c r="O20" s="1"/>
    </row>
    <row r="21" spans="1:15" ht="43.5" hidden="1" customHeight="1" thickBot="1" x14ac:dyDescent="0.3">
      <c r="A21" s="1"/>
      <c r="B21" s="1"/>
      <c r="C21" s="188" t="s">
        <v>220</v>
      </c>
      <c r="D21" s="452" t="e">
        <f>+IF(D11="","",VLOOKUP(D11,'REFUSOL-BYD 335Wp'!$E$7:$F$69,2,0))</f>
        <v>#DIV/0!</v>
      </c>
      <c r="E21" s="398"/>
      <c r="F21" s="397" t="str">
        <f>+IF(F11="","",VLOOKUP(F11,'REFUSOL-BYD 335Wp'!$E$7:$F$69,2,0))</f>
        <v/>
      </c>
      <c r="G21" s="398"/>
      <c r="H21" s="399" t="str">
        <f>+IF(H11="","",VLOOKUP(H11,'REFUSOL-BYD 335Wp'!$E$7:$F$69,2,0))</f>
        <v/>
      </c>
      <c r="I21" s="398"/>
      <c r="J21" s="400" t="str">
        <f>+IF(J11="","",VLOOKUP(J11,'REFUSOL-BYD 335Wp'!$E$7:$F$69,2,0))</f>
        <v/>
      </c>
      <c r="K21" s="398"/>
      <c r="L21" s="401" t="str">
        <f>+IF(L11="","",VLOOKUP(L11,'REFUSOL-BYD 335Wp'!$E$7:$F$69,2,0))</f>
        <v/>
      </c>
      <c r="M21" s="381"/>
      <c r="N21" s="2"/>
      <c r="O21" s="1"/>
    </row>
    <row r="22" spans="1:15" s="174" customFormat="1" ht="43.5" customHeight="1" thickBot="1" x14ac:dyDescent="0.3">
      <c r="A22" s="175"/>
      <c r="B22" s="175"/>
      <c r="C22" s="189" t="s">
        <v>29</v>
      </c>
      <c r="D22" s="452" t="e">
        <f>ROUND(D21+(D21*$H$44),0)</f>
        <v>#DIV/0!</v>
      </c>
      <c r="E22" s="398"/>
      <c r="F22" s="397" t="e">
        <f>ROUND(F21+(F21*$H$44),0)</f>
        <v>#VALUE!</v>
      </c>
      <c r="G22" s="398"/>
      <c r="H22" s="399" t="e">
        <f>ROUND(H21+(H21*$H$44),0)</f>
        <v>#VALUE!</v>
      </c>
      <c r="I22" s="398"/>
      <c r="J22" s="400" t="e">
        <f>ROUND(J21+(J21*$H$44),0)</f>
        <v>#VALUE!</v>
      </c>
      <c r="K22" s="398"/>
      <c r="L22" s="401" t="e">
        <f>ROUND(L21+(L21*$H$44),0)</f>
        <v>#VALUE!</v>
      </c>
      <c r="M22" s="381"/>
      <c r="N22" s="2"/>
      <c r="O22" s="175"/>
    </row>
    <row r="23" spans="1:15" ht="12.75" customHeight="1" x14ac:dyDescent="0.35">
      <c r="A23" s="1"/>
      <c r="B23" s="1"/>
      <c r="C23" s="51"/>
      <c r="D23" s="56"/>
      <c r="E23" s="57"/>
      <c r="F23" s="56"/>
      <c r="G23" s="57"/>
      <c r="H23" s="56"/>
      <c r="I23" s="57"/>
      <c r="J23" s="54"/>
      <c r="K23" s="58"/>
      <c r="L23" s="54"/>
      <c r="M23" s="58"/>
      <c r="N23" s="2"/>
      <c r="O23" s="1"/>
    </row>
    <row r="24" spans="1:15" ht="15.75" customHeight="1" thickBot="1" x14ac:dyDescent="0.4">
      <c r="A24" s="1"/>
      <c r="B24" s="1"/>
      <c r="C24" s="444" t="s">
        <v>30</v>
      </c>
      <c r="D24" s="347"/>
      <c r="E24" s="347"/>
      <c r="F24" s="347"/>
      <c r="G24" s="347"/>
      <c r="H24" s="347"/>
      <c r="I24" s="57"/>
      <c r="J24" s="54"/>
      <c r="K24" s="58"/>
      <c r="L24" s="54"/>
      <c r="M24" s="58"/>
      <c r="N24" s="2"/>
      <c r="O24" s="1"/>
    </row>
    <row r="25" spans="1:15" ht="15" customHeight="1" x14ac:dyDescent="0.25">
      <c r="A25" s="1"/>
      <c r="B25" s="1"/>
      <c r="C25" s="59" t="s">
        <v>31</v>
      </c>
      <c r="D25" s="389" t="e">
        <f>+$D$42*D22</f>
        <v>#DIV/0!</v>
      </c>
      <c r="E25" s="338"/>
      <c r="F25" s="404" t="e">
        <f t="shared" ref="F25" si="1">+$D$42*F22</f>
        <v>#VALUE!</v>
      </c>
      <c r="G25" s="403"/>
      <c r="H25" s="405" t="e">
        <f t="shared" ref="H25" si="2">+$D$42*H22</f>
        <v>#VALUE!</v>
      </c>
      <c r="I25" s="403"/>
      <c r="J25" s="406" t="e">
        <f t="shared" ref="J25" si="3">+$D$42*J22</f>
        <v>#VALUE!</v>
      </c>
      <c r="K25" s="403"/>
      <c r="L25" s="407" t="e">
        <f t="shared" ref="L25" si="4">+$D$42*L22</f>
        <v>#VALUE!</v>
      </c>
      <c r="M25" s="408"/>
      <c r="N25" s="60" t="s">
        <v>32</v>
      </c>
      <c r="O25" s="1"/>
    </row>
    <row r="26" spans="1:15" ht="15" hidden="1" customHeight="1" x14ac:dyDescent="0.25">
      <c r="A26" s="1"/>
      <c r="B26" s="1"/>
      <c r="C26" s="61"/>
      <c r="D26" s="389" t="e">
        <f>+D22-D25</f>
        <v>#DIV/0!</v>
      </c>
      <c r="E26" s="338"/>
      <c r="F26" s="388" t="e">
        <f t="shared" ref="F26" si="5">+F22-F25</f>
        <v>#VALUE!</v>
      </c>
      <c r="G26" s="338"/>
      <c r="H26" s="385" t="e">
        <f t="shared" ref="H26" si="6">+H22-H25</f>
        <v>#VALUE!</v>
      </c>
      <c r="I26" s="338"/>
      <c r="J26" s="386" t="e">
        <f t="shared" ref="J26" si="7">+J22-J25</f>
        <v>#VALUE!</v>
      </c>
      <c r="K26" s="338"/>
      <c r="L26" s="387" t="e">
        <f t="shared" ref="L26" si="8">+L22-L25</f>
        <v>#VALUE!</v>
      </c>
      <c r="M26" s="354"/>
      <c r="N26" s="62"/>
      <c r="O26" s="1"/>
    </row>
    <row r="27" spans="1:15" ht="15" customHeight="1" x14ac:dyDescent="0.25">
      <c r="A27" s="1"/>
      <c r="B27" s="1"/>
      <c r="C27" s="216">
        <f>+'Preço SFCR-FRONIUS-BYD'!C27</f>
        <v>12</v>
      </c>
      <c r="D27" s="389" t="e">
        <f>+PMT(N27,C27,-$D$26)</f>
        <v>#DIV/0!</v>
      </c>
      <c r="E27" s="338"/>
      <c r="F27" s="388" t="e">
        <f>+PMT(N27,C27,-$F$26)</f>
        <v>#VALUE!</v>
      </c>
      <c r="G27" s="338"/>
      <c r="H27" s="385" t="e">
        <f>+PMT(N27,C27,-$H$26)</f>
        <v>#VALUE!</v>
      </c>
      <c r="I27" s="338"/>
      <c r="J27" s="386" t="e">
        <f>+PMT(N27,C27,-$J$26)</f>
        <v>#VALUE!</v>
      </c>
      <c r="K27" s="338"/>
      <c r="L27" s="387" t="e">
        <f>+PMT(N27,C27,-$L$26)</f>
        <v>#VALUE!</v>
      </c>
      <c r="M27" s="354"/>
      <c r="N27" s="90">
        <f>+'Preço SFCR-FRONIUS-BYD'!N27</f>
        <v>1.6799999999999999E-2</v>
      </c>
      <c r="O27" s="1"/>
    </row>
    <row r="28" spans="1:15" ht="15" customHeight="1" x14ac:dyDescent="0.25">
      <c r="A28" s="1"/>
      <c r="B28" s="1"/>
      <c r="C28" s="218">
        <f>+'Preço SFCR-FRONIUS-BYD'!C28</f>
        <v>24</v>
      </c>
      <c r="D28" s="389" t="e">
        <f t="shared" ref="D28:D31" si="9">+PMT(N28,C28,-$D$26)</f>
        <v>#DIV/0!</v>
      </c>
      <c r="E28" s="338"/>
      <c r="F28" s="388" t="e">
        <f t="shared" ref="F28:F31" si="10">+PMT(N28,C28,-$F$26)</f>
        <v>#VALUE!</v>
      </c>
      <c r="G28" s="338"/>
      <c r="H28" s="385" t="e">
        <f t="shared" ref="H28:H31" si="11">+PMT(N28,C28,-$H$26)</f>
        <v>#VALUE!</v>
      </c>
      <c r="I28" s="338"/>
      <c r="J28" s="386" t="e">
        <f t="shared" ref="J28:J31" si="12">+PMT(N28,C28,-$J$26)</f>
        <v>#VALUE!</v>
      </c>
      <c r="K28" s="338"/>
      <c r="L28" s="387" t="e">
        <f t="shared" ref="L28:L31" si="13">+PMT(N28,C28,-$L$26)</f>
        <v>#VALUE!</v>
      </c>
      <c r="M28" s="354"/>
      <c r="N28" s="90">
        <f>+'Preço SFCR-FRONIUS-BYD'!N28</f>
        <v>1.55E-2</v>
      </c>
      <c r="O28" s="175"/>
    </row>
    <row r="29" spans="1:15" ht="15" customHeight="1" x14ac:dyDescent="0.25">
      <c r="A29" s="1"/>
      <c r="B29" s="1"/>
      <c r="C29" s="216">
        <f>+'Preço SFCR-FRONIUS-BYD'!C29</f>
        <v>36</v>
      </c>
      <c r="D29" s="389" t="e">
        <f t="shared" si="9"/>
        <v>#DIV/0!</v>
      </c>
      <c r="E29" s="338"/>
      <c r="F29" s="388" t="e">
        <f t="shared" si="10"/>
        <v>#VALUE!</v>
      </c>
      <c r="G29" s="338"/>
      <c r="H29" s="385" t="e">
        <f t="shared" si="11"/>
        <v>#VALUE!</v>
      </c>
      <c r="I29" s="338"/>
      <c r="J29" s="386" t="e">
        <f t="shared" si="12"/>
        <v>#VALUE!</v>
      </c>
      <c r="K29" s="338"/>
      <c r="L29" s="387" t="e">
        <f t="shared" si="13"/>
        <v>#VALUE!</v>
      </c>
      <c r="M29" s="354"/>
      <c r="N29" s="90">
        <f>+'Preço SFCR-FRONIUS-BYD'!N29</f>
        <v>1.5800000000000002E-2</v>
      </c>
      <c r="O29" s="175"/>
    </row>
    <row r="30" spans="1:15" ht="15" customHeight="1" x14ac:dyDescent="0.25">
      <c r="A30" s="1"/>
      <c r="B30" s="1"/>
      <c r="C30" s="218">
        <f>+'Preço SFCR-FRONIUS-BYD'!C30</f>
        <v>48</v>
      </c>
      <c r="D30" s="389" t="e">
        <f t="shared" si="9"/>
        <v>#DIV/0!</v>
      </c>
      <c r="E30" s="338"/>
      <c r="F30" s="388" t="e">
        <f t="shared" si="10"/>
        <v>#VALUE!</v>
      </c>
      <c r="G30" s="338"/>
      <c r="H30" s="385" t="e">
        <f t="shared" si="11"/>
        <v>#VALUE!</v>
      </c>
      <c r="I30" s="338"/>
      <c r="J30" s="386" t="e">
        <f t="shared" si="12"/>
        <v>#VALUE!</v>
      </c>
      <c r="K30" s="338"/>
      <c r="L30" s="387" t="e">
        <f t="shared" si="13"/>
        <v>#VALUE!</v>
      </c>
      <c r="M30" s="354"/>
      <c r="N30" s="90">
        <f>+'Preço SFCR-FRONIUS-BYD'!N30</f>
        <v>1.61E-2</v>
      </c>
      <c r="O30" s="175"/>
    </row>
    <row r="31" spans="1:15" ht="15" customHeight="1" x14ac:dyDescent="0.25">
      <c r="A31" s="1"/>
      <c r="B31" s="1"/>
      <c r="C31" s="219">
        <f>+'Preço SFCR-FRONIUS-BYD'!C31</f>
        <v>60</v>
      </c>
      <c r="D31" s="418" t="e">
        <f t="shared" si="9"/>
        <v>#DIV/0!</v>
      </c>
      <c r="E31" s="391"/>
      <c r="F31" s="421" t="e">
        <f t="shared" si="10"/>
        <v>#VALUE!</v>
      </c>
      <c r="G31" s="391"/>
      <c r="H31" s="414" t="e">
        <f t="shared" si="11"/>
        <v>#VALUE!</v>
      </c>
      <c r="I31" s="391"/>
      <c r="J31" s="415" t="e">
        <f t="shared" si="12"/>
        <v>#VALUE!</v>
      </c>
      <c r="K31" s="391"/>
      <c r="L31" s="419" t="e">
        <f t="shared" si="13"/>
        <v>#VALUE!</v>
      </c>
      <c r="M31" s="420"/>
      <c r="N31" s="90">
        <f>+'Preço SFCR-FRONIUS-BYD'!N31</f>
        <v>1.6400000000000001E-2</v>
      </c>
      <c r="O31" s="175"/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1"/>
    </row>
    <row r="33" spans="1:15" ht="14.25" customHeight="1" x14ac:dyDescent="0.25">
      <c r="A33" s="65"/>
      <c r="B33" s="65"/>
      <c r="C33" s="65" t="str">
        <f>+'Preço SFCR-FRONIUS-BYD'!C33</f>
        <v>Observação: Proposta apenas orientativa, caso tenha interesse formalizamos uma proposta.</v>
      </c>
      <c r="D33" s="65"/>
      <c r="E33" s="65"/>
      <c r="F33" s="65"/>
      <c r="G33" s="65"/>
      <c r="H33" s="54"/>
      <c r="I33" s="54"/>
      <c r="J33" s="65"/>
      <c r="K33" s="65"/>
      <c r="L33" s="65"/>
      <c r="M33" s="65"/>
      <c r="N33" s="65"/>
      <c r="O33" s="1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54"/>
      <c r="I34" s="54"/>
      <c r="J34" s="65"/>
      <c r="K34" s="65"/>
      <c r="L34" s="65"/>
      <c r="M34" s="65"/>
      <c r="N34" s="65"/>
      <c r="O34" s="1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1"/>
    </row>
    <row r="36" spans="1:15" ht="14.25" customHeight="1" x14ac:dyDescent="0.25">
      <c r="A36" s="1"/>
      <c r="B36" s="1"/>
      <c r="C36" s="73" t="s">
        <v>34</v>
      </c>
      <c r="D36" s="471" t="e">
        <f>+D22/(D10*1000)</f>
        <v>#DIV/0!</v>
      </c>
      <c r="E36" s="338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1"/>
    </row>
    <row r="37" spans="1:15" ht="14.25" customHeight="1" x14ac:dyDescent="0.25">
      <c r="A37" s="1"/>
      <c r="B37" s="1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1"/>
    </row>
    <row r="38" spans="1:15" ht="14.25" customHeight="1" x14ac:dyDescent="0.25">
      <c r="A38" s="1"/>
      <c r="B38" s="1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1"/>
    </row>
    <row r="39" spans="1:15" ht="14.25" customHeight="1" x14ac:dyDescent="0.25">
      <c r="A39" s="1"/>
      <c r="B39" s="1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1"/>
      <c r="O39" s="1"/>
    </row>
    <row r="40" spans="1:1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 customHeight="1" x14ac:dyDescent="0.25">
      <c r="A42" s="1"/>
      <c r="B42" s="1"/>
      <c r="C42" s="77" t="s">
        <v>38</v>
      </c>
      <c r="D42" s="91">
        <f>+'Preço SFCR-FRONIUS-BYD'!D42</f>
        <v>0</v>
      </c>
      <c r="E42" s="65"/>
      <c r="F42" s="79"/>
      <c r="G42" s="79"/>
      <c r="H42" s="1"/>
      <c r="I42" s="1"/>
      <c r="J42" s="1"/>
      <c r="K42" s="1"/>
      <c r="L42" s="1"/>
      <c r="M42" s="1"/>
      <c r="N42" s="1"/>
      <c r="O42" s="1"/>
    </row>
    <row r="43" spans="1:15" ht="14.25" customHeight="1" x14ac:dyDescent="0.25">
      <c r="A43" s="1"/>
      <c r="B43" s="1"/>
      <c r="C43" s="80" t="s">
        <v>39</v>
      </c>
      <c r="D43" s="81" t="e">
        <f>+'Preço SFCR-FRONIUS-BYD'!D43</f>
        <v>#DIV/0!</v>
      </c>
      <c r="E43" s="82"/>
      <c r="F43" s="83" t="s">
        <v>40</v>
      </c>
      <c r="G43" s="71" t="e">
        <f>+D43/D45</f>
        <v>#DIV/0!</v>
      </c>
      <c r="H43" s="1"/>
      <c r="I43" s="1"/>
      <c r="J43" s="1"/>
      <c r="K43" s="1"/>
      <c r="L43" s="1"/>
      <c r="M43" s="1"/>
      <c r="N43" s="1"/>
      <c r="O43" s="1"/>
    </row>
    <row r="44" spans="1:15" ht="14.25" customHeight="1" x14ac:dyDescent="0.25">
      <c r="A44" s="1"/>
      <c r="B44" s="1"/>
      <c r="C44" s="84" t="s">
        <v>41</v>
      </c>
      <c r="D44" s="97">
        <f>+'Preço SFCR-FRONIUS-BYD'!D44</f>
        <v>0.85</v>
      </c>
      <c r="E44" s="70"/>
      <c r="F44" s="429" t="s">
        <v>42</v>
      </c>
      <c r="G44" s="412"/>
      <c r="H44" s="98">
        <f>+'Preço SFCR-FRONIUS-BYD'!H44</f>
        <v>0.05</v>
      </c>
      <c r="I44" s="1"/>
      <c r="J44" s="1"/>
      <c r="K44" s="1"/>
      <c r="L44" s="1"/>
      <c r="M44" s="1"/>
      <c r="N44" s="1"/>
      <c r="O44" s="1"/>
    </row>
    <row r="45" spans="1:15" ht="14.25" customHeight="1" x14ac:dyDescent="0.25">
      <c r="A45" s="1"/>
      <c r="B45" s="1"/>
      <c r="C45" s="87" t="s">
        <v>43</v>
      </c>
      <c r="D45" s="97">
        <f>+'Preço SFCR-FRONIUS-BYD'!D45</f>
        <v>120</v>
      </c>
      <c r="E45" s="70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</sheetData>
  <mergeCells count="113">
    <mergeCell ref="L38:M38"/>
    <mergeCell ref="D39:E39"/>
    <mergeCell ref="H31:I31"/>
    <mergeCell ref="J31:K31"/>
    <mergeCell ref="F39:G39"/>
    <mergeCell ref="H39:I39"/>
    <mergeCell ref="J39:K39"/>
    <mergeCell ref="L39:M39"/>
    <mergeCell ref="D37:E37"/>
    <mergeCell ref="F37:G37"/>
    <mergeCell ref="H37:I37"/>
    <mergeCell ref="J37:K37"/>
    <mergeCell ref="L37:M37"/>
    <mergeCell ref="D36:E36"/>
    <mergeCell ref="F36:G36"/>
    <mergeCell ref="H36:I36"/>
    <mergeCell ref="J36:K36"/>
    <mergeCell ref="L36:M36"/>
    <mergeCell ref="D31:E31"/>
    <mergeCell ref="L31:M31"/>
    <mergeCell ref="D26:E26"/>
    <mergeCell ref="F26:G26"/>
    <mergeCell ref="D30:E30"/>
    <mergeCell ref="F30:G30"/>
    <mergeCell ref="H30:I30"/>
    <mergeCell ref="J30:K30"/>
    <mergeCell ref="H26:I26"/>
    <mergeCell ref="J26:K26"/>
    <mergeCell ref="F44:G44"/>
    <mergeCell ref="D38:E38"/>
    <mergeCell ref="F38:G38"/>
    <mergeCell ref="H38:I38"/>
    <mergeCell ref="J38:K38"/>
    <mergeCell ref="F31:G31"/>
    <mergeCell ref="H32:I32"/>
    <mergeCell ref="D29:E29"/>
    <mergeCell ref="D27:E27"/>
    <mergeCell ref="F27:G27"/>
    <mergeCell ref="H27:I27"/>
    <mergeCell ref="J27:K27"/>
    <mergeCell ref="L27:M27"/>
    <mergeCell ref="D28:E28"/>
    <mergeCell ref="F29:G29"/>
    <mergeCell ref="H29:I29"/>
    <mergeCell ref="J29:K29"/>
    <mergeCell ref="L29:M29"/>
    <mergeCell ref="L30:M30"/>
    <mergeCell ref="F28:G28"/>
    <mergeCell ref="H28:I28"/>
    <mergeCell ref="J28:K28"/>
    <mergeCell ref="L28:M28"/>
    <mergeCell ref="D19:E19"/>
    <mergeCell ref="F19:G19"/>
    <mergeCell ref="H19:I19"/>
    <mergeCell ref="J19:K19"/>
    <mergeCell ref="H21:I21"/>
    <mergeCell ref="J21:K21"/>
    <mergeCell ref="L25:M25"/>
    <mergeCell ref="D21:E21"/>
    <mergeCell ref="F21:G21"/>
    <mergeCell ref="L21:M21"/>
    <mergeCell ref="F25:G25"/>
    <mergeCell ref="C24:H24"/>
    <mergeCell ref="D25:E25"/>
    <mergeCell ref="D22:E22"/>
    <mergeCell ref="F22:G22"/>
    <mergeCell ref="H22:I22"/>
    <mergeCell ref="J22:K22"/>
    <mergeCell ref="L22:M22"/>
    <mergeCell ref="D3:I4"/>
    <mergeCell ref="D5:I6"/>
    <mergeCell ref="F11:G11"/>
    <mergeCell ref="H11:I11"/>
    <mergeCell ref="D8:I8"/>
    <mergeCell ref="H13:I13"/>
    <mergeCell ref="C7:F7"/>
    <mergeCell ref="C8:C9"/>
    <mergeCell ref="L26:M26"/>
    <mergeCell ref="H25:I25"/>
    <mergeCell ref="J25:K25"/>
    <mergeCell ref="F18:G18"/>
    <mergeCell ref="H18:I18"/>
    <mergeCell ref="J18:K18"/>
    <mergeCell ref="L18:M18"/>
    <mergeCell ref="L19:M19"/>
    <mergeCell ref="J17:K17"/>
    <mergeCell ref="L17:M17"/>
    <mergeCell ref="D18:E18"/>
    <mergeCell ref="D16:E16"/>
    <mergeCell ref="F16:G16"/>
    <mergeCell ref="H16:I16"/>
    <mergeCell ref="J16:K16"/>
    <mergeCell ref="L16:M16"/>
    <mergeCell ref="D17:E17"/>
    <mergeCell ref="J13:K13"/>
    <mergeCell ref="J10:K10"/>
    <mergeCell ref="L10:M10"/>
    <mergeCell ref="J11:K11"/>
    <mergeCell ref="L11:M11"/>
    <mergeCell ref="F17:G17"/>
    <mergeCell ref="H17:I17"/>
    <mergeCell ref="D12:E12"/>
    <mergeCell ref="F12:G12"/>
    <mergeCell ref="H12:I12"/>
    <mergeCell ref="J12:K12"/>
    <mergeCell ref="L12:M12"/>
    <mergeCell ref="L13:M13"/>
    <mergeCell ref="D11:E11"/>
    <mergeCell ref="D10:E10"/>
    <mergeCell ref="F10:G10"/>
    <mergeCell ref="H10:I10"/>
    <mergeCell ref="D13:E13"/>
    <mergeCell ref="F13:G13"/>
  </mergeCells>
  <dataValidations disablePrompts="1" count="2">
    <dataValidation type="list" allowBlank="1" showErrorMessage="1" sqref="D15" xr:uid="{00000000-0002-0000-0500-000000000000}">
      <formula1>#REF!</formula1>
    </dataValidation>
    <dataValidation type="list" allowBlank="1" showErrorMessage="1" sqref="F15 L15 J15 H15" xr:uid="{00000000-0002-0000-0500-000001000000}">
      <formula1>$C$8:$C$26</formula1>
    </dataValidation>
  </dataValidations>
  <pageMargins left="0.511811024" right="0.511811024" top="0.78740157499999996" bottom="0.78740157499999996" header="0" footer="0"/>
  <pageSetup paperSize="9" fitToHeight="0" orientation="portrait" r:id="rId1"/>
  <ignoredErrors>
    <ignoredError sqref="C10:N10 C12:N13 C11:E11 N11 C15:N21 C14 E14 G14 I14 K14 M14:N14 C23:N41 C22 E22 N22" evalError="1"/>
  </ignoredError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T110"/>
  <sheetViews>
    <sheetView zoomScale="85" zoomScaleNormal="85" workbookViewId="0">
      <selection activeCell="G17" sqref="G17"/>
    </sheetView>
  </sheetViews>
  <sheetFormatPr defaultColWidth="14.42578125" defaultRowHeight="15" customHeight="1" x14ac:dyDescent="0.25"/>
  <cols>
    <col min="1" max="1" width="4" customWidth="1"/>
    <col min="2" max="2" width="12.85546875" customWidth="1"/>
    <col min="3" max="3" width="8.28515625" bestFit="1" customWidth="1"/>
    <col min="4" max="4" width="8.28515625" style="197" customWidth="1"/>
    <col min="5" max="5" width="9" customWidth="1"/>
    <col min="6" max="6" width="15.85546875" hidden="1" customWidth="1"/>
    <col min="7" max="7" width="15.85546875" style="310" customWidth="1"/>
    <col min="8" max="8" width="25.7109375" bestFit="1" customWidth="1"/>
    <col min="9" max="9" width="15.140625" customWidth="1"/>
    <col min="10" max="10" width="16.42578125" style="141" bestFit="1" customWidth="1"/>
    <col min="11" max="11" width="14.5703125" customWidth="1"/>
    <col min="12" max="18" width="15.7109375" customWidth="1"/>
    <col min="19" max="19" width="15" customWidth="1"/>
    <col min="20" max="20" width="1.42578125" customWidth="1"/>
  </cols>
  <sheetData>
    <row r="1" spans="1:20" ht="15.75" thickBot="1" x14ac:dyDescent="0.3">
      <c r="A1" s="1"/>
      <c r="B1" s="1"/>
      <c r="C1" s="1"/>
      <c r="D1" s="199"/>
      <c r="E1" s="1"/>
      <c r="F1" s="1"/>
      <c r="G1" s="311"/>
      <c r="H1" s="1"/>
      <c r="I1" s="1"/>
      <c r="J1" s="14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.75" customHeight="1" x14ac:dyDescent="0.25">
      <c r="A2" s="1"/>
      <c r="B2" s="340" t="s">
        <v>49</v>
      </c>
      <c r="C2" s="341"/>
      <c r="D2" s="342"/>
      <c r="E2" s="328" t="s">
        <v>50</v>
      </c>
      <c r="F2" s="329"/>
      <c r="G2" s="330"/>
      <c r="H2" s="329"/>
      <c r="I2" s="329"/>
      <c r="J2" s="330"/>
      <c r="K2" s="329"/>
      <c r="L2" s="329"/>
      <c r="M2" s="329"/>
      <c r="N2" s="329"/>
      <c r="O2" s="329"/>
      <c r="P2" s="329"/>
      <c r="Q2" s="329"/>
      <c r="R2" s="329"/>
      <c r="S2" s="330"/>
      <c r="T2" s="1"/>
    </row>
    <row r="3" spans="1:20" ht="18.75" customHeight="1" thickBot="1" x14ac:dyDescent="0.3">
      <c r="A3" s="1"/>
      <c r="B3" s="343">
        <v>0.33500000000000002</v>
      </c>
      <c r="C3" s="344"/>
      <c r="D3" s="345"/>
      <c r="E3" s="331" t="s">
        <v>51</v>
      </c>
      <c r="F3" s="332"/>
      <c r="G3" s="333"/>
      <c r="H3" s="332"/>
      <c r="I3" s="332"/>
      <c r="J3" s="333"/>
      <c r="K3" s="332"/>
      <c r="L3" s="332"/>
      <c r="M3" s="332"/>
      <c r="N3" s="332"/>
      <c r="O3" s="332"/>
      <c r="P3" s="332"/>
      <c r="Q3" s="332"/>
      <c r="R3" s="332"/>
      <c r="S3" s="333"/>
      <c r="T3" s="101"/>
    </row>
    <row r="4" spans="1:20" ht="30" customHeight="1" x14ac:dyDescent="0.25">
      <c r="A4" s="1"/>
      <c r="B4" s="339" t="s">
        <v>52</v>
      </c>
      <c r="C4" s="326" t="s">
        <v>53</v>
      </c>
      <c r="D4" s="326" t="s">
        <v>225</v>
      </c>
      <c r="E4" s="326" t="s">
        <v>54</v>
      </c>
      <c r="F4" s="458" t="s">
        <v>55</v>
      </c>
      <c r="G4" s="459"/>
      <c r="H4" s="326" t="s">
        <v>56</v>
      </c>
      <c r="I4" s="326" t="s">
        <v>57</v>
      </c>
      <c r="J4" s="225" t="s">
        <v>233</v>
      </c>
      <c r="K4" s="326" t="s">
        <v>58</v>
      </c>
      <c r="L4" s="326" t="s">
        <v>59</v>
      </c>
      <c r="M4" s="326" t="s">
        <v>60</v>
      </c>
      <c r="N4" s="326" t="s">
        <v>61</v>
      </c>
      <c r="O4" s="326" t="s">
        <v>62</v>
      </c>
      <c r="P4" s="326" t="s">
        <v>63</v>
      </c>
      <c r="Q4" s="326" t="s">
        <v>64</v>
      </c>
      <c r="R4" s="326" t="s">
        <v>65</v>
      </c>
      <c r="S4" s="326" t="s">
        <v>66</v>
      </c>
      <c r="T4" s="102"/>
    </row>
    <row r="5" spans="1:20" x14ac:dyDescent="0.25">
      <c r="A5" s="1"/>
      <c r="B5" s="327"/>
      <c r="C5" s="327"/>
      <c r="D5" s="336"/>
      <c r="E5" s="327"/>
      <c r="F5" s="460"/>
      <c r="G5" s="461"/>
      <c r="H5" s="327"/>
      <c r="I5" s="327"/>
      <c r="J5" s="226">
        <v>1.4999999999999999E-2</v>
      </c>
      <c r="K5" s="327"/>
      <c r="L5" s="327"/>
      <c r="M5" s="335"/>
      <c r="N5" s="335"/>
      <c r="O5" s="335"/>
      <c r="P5" s="335"/>
      <c r="Q5" s="327"/>
      <c r="R5" s="327"/>
      <c r="S5" s="327"/>
      <c r="T5" s="102"/>
    </row>
    <row r="6" spans="1:20" s="174" customFormat="1" x14ac:dyDescent="0.25">
      <c r="A6" s="175"/>
      <c r="B6" s="103" t="s">
        <v>85</v>
      </c>
      <c r="C6" s="104">
        <f t="shared" ref="C6" si="0">+E6*$B$3</f>
        <v>1.0050000000000001</v>
      </c>
      <c r="D6" s="205" t="e">
        <f>ABS('Preço SFCR-REFUSOL BYD 335Wp'!$G$43-C6)</f>
        <v>#DIV/0!</v>
      </c>
      <c r="E6" s="105">
        <f>+'FRONIUS-BYD 335Wp'!E6</f>
        <v>3</v>
      </c>
      <c r="F6" s="112" t="str">
        <f>+IF(L6=0,"",ROUND(N6/(1-'Tabela de BDI'!$C$3),0))</f>
        <v/>
      </c>
      <c r="G6" s="112" t="str">
        <f>+IF(F6="","",ROUND(F6+(F6*'Preço SFCR-REFUSOL BYD 335Wp'!$H$44),0))</f>
        <v/>
      </c>
      <c r="H6" s="107"/>
      <c r="I6" s="122"/>
      <c r="J6" s="144"/>
      <c r="K6" s="146">
        <f>+J6/(1-$J$5)</f>
        <v>0</v>
      </c>
      <c r="L6" s="106">
        <f t="shared" ref="L6" si="1">+I6+K6</f>
        <v>0</v>
      </c>
      <c r="M6" s="106">
        <f>+'FRONIUS-BYD 335Wp'!L6</f>
        <v>2500</v>
      </c>
      <c r="N6" s="106">
        <f t="shared" ref="N6" si="2">+L6+M6</f>
        <v>2500</v>
      </c>
      <c r="O6" s="106" t="str">
        <f>+IF(F6="","",F6*'Tabela de BDI'!$C$7)</f>
        <v/>
      </c>
      <c r="P6" s="106" t="str">
        <f>IF(F6="","",F6*'Tabela de BDI'!$C$8)</f>
        <v/>
      </c>
      <c r="Q6" s="109" t="str">
        <f t="shared" ref="Q6" si="3">IF(F6="","",(F6-L6)/L6)</f>
        <v/>
      </c>
      <c r="R6" s="110" t="str">
        <f t="shared" ref="R6" si="4">IF(F6="","",(F6/C6)/1000)</f>
        <v/>
      </c>
      <c r="S6" s="111">
        <f>+'Tabela de BDI'!$F$9*C6</f>
        <v>120.60000000000001</v>
      </c>
      <c r="T6" s="102"/>
    </row>
    <row r="7" spans="1:20" x14ac:dyDescent="0.25">
      <c r="A7" s="1"/>
      <c r="B7" s="103" t="s">
        <v>85</v>
      </c>
      <c r="C7" s="104">
        <f t="shared" ref="C7:C63" si="5">+E7*$B$3</f>
        <v>1.34</v>
      </c>
      <c r="D7" s="205" t="e">
        <f>ABS('Preço SFCR-REFUSOL BYD 335Wp'!$G$43-C7)</f>
        <v>#DIV/0!</v>
      </c>
      <c r="E7" s="105">
        <f>+'FRONIUS-BYD 335Wp'!E7</f>
        <v>4</v>
      </c>
      <c r="F7" s="112">
        <f>+IF(L7=0,"",ROUND(N7/(1-'Tabela de BDI'!$C$3),0))</f>
        <v>9154</v>
      </c>
      <c r="G7" s="112">
        <f>+IF(F7="","",ROUND(F7+(F7*'Preço SFCR-REFUSOL BYD 335Wp'!$H$44),0))</f>
        <v>9612</v>
      </c>
      <c r="H7" s="230" t="s">
        <v>86</v>
      </c>
      <c r="I7" s="122"/>
      <c r="J7" s="144">
        <v>5258.92</v>
      </c>
      <c r="K7" s="146">
        <f t="shared" ref="K7:K65" si="6">+J7/(1-$J$5)</f>
        <v>5339.0050761421326</v>
      </c>
      <c r="L7" s="106">
        <f t="shared" ref="L7:L46" si="7">+I7+K7</f>
        <v>5339.0050761421326</v>
      </c>
      <c r="M7" s="106">
        <f>+'FRONIUS-BYD 335Wp'!L7</f>
        <v>2625</v>
      </c>
      <c r="N7" s="106">
        <f t="shared" ref="N7:N63" si="8">+L7+M7</f>
        <v>7964.0050761421326</v>
      </c>
      <c r="O7" s="106">
        <f>+IF(F7="","",F7*'Tabela de BDI'!$C$7)</f>
        <v>732.32</v>
      </c>
      <c r="P7" s="106">
        <f>IF(F7="","",F7*'Tabela de BDI'!$C$8)</f>
        <v>457.70000000000005</v>
      </c>
      <c r="Q7" s="109">
        <f t="shared" ref="Q7:Q46" si="9">IF(F7="","",(F7-L7)/L7)</f>
        <v>0.71455165699421153</v>
      </c>
      <c r="R7" s="110">
        <f t="shared" ref="R7:R46" si="10">IF(F7="","",(F7/C7)/1000)</f>
        <v>6.8313432835820898</v>
      </c>
      <c r="S7" s="111">
        <f>+'Tabela de BDI'!$F$9*C7</f>
        <v>160.80000000000001</v>
      </c>
      <c r="T7" s="102"/>
    </row>
    <row r="8" spans="1:20" s="174" customFormat="1" x14ac:dyDescent="0.25">
      <c r="A8" s="175"/>
      <c r="B8" s="103" t="s">
        <v>85</v>
      </c>
      <c r="C8" s="104">
        <f t="shared" ref="C8" si="11">+E8*$B$3</f>
        <v>1.675</v>
      </c>
      <c r="D8" s="205" t="e">
        <f>ABS('Preço SFCR-REFUSOL BYD 335Wp'!$G$43-C8)</f>
        <v>#DIV/0!</v>
      </c>
      <c r="E8" s="105">
        <f>+'FRONIUS-BYD 335Wp'!E8</f>
        <v>5</v>
      </c>
      <c r="F8" s="112" t="str">
        <f>+IF(L8=0,"",ROUND(N8/(1-'Tabela de BDI'!$C$3),0))</f>
        <v/>
      </c>
      <c r="G8" s="112" t="str">
        <f>+IF(F8="","",ROUND(F8+(F8*'Preço SFCR-REFUSOL BYD 335Wp'!$H$44),0))</f>
        <v/>
      </c>
      <c r="H8" s="107"/>
      <c r="I8" s="122"/>
      <c r="J8" s="144"/>
      <c r="K8" s="146">
        <f t="shared" si="6"/>
        <v>0</v>
      </c>
      <c r="L8" s="106">
        <f t="shared" ref="L8" si="12">+I8+K8</f>
        <v>0</v>
      </c>
      <c r="M8" s="106">
        <f>+'FRONIUS-BYD 335Wp'!L8</f>
        <v>2750</v>
      </c>
      <c r="N8" s="106">
        <f t="shared" ref="N8" si="13">+L8+M8</f>
        <v>2750</v>
      </c>
      <c r="O8" s="106" t="str">
        <f>+IF(F8="","",F8*'Tabela de BDI'!$C$7)</f>
        <v/>
      </c>
      <c r="P8" s="106" t="str">
        <f>IF(F8="","",F8*'Tabela de BDI'!$C$8)</f>
        <v/>
      </c>
      <c r="Q8" s="109" t="str">
        <f t="shared" ref="Q8" si="14">IF(F8="","",(F8-L8)/L8)</f>
        <v/>
      </c>
      <c r="R8" s="110" t="str">
        <f t="shared" ref="R8" si="15">IF(F8="","",(F8/C8)/1000)</f>
        <v/>
      </c>
      <c r="S8" s="111">
        <f>+'Tabela de BDI'!$F$9*C8</f>
        <v>201</v>
      </c>
      <c r="T8" s="102"/>
    </row>
    <row r="9" spans="1:20" x14ac:dyDescent="0.25">
      <c r="A9" s="1"/>
      <c r="B9" s="103" t="s">
        <v>85</v>
      </c>
      <c r="C9" s="104">
        <f t="shared" si="5"/>
        <v>2.0100000000000002</v>
      </c>
      <c r="D9" s="205" t="e">
        <f>ABS('Preço SFCR-REFUSOL BYD 335Wp'!$G$43-C9)</f>
        <v>#DIV/0!</v>
      </c>
      <c r="E9" s="105">
        <f>+'FRONIUS-BYD 335Wp'!E9</f>
        <v>6</v>
      </c>
      <c r="F9" s="112">
        <f>+IF(L9=0,"",ROUND(N9/(1-'Tabela de BDI'!$C$3),0))</f>
        <v>11062</v>
      </c>
      <c r="G9" s="112">
        <f>+IF(F9="","",ROUND(F9+(F9*'Preço SFCR-REFUSOL BYD 335Wp'!$H$44),0))</f>
        <v>11615</v>
      </c>
      <c r="H9" s="107" t="s">
        <v>86</v>
      </c>
      <c r="I9" s="122"/>
      <c r="J9" s="213">
        <v>6647.77</v>
      </c>
      <c r="K9" s="146">
        <f t="shared" si="6"/>
        <v>6749.0050761421326</v>
      </c>
      <c r="L9" s="106">
        <f t="shared" si="7"/>
        <v>6749.0050761421326</v>
      </c>
      <c r="M9" s="106">
        <f>+'FRONIUS-BYD 335Wp'!L9</f>
        <v>2875</v>
      </c>
      <c r="N9" s="106">
        <f t="shared" si="8"/>
        <v>9624.0050761421335</v>
      </c>
      <c r="O9" s="106">
        <f>+IF(F9="","",F9*'Tabela de BDI'!$C$7)</f>
        <v>884.96</v>
      </c>
      <c r="P9" s="106">
        <f>IF(F9="","",F9*'Tabela de BDI'!$C$8)</f>
        <v>553.1</v>
      </c>
      <c r="Q9" s="109">
        <f t="shared" si="9"/>
        <v>0.63905640538105246</v>
      </c>
      <c r="R9" s="110">
        <f t="shared" si="10"/>
        <v>5.503482587064676</v>
      </c>
      <c r="S9" s="111">
        <f>+'Tabela de BDI'!$F$9*C9</f>
        <v>241.20000000000002</v>
      </c>
      <c r="T9" s="102"/>
    </row>
    <row r="10" spans="1:20" s="174" customFormat="1" x14ac:dyDescent="0.25">
      <c r="A10" s="175"/>
      <c r="B10" s="103" t="s">
        <v>85</v>
      </c>
      <c r="C10" s="104">
        <f t="shared" ref="C10" si="16">+E10*$B$3</f>
        <v>2.3450000000000002</v>
      </c>
      <c r="D10" s="205" t="e">
        <f>ABS('Preço SFCR-REFUSOL BYD 335Wp'!$G$43-C10)</f>
        <v>#DIV/0!</v>
      </c>
      <c r="E10" s="105">
        <f>+'FRONIUS-BYD 335Wp'!E10</f>
        <v>7</v>
      </c>
      <c r="F10" s="112" t="str">
        <f>+IF(L10=0,"",ROUND(N10/(1-'Tabela de BDI'!$C$3),0))</f>
        <v/>
      </c>
      <c r="G10" s="112" t="str">
        <f>+IF(F10="","",ROUND(F10+(F10*'Preço SFCR-REFUSOL BYD 335Wp'!$H$44),0))</f>
        <v/>
      </c>
      <c r="H10" s="107"/>
      <c r="I10" s="122"/>
      <c r="J10" s="144"/>
      <c r="K10" s="146">
        <f t="shared" si="6"/>
        <v>0</v>
      </c>
      <c r="L10" s="106">
        <f t="shared" ref="L10" si="17">+I10+K10</f>
        <v>0</v>
      </c>
      <c r="M10" s="106">
        <f>+'FRONIUS-BYD 335Wp'!L10</f>
        <v>3000</v>
      </c>
      <c r="N10" s="106">
        <f t="shared" ref="N10" si="18">+L10+M10</f>
        <v>3000</v>
      </c>
      <c r="O10" s="106" t="str">
        <f>+IF(F10="","",F10*'Tabela de BDI'!$C$7)</f>
        <v/>
      </c>
      <c r="P10" s="106" t="str">
        <f>IF(F10="","",F10*'Tabela de BDI'!$C$8)</f>
        <v/>
      </c>
      <c r="Q10" s="109" t="str">
        <f t="shared" ref="Q10" si="19">IF(F10="","",(F10-L10)/L10)</f>
        <v/>
      </c>
      <c r="R10" s="110" t="str">
        <f t="shared" ref="R10" si="20">IF(F10="","",(F10/C10)/1000)</f>
        <v/>
      </c>
      <c r="S10" s="111">
        <f>+'Tabela de BDI'!$F$9*C10</f>
        <v>281.40000000000003</v>
      </c>
      <c r="T10" s="102"/>
    </row>
    <row r="11" spans="1:20" x14ac:dyDescent="0.25">
      <c r="A11" s="1"/>
      <c r="B11" s="103" t="s">
        <v>85</v>
      </c>
      <c r="C11" s="104">
        <f t="shared" si="5"/>
        <v>2.68</v>
      </c>
      <c r="D11" s="205" t="e">
        <f>ABS('Preço SFCR-REFUSOL BYD 335Wp'!$G$43-C11)</f>
        <v>#DIV/0!</v>
      </c>
      <c r="E11" s="105">
        <f>+'FRONIUS-BYD 335Wp'!E11</f>
        <v>8</v>
      </c>
      <c r="F11" s="112">
        <f>+IF(L11=0,"",ROUND(N11/(1-'Tabela de BDI'!$C$3),0))</f>
        <v>12947</v>
      </c>
      <c r="G11" s="112">
        <f>+IF(F11="","",ROUND(F11+(F11*'Preço SFCR-REFUSOL BYD 335Wp'!$H$44),0))</f>
        <v>13594</v>
      </c>
      <c r="H11" s="107" t="s">
        <v>240</v>
      </c>
      <c r="I11" s="212"/>
      <c r="J11" s="213">
        <v>8016.92</v>
      </c>
      <c r="K11" s="146">
        <f t="shared" si="6"/>
        <v>8139.0050761421326</v>
      </c>
      <c r="L11" s="106">
        <f t="shared" si="7"/>
        <v>8139.0050761421326</v>
      </c>
      <c r="M11" s="106">
        <f>+'FRONIUS-BYD 335Wp'!L11</f>
        <v>3125</v>
      </c>
      <c r="N11" s="106">
        <f t="shared" si="8"/>
        <v>11264.005076142133</v>
      </c>
      <c r="O11" s="106">
        <f>+IF(F11="","",F11*'Tabela de BDI'!$C$7)</f>
        <v>1035.76</v>
      </c>
      <c r="P11" s="106">
        <f>IF(F11="","",F11*'Tabela de BDI'!$C$8)</f>
        <v>647.35</v>
      </c>
      <c r="Q11" s="109">
        <f t="shared" si="9"/>
        <v>0.5907349705373135</v>
      </c>
      <c r="R11" s="110">
        <f t="shared" si="10"/>
        <v>4.8309701492537318</v>
      </c>
      <c r="S11" s="111">
        <f>+'Tabela de BDI'!$F$9*C11</f>
        <v>321.60000000000002</v>
      </c>
      <c r="T11" s="102"/>
    </row>
    <row r="12" spans="1:20" s="174" customFormat="1" x14ac:dyDescent="0.25">
      <c r="A12" s="175"/>
      <c r="B12" s="103" t="s">
        <v>85</v>
      </c>
      <c r="C12" s="104">
        <f t="shared" ref="C12" si="21">+E12*$B$3</f>
        <v>3.0150000000000001</v>
      </c>
      <c r="D12" s="205" t="e">
        <f>ABS('Preço SFCR-REFUSOL BYD 335Wp'!$G$43-C12)</f>
        <v>#DIV/0!</v>
      </c>
      <c r="E12" s="105">
        <f>+'FRONIUS-BYD 335Wp'!E12</f>
        <v>9</v>
      </c>
      <c r="F12" s="112" t="str">
        <f>+IF(L12=0,"",ROUND(N12/(1-'Tabela de BDI'!$C$3),0))</f>
        <v/>
      </c>
      <c r="G12" s="112" t="str">
        <f>+IF(F12="","",ROUND(F12+(F12*'Preço SFCR-REFUSOL BYD 335Wp'!$H$44),0))</f>
        <v/>
      </c>
      <c r="H12" s="167"/>
      <c r="I12" s="212"/>
      <c r="J12" s="213"/>
      <c r="K12" s="146">
        <f t="shared" si="6"/>
        <v>0</v>
      </c>
      <c r="L12" s="106">
        <f t="shared" ref="L12" si="22">+I12+K12</f>
        <v>0</v>
      </c>
      <c r="M12" s="106">
        <f>+'FRONIUS-BYD 335Wp'!L12</f>
        <v>3250</v>
      </c>
      <c r="N12" s="106">
        <f t="shared" ref="N12" si="23">+L12+M12</f>
        <v>3250</v>
      </c>
      <c r="O12" s="106" t="str">
        <f>+IF(F12="","",F12*'Tabela de BDI'!$C$7)</f>
        <v/>
      </c>
      <c r="P12" s="106" t="str">
        <f>IF(F12="","",F12*'Tabela de BDI'!$C$8)</f>
        <v/>
      </c>
      <c r="Q12" s="109" t="str">
        <f t="shared" ref="Q12" si="24">IF(F12="","",(F12-L12)/L12)</f>
        <v/>
      </c>
      <c r="R12" s="110" t="str">
        <f t="shared" ref="R12" si="25">IF(F12="","",(F12/C12)/1000)</f>
        <v/>
      </c>
      <c r="S12" s="111">
        <f>+'Tabela de BDI'!$F$9*C12</f>
        <v>361.8</v>
      </c>
      <c r="T12" s="102"/>
    </row>
    <row r="13" spans="1:20" x14ac:dyDescent="0.25">
      <c r="A13" s="1"/>
      <c r="B13" s="103" t="s">
        <v>85</v>
      </c>
      <c r="C13" s="104">
        <f t="shared" si="5"/>
        <v>3.35</v>
      </c>
      <c r="D13" s="205" t="e">
        <f>ABS('Preço SFCR-REFUSOL BYD 335Wp'!$G$43-C13)</f>
        <v>#DIV/0!</v>
      </c>
      <c r="E13" s="105">
        <f>+'FRONIUS-BYD 335Wp'!E13</f>
        <v>10</v>
      </c>
      <c r="F13" s="112">
        <f>+IF(L13=0,"",ROUND(N13/(1-'Tabela de BDI'!$C$3),0))</f>
        <v>14855</v>
      </c>
      <c r="G13" s="112">
        <f>+IF(F13="","",ROUND(F13+(F13*'Preço SFCR-REFUSOL BYD 335Wp'!$H$44),0))</f>
        <v>15598</v>
      </c>
      <c r="H13" s="107" t="s">
        <v>240</v>
      </c>
      <c r="I13" s="212"/>
      <c r="J13" s="213">
        <v>9405.77</v>
      </c>
      <c r="K13" s="146">
        <f t="shared" si="6"/>
        <v>9549.0050761421317</v>
      </c>
      <c r="L13" s="106">
        <f t="shared" si="7"/>
        <v>9549.0050761421317</v>
      </c>
      <c r="M13" s="106">
        <f>+'FRONIUS-BYD 335Wp'!L13</f>
        <v>3375</v>
      </c>
      <c r="N13" s="106">
        <f t="shared" si="8"/>
        <v>12924.005076142132</v>
      </c>
      <c r="O13" s="106">
        <f>+IF(F13="","",F13*'Tabela de BDI'!$C$7)</f>
        <v>1188.4000000000001</v>
      </c>
      <c r="P13" s="106">
        <f>IF(F13="","",F13*'Tabela de BDI'!$C$8)</f>
        <v>742.75</v>
      </c>
      <c r="Q13" s="109">
        <f t="shared" si="9"/>
        <v>0.55565945159194841</v>
      </c>
      <c r="R13" s="110">
        <f t="shared" si="10"/>
        <v>4.4343283582089557</v>
      </c>
      <c r="S13" s="111">
        <f>+'Tabela de BDI'!$F$9*C13</f>
        <v>402</v>
      </c>
      <c r="T13" s="114"/>
    </row>
    <row r="14" spans="1:20" s="139" customFormat="1" x14ac:dyDescent="0.25">
      <c r="A14" s="140"/>
      <c r="B14" s="103" t="s">
        <v>85</v>
      </c>
      <c r="C14" s="104">
        <f t="shared" ref="C14" si="26">+E14*$B$3</f>
        <v>3.6850000000000001</v>
      </c>
      <c r="D14" s="205" t="e">
        <f>ABS('Preço SFCR-REFUSOL BYD 335Wp'!$G$43-C14)</f>
        <v>#DIV/0!</v>
      </c>
      <c r="E14" s="105">
        <f>+'FRONIUS-BYD 335Wp'!E14</f>
        <v>11</v>
      </c>
      <c r="F14" s="112">
        <f>+IF(L14=0,"",ROUND(N14/(1-'Tabela de BDI'!$C$3),0))</f>
        <v>15643</v>
      </c>
      <c r="G14" s="112">
        <f>+IF(F14="","",ROUND(F14+(F14*'Preço SFCR-REFUSOL BYD 335Wp'!$H$44),0))</f>
        <v>16425</v>
      </c>
      <c r="H14" s="107" t="s">
        <v>240</v>
      </c>
      <c r="I14" s="212"/>
      <c r="J14" s="213">
        <v>9957.3700000000008</v>
      </c>
      <c r="K14" s="146">
        <f t="shared" si="6"/>
        <v>10109.005076142133</v>
      </c>
      <c r="L14" s="106">
        <f t="shared" si="7"/>
        <v>10109.005076142133</v>
      </c>
      <c r="M14" s="106">
        <f>+'FRONIUS-BYD 335Wp'!L14</f>
        <v>3500</v>
      </c>
      <c r="N14" s="106">
        <f t="shared" ref="N14" si="27">+L14+M14</f>
        <v>13609.005076142133</v>
      </c>
      <c r="O14" s="106">
        <f>+IF(F14="","",F14*'Tabela de BDI'!$C$7)</f>
        <v>1251.44</v>
      </c>
      <c r="P14" s="106">
        <f>IF(F14="","",F14*'Tabela de BDI'!$C$8)</f>
        <v>782.15000000000009</v>
      </c>
      <c r="Q14" s="109">
        <f t="shared" si="9"/>
        <v>0.54743220348344968</v>
      </c>
      <c r="R14" s="110">
        <f t="shared" si="10"/>
        <v>4.2450474898236088</v>
      </c>
      <c r="S14" s="111">
        <f>+'Tabela de BDI'!$F$9*C14</f>
        <v>442.2</v>
      </c>
      <c r="T14" s="114"/>
    </row>
    <row r="15" spans="1:20" x14ac:dyDescent="0.25">
      <c r="A15" s="1"/>
      <c r="B15" s="103" t="s">
        <v>85</v>
      </c>
      <c r="C15" s="104">
        <f t="shared" si="5"/>
        <v>4.0200000000000005</v>
      </c>
      <c r="D15" s="205" t="e">
        <f>ABS('Preço SFCR-REFUSOL BYD 335Wp'!$G$43-C15)</f>
        <v>#DIV/0!</v>
      </c>
      <c r="E15" s="105">
        <f>+'FRONIUS-BYD 335Wp'!E15</f>
        <v>12</v>
      </c>
      <c r="F15" s="112">
        <f>+IF(L15=0,"",ROUND(N15/(1-'Tabela de BDI'!$C$3),0))</f>
        <v>16430</v>
      </c>
      <c r="G15" s="112">
        <f>+IF(F15="","",ROUND(F15+(F15*'Preço SFCR-REFUSOL BYD 335Wp'!$H$44),0))</f>
        <v>17252</v>
      </c>
      <c r="H15" s="230" t="s">
        <v>240</v>
      </c>
      <c r="I15" s="212"/>
      <c r="J15" s="213">
        <v>10508.97</v>
      </c>
      <c r="K15" s="146">
        <f t="shared" si="6"/>
        <v>10669.005076142132</v>
      </c>
      <c r="L15" s="106">
        <f t="shared" si="7"/>
        <v>10669.005076142132</v>
      </c>
      <c r="M15" s="106">
        <f>+'FRONIUS-BYD 335Wp'!L15</f>
        <v>3625</v>
      </c>
      <c r="N15" s="106">
        <f t="shared" si="8"/>
        <v>14294.005076142132</v>
      </c>
      <c r="O15" s="106">
        <f>+IF(F15="","",F15*'Tabela de BDI'!$C$7)</f>
        <v>1314.4</v>
      </c>
      <c r="P15" s="106">
        <f>IF(F15="","",F15*'Tabela de BDI'!$C$8)</f>
        <v>821.5</v>
      </c>
      <c r="Q15" s="109">
        <f t="shared" si="9"/>
        <v>0.53997489763506801</v>
      </c>
      <c r="R15" s="110">
        <f t="shared" si="10"/>
        <v>4.0870646766169152</v>
      </c>
      <c r="S15" s="111">
        <f>+'Tabela de BDI'!$F$9*C15</f>
        <v>482.40000000000003</v>
      </c>
      <c r="T15" s="114"/>
    </row>
    <row r="16" spans="1:20" s="286" customFormat="1" x14ac:dyDescent="0.25">
      <c r="A16" s="288"/>
      <c r="B16" s="103" t="s">
        <v>85</v>
      </c>
      <c r="C16" s="104">
        <f t="shared" ref="C16" si="28">+E16*$B$3</f>
        <v>4.3550000000000004</v>
      </c>
      <c r="D16" s="205" t="e">
        <f>ABS('Preço SFCR-REFUSOL BYD 335Wp'!$G$43-C16)</f>
        <v>#DIV/0!</v>
      </c>
      <c r="E16" s="105">
        <f>+'FRONIUS-BYD 335Wp'!E16</f>
        <v>13</v>
      </c>
      <c r="F16" s="112" t="str">
        <f>+IF(L16=0,"",ROUND(N16/(1-'Tabela de BDI'!$C$3),0))</f>
        <v/>
      </c>
      <c r="G16" s="112" t="str">
        <f>+IF(F16="","",ROUND(F16+(F16*'Preço SFCR-REFUSOL BYD 335Wp'!$H$44),0))</f>
        <v/>
      </c>
      <c r="H16" s="107"/>
      <c r="I16" s="212"/>
      <c r="J16" s="213"/>
      <c r="K16" s="146">
        <f t="shared" ref="K16" si="29">+J16/(1-$J$5)</f>
        <v>0</v>
      </c>
      <c r="L16" s="106">
        <f t="shared" ref="L16" si="30">+I16+K16</f>
        <v>0</v>
      </c>
      <c r="M16" s="106">
        <f>+'FRONIUS-BYD 335Wp'!L16</f>
        <v>3750</v>
      </c>
      <c r="N16" s="106">
        <f t="shared" ref="N16" si="31">+L16+M16</f>
        <v>3750</v>
      </c>
      <c r="O16" s="106" t="str">
        <f>+IF(F16="","",F16*'Tabela de BDI'!$C$7)</f>
        <v/>
      </c>
      <c r="P16" s="106" t="str">
        <f>IF(F16="","",F16*'Tabela de BDI'!$C$8)</f>
        <v/>
      </c>
      <c r="Q16" s="109" t="str">
        <f t="shared" ref="Q16" si="32">IF(F16="","",(F16-L16)/L16)</f>
        <v/>
      </c>
      <c r="R16" s="110" t="str">
        <f t="shared" ref="R16" si="33">IF(F16="","",(F16/C16)/1000)</f>
        <v/>
      </c>
      <c r="S16" s="111">
        <f>+'Tabela de BDI'!$F$9*C16</f>
        <v>522.6</v>
      </c>
      <c r="T16" s="114"/>
    </row>
    <row r="17" spans="1:20" x14ac:dyDescent="0.25">
      <c r="A17" s="1"/>
      <c r="B17" s="103" t="s">
        <v>85</v>
      </c>
      <c r="C17" s="104">
        <f t="shared" si="5"/>
        <v>4.6900000000000004</v>
      </c>
      <c r="D17" s="205" t="e">
        <f>ABS('Preço SFCR-REFUSOL BYD 335Wp'!$G$43-C17)</f>
        <v>#DIV/0!</v>
      </c>
      <c r="E17" s="105">
        <f>+'FRONIUS-BYD 335Wp'!E17</f>
        <v>14</v>
      </c>
      <c r="F17" s="112">
        <f>+IF(L17=0,"",ROUND(N17/(1-'Tabela de BDI'!$C$3),0))</f>
        <v>20441</v>
      </c>
      <c r="G17" s="112">
        <f>+IF(F17="","",ROUND(F17+(F17*'Preço SFCR-REFUSOL BYD 335Wp'!$H$44),0))</f>
        <v>21463</v>
      </c>
      <c r="H17" s="107" t="s">
        <v>241</v>
      </c>
      <c r="I17" s="212"/>
      <c r="J17" s="213">
        <v>13700.37</v>
      </c>
      <c r="K17" s="146">
        <f t="shared" si="6"/>
        <v>13909.005076142133</v>
      </c>
      <c r="L17" s="106">
        <f t="shared" si="7"/>
        <v>13909.005076142133</v>
      </c>
      <c r="M17" s="106">
        <f>+'FRONIUS-BYD 335Wp'!L17</f>
        <v>3875</v>
      </c>
      <c r="N17" s="106">
        <f t="shared" si="8"/>
        <v>17784.005076142133</v>
      </c>
      <c r="O17" s="106">
        <f>+IF(F17="","",F17*'Tabela de BDI'!$C$7)</f>
        <v>1635.28</v>
      </c>
      <c r="P17" s="106">
        <f>IF(F17="","",F17*'Tabela de BDI'!$C$8)</f>
        <v>1022.0500000000001</v>
      </c>
      <c r="Q17" s="109">
        <f t="shared" si="9"/>
        <v>0.46962344812585338</v>
      </c>
      <c r="R17" s="110">
        <f t="shared" si="10"/>
        <v>4.3584221748400847</v>
      </c>
      <c r="S17" s="111">
        <f>+'Tabela de BDI'!$F$9*C17</f>
        <v>562.80000000000007</v>
      </c>
      <c r="T17" s="114"/>
    </row>
    <row r="18" spans="1:20" s="207" customFormat="1" x14ac:dyDescent="0.25">
      <c r="A18" s="208"/>
      <c r="B18" s="103" t="s">
        <v>85</v>
      </c>
      <c r="C18" s="104">
        <f t="shared" ref="C18" si="34">+E18*$B$3</f>
        <v>5.0250000000000004</v>
      </c>
      <c r="D18" s="205" t="e">
        <f>ABS('Preço SFCR-REFUSOL BYD 335Wp'!$G$43-C18)</f>
        <v>#DIV/0!</v>
      </c>
      <c r="E18" s="105">
        <f>+'FRONIUS-BYD 335Wp'!E18</f>
        <v>15</v>
      </c>
      <c r="F18" s="112" t="str">
        <f>+IF(L18=0,"",ROUND(N18/(1-'Tabela de BDI'!$C$3),0))</f>
        <v/>
      </c>
      <c r="G18" s="112" t="str">
        <f>+IF(F18="","",ROUND(F18+(F18*'Preço SFCR-REFUSOL BYD 335Wp'!$H$44),0))</f>
        <v/>
      </c>
      <c r="H18" s="167"/>
      <c r="I18" s="212"/>
      <c r="J18" s="213"/>
      <c r="K18" s="146">
        <f t="shared" si="6"/>
        <v>0</v>
      </c>
      <c r="L18" s="106">
        <f t="shared" ref="L18" si="35">+I18+K18</f>
        <v>0</v>
      </c>
      <c r="M18" s="106">
        <f>+'FRONIUS-BYD 335Wp'!L18</f>
        <v>4000</v>
      </c>
      <c r="N18" s="106">
        <f t="shared" ref="N18" si="36">+L18+M18</f>
        <v>4000</v>
      </c>
      <c r="O18" s="106" t="str">
        <f>+IF(F18="","",F18*'Tabela de BDI'!$C$7)</f>
        <v/>
      </c>
      <c r="P18" s="106" t="str">
        <f>IF(F18="","",F18*'Tabela de BDI'!$C$8)</f>
        <v/>
      </c>
      <c r="Q18" s="109" t="str">
        <f t="shared" ref="Q18" si="37">IF(F18="","",(F18-L18)/L18)</f>
        <v/>
      </c>
      <c r="R18" s="110" t="str">
        <f t="shared" ref="R18" si="38">IF(F18="","",(F18/C18)/1000)</f>
        <v/>
      </c>
      <c r="S18" s="111">
        <f>+'Tabela de BDI'!$F$9*C18</f>
        <v>603</v>
      </c>
      <c r="T18" s="114"/>
    </row>
    <row r="19" spans="1:20" x14ac:dyDescent="0.25">
      <c r="A19" s="1"/>
      <c r="B19" s="103" t="s">
        <v>85</v>
      </c>
      <c r="C19" s="104">
        <f t="shared" si="5"/>
        <v>5.36</v>
      </c>
      <c r="D19" s="205" t="e">
        <f>ABS('Preço SFCR-REFUSOL BYD 335Wp'!$G$43-C19)</f>
        <v>#DIV/0!</v>
      </c>
      <c r="E19" s="105">
        <f>+'FRONIUS-BYD 335Wp'!E19</f>
        <v>16</v>
      </c>
      <c r="F19" s="112">
        <f>+IF(L19=0,"",ROUND(N19/(1-'Tabela de BDI'!$C$3),0))</f>
        <v>22016</v>
      </c>
      <c r="G19" s="112">
        <f>+IF(F19="","",ROUND(F19+(F19*'Preço SFCR-REFUSOL BYD 335Wp'!$H$44),0))</f>
        <v>23117</v>
      </c>
      <c r="H19" s="107" t="s">
        <v>241</v>
      </c>
      <c r="I19" s="212"/>
      <c r="J19" s="213">
        <v>14803.57</v>
      </c>
      <c r="K19" s="146">
        <f t="shared" si="6"/>
        <v>15029.005076142132</v>
      </c>
      <c r="L19" s="106">
        <f t="shared" si="7"/>
        <v>15029.005076142132</v>
      </c>
      <c r="M19" s="106">
        <f>+'FRONIUS-BYD 335Wp'!L19</f>
        <v>4125</v>
      </c>
      <c r="N19" s="106">
        <f t="shared" si="8"/>
        <v>19154.00507614213</v>
      </c>
      <c r="O19" s="106">
        <f>+IF(F19="","",F19*'Tabela de BDI'!$C$7)</f>
        <v>1761.28</v>
      </c>
      <c r="P19" s="106">
        <f>IF(F19="","",F19*'Tabela de BDI'!$C$8)</f>
        <v>1100.8</v>
      </c>
      <c r="Q19" s="109">
        <f t="shared" si="9"/>
        <v>0.46490069625097191</v>
      </c>
      <c r="R19" s="110">
        <f t="shared" si="10"/>
        <v>4.107462686567164</v>
      </c>
      <c r="S19" s="111">
        <f>+'Tabela de BDI'!$F$9*C19</f>
        <v>643.20000000000005</v>
      </c>
      <c r="T19" s="114"/>
    </row>
    <row r="20" spans="1:20" x14ac:dyDescent="0.25">
      <c r="A20" s="1"/>
      <c r="B20" s="103" t="s">
        <v>85</v>
      </c>
      <c r="C20" s="104">
        <f t="shared" si="5"/>
        <v>6.03</v>
      </c>
      <c r="D20" s="205" t="e">
        <f>ABS('Preço SFCR-REFUSOL BYD 335Wp'!$G$43-C20)</f>
        <v>#DIV/0!</v>
      </c>
      <c r="E20" s="105">
        <f>+'FRONIUS-BYD 335Wp'!E21</f>
        <v>18</v>
      </c>
      <c r="F20" s="112">
        <f>+IF(L20=0,"",ROUND(N20/(1-'Tabela de BDI'!$C$3),0))</f>
        <v>23936</v>
      </c>
      <c r="G20" s="112">
        <f>+IF(F20="","",ROUND(F20+(F20*'Preço SFCR-REFUSOL BYD 335Wp'!$H$44),0))</f>
        <v>25133</v>
      </c>
      <c r="H20" s="107" t="s">
        <v>241</v>
      </c>
      <c r="I20" s="212"/>
      <c r="J20" s="213">
        <v>16202.27</v>
      </c>
      <c r="K20" s="146">
        <f t="shared" si="6"/>
        <v>16449.005076142133</v>
      </c>
      <c r="L20" s="106">
        <f t="shared" si="7"/>
        <v>16449.005076142133</v>
      </c>
      <c r="M20" s="106">
        <f>+'FRONIUS-BYD 335Wp'!L21</f>
        <v>4375</v>
      </c>
      <c r="N20" s="106">
        <f t="shared" si="8"/>
        <v>20824.005076142133</v>
      </c>
      <c r="O20" s="106">
        <f>+IF(F20="","",F20*'Tabela de BDI'!$C$7)</f>
        <v>1914.88</v>
      </c>
      <c r="P20" s="106">
        <f>IF(F20="","",F20*'Tabela de BDI'!$C$8)</f>
        <v>1196.8</v>
      </c>
      <c r="Q20" s="109">
        <f t="shared" si="9"/>
        <v>0.45516399862488394</v>
      </c>
      <c r="R20" s="110">
        <f t="shared" si="10"/>
        <v>3.9694859038142618</v>
      </c>
      <c r="S20" s="111">
        <f>+'Tabela de BDI'!$F$9*C20</f>
        <v>723.6</v>
      </c>
      <c r="T20" s="114"/>
    </row>
    <row r="21" spans="1:20" s="228" customFormat="1" x14ac:dyDescent="0.25">
      <c r="A21" s="229"/>
      <c r="B21" s="103" t="s">
        <v>85</v>
      </c>
      <c r="C21" s="104">
        <f t="shared" ref="C21" si="39">+E21*$B$3</f>
        <v>6.3650000000000002</v>
      </c>
      <c r="D21" s="205" t="e">
        <f>ABS('Preço SFCR-REFUSOL BYD 335Wp'!$G$43-C21)</f>
        <v>#DIV/0!</v>
      </c>
      <c r="E21" s="105">
        <f>+'FRONIUS-BYD 335Wp'!E22</f>
        <v>19</v>
      </c>
      <c r="F21" s="112" t="str">
        <f>+IF(L21=0,"",ROUND(N21/(1-'Tabela de BDI'!$C$3),0))</f>
        <v/>
      </c>
      <c r="G21" s="112" t="str">
        <f>+IF(F21="","",ROUND(F21+(F21*'Preço SFCR-REFUSOL BYD 335Wp'!$H$44),0))</f>
        <v/>
      </c>
      <c r="H21" s="107"/>
      <c r="I21" s="212"/>
      <c r="J21" s="213"/>
      <c r="K21" s="146">
        <f t="shared" si="6"/>
        <v>0</v>
      </c>
      <c r="L21" s="106">
        <f t="shared" ref="L21" si="40">+I21+K21</f>
        <v>0</v>
      </c>
      <c r="M21" s="106">
        <f>+'FRONIUS-BYD 335Wp'!L22</f>
        <v>4500</v>
      </c>
      <c r="N21" s="106">
        <f t="shared" ref="N21" si="41">+L21+M21</f>
        <v>4500</v>
      </c>
      <c r="O21" s="106" t="str">
        <f>+IF(F21="","",F21*'Tabela de BDI'!$C$7)</f>
        <v/>
      </c>
      <c r="P21" s="106" t="str">
        <f>IF(F21="","",F21*'Tabela de BDI'!$C$8)</f>
        <v/>
      </c>
      <c r="Q21" s="109" t="str">
        <f t="shared" ref="Q21" si="42">IF(F21="","",(F21-L21)/L21)</f>
        <v/>
      </c>
      <c r="R21" s="110" t="str">
        <f t="shared" ref="R21" si="43">IF(F21="","",(F21/C21)/1000)</f>
        <v/>
      </c>
      <c r="S21" s="111">
        <f>+'Tabela de BDI'!$F$9*C21</f>
        <v>763.80000000000007</v>
      </c>
      <c r="T21" s="114"/>
    </row>
    <row r="22" spans="1:20" x14ac:dyDescent="0.25">
      <c r="A22" s="1"/>
      <c r="B22" s="103" t="s">
        <v>85</v>
      </c>
      <c r="C22" s="104">
        <f t="shared" si="5"/>
        <v>6.7</v>
      </c>
      <c r="D22" s="205" t="e">
        <f>ABS('Preço SFCR-REFUSOL BYD 335Wp'!$G$43-C22)</f>
        <v>#DIV/0!</v>
      </c>
      <c r="E22" s="105">
        <f>+'FRONIUS-BYD 335Wp'!E23</f>
        <v>20</v>
      </c>
      <c r="F22" s="112">
        <f>+IF(L22=0,"",ROUND(N22/(1-'Tabela de BDI'!$C$3),0))</f>
        <v>25510</v>
      </c>
      <c r="G22" s="112">
        <f>+IF(F22="","",ROUND(F22+(F22*'Preço SFCR-REFUSOL BYD 335Wp'!$H$44),0))</f>
        <v>26786</v>
      </c>
      <c r="H22" s="107" t="s">
        <v>241</v>
      </c>
      <c r="I22" s="212"/>
      <c r="J22" s="213">
        <v>17305.47</v>
      </c>
      <c r="K22" s="146">
        <f t="shared" si="6"/>
        <v>17569.005076142133</v>
      </c>
      <c r="L22" s="106">
        <f t="shared" si="7"/>
        <v>17569.005076142133</v>
      </c>
      <c r="M22" s="106">
        <f>+'FRONIUS-BYD 335Wp'!L23</f>
        <v>4625</v>
      </c>
      <c r="N22" s="106">
        <f t="shared" si="8"/>
        <v>22194.005076142133</v>
      </c>
      <c r="O22" s="106">
        <f>+IF(F22="","",F22*'Tabela de BDI'!$C$7)</f>
        <v>2040.8</v>
      </c>
      <c r="P22" s="106">
        <f>IF(F22="","",F22*'Tabela de BDI'!$C$8)</f>
        <v>1275.5</v>
      </c>
      <c r="Q22" s="109">
        <f t="shared" si="9"/>
        <v>0.45198887981661279</v>
      </c>
      <c r="R22" s="110">
        <f t="shared" si="10"/>
        <v>3.8074626865671641</v>
      </c>
      <c r="S22" s="111">
        <f>+'Tabela de BDI'!$F$9*C22</f>
        <v>804</v>
      </c>
      <c r="T22" s="114"/>
    </row>
    <row r="23" spans="1:20" x14ac:dyDescent="0.25">
      <c r="A23" s="1"/>
      <c r="B23" s="103" t="s">
        <v>85</v>
      </c>
      <c r="C23" s="104">
        <f t="shared" si="5"/>
        <v>7.37</v>
      </c>
      <c r="D23" s="205" t="e">
        <f>ABS('Preço SFCR-REFUSOL BYD 335Wp'!$G$43-C23)</f>
        <v>#DIV/0!</v>
      </c>
      <c r="E23" s="105">
        <f>+'FRONIUS-BYD 335Wp'!E25</f>
        <v>22</v>
      </c>
      <c r="F23" s="112" t="e">
        <f>+IF(L23=0,"",ROUND(N23/(1-'Tabela de BDI'!$C$3),0))</f>
        <v>#VALUE!</v>
      </c>
      <c r="G23" s="112" t="e">
        <f>+IF(F23="","",ROUND(F23+(F23*'Preço SFCR-REFUSOL BYD 335Wp'!$H$44),0))</f>
        <v>#VALUE!</v>
      </c>
      <c r="H23" s="107" t="s">
        <v>87</v>
      </c>
      <c r="I23" s="122"/>
      <c r="J23" s="248" t="s">
        <v>245</v>
      </c>
      <c r="K23" s="146" t="e">
        <f t="shared" si="6"/>
        <v>#VALUE!</v>
      </c>
      <c r="L23" s="106" t="e">
        <f t="shared" si="7"/>
        <v>#VALUE!</v>
      </c>
      <c r="M23" s="106">
        <f>+'FRONIUS-BYD 335Wp'!L25</f>
        <v>4875</v>
      </c>
      <c r="N23" s="106" t="e">
        <f t="shared" si="8"/>
        <v>#VALUE!</v>
      </c>
      <c r="O23" s="106" t="e">
        <f>+IF(F23="","",F23*'Tabela de BDI'!$C$7)</f>
        <v>#VALUE!</v>
      </c>
      <c r="P23" s="106" t="e">
        <f>IF(F23="","",F23*'Tabela de BDI'!$C$8)</f>
        <v>#VALUE!</v>
      </c>
      <c r="Q23" s="109" t="e">
        <f t="shared" si="9"/>
        <v>#VALUE!</v>
      </c>
      <c r="R23" s="110" t="e">
        <f t="shared" si="10"/>
        <v>#VALUE!</v>
      </c>
      <c r="S23" s="111">
        <f>+'Tabela de BDI'!$F$9*C23</f>
        <v>884.4</v>
      </c>
      <c r="T23" s="114"/>
    </row>
    <row r="24" spans="1:20" s="228" customFormat="1" x14ac:dyDescent="0.25">
      <c r="A24" s="229"/>
      <c r="B24" s="103" t="s">
        <v>85</v>
      </c>
      <c r="C24" s="104">
        <f t="shared" ref="C24" si="44">+E24*$B$3</f>
        <v>7.7050000000000001</v>
      </c>
      <c r="D24" s="205" t="e">
        <f>ABS('Preço SFCR-REFUSOL BYD 335Wp'!$G$43-C24)</f>
        <v>#DIV/0!</v>
      </c>
      <c r="E24" s="105">
        <f>+'FRONIUS-BYD 335Wp'!E26</f>
        <v>23</v>
      </c>
      <c r="F24" s="112" t="str">
        <f>+IF(L24=0,"",ROUND(N24/(1-'Tabela de BDI'!$C$3),0))</f>
        <v/>
      </c>
      <c r="G24" s="112" t="str">
        <f>+IF(F24="","",ROUND(F24+(F24*'Preço SFCR-REFUSOL BYD 335Wp'!$H$44),0))</f>
        <v/>
      </c>
      <c r="H24" s="107"/>
      <c r="I24" s="122"/>
      <c r="J24" s="144"/>
      <c r="K24" s="146">
        <f t="shared" si="6"/>
        <v>0</v>
      </c>
      <c r="L24" s="106">
        <f t="shared" ref="L24" si="45">+I24+K24</f>
        <v>0</v>
      </c>
      <c r="M24" s="106">
        <f>+'FRONIUS-BYD 335Wp'!L26</f>
        <v>5000</v>
      </c>
      <c r="N24" s="106">
        <f t="shared" ref="N24" si="46">+L24+M24</f>
        <v>5000</v>
      </c>
      <c r="O24" s="106" t="str">
        <f>+IF(F24="","",F24*'Tabela de BDI'!$C$7)</f>
        <v/>
      </c>
      <c r="P24" s="106" t="str">
        <f>IF(F24="","",F24*'Tabela de BDI'!$C$8)</f>
        <v/>
      </c>
      <c r="Q24" s="109" t="str">
        <f t="shared" ref="Q24" si="47">IF(F24="","",(F24-L24)/L24)</f>
        <v/>
      </c>
      <c r="R24" s="110" t="str">
        <f t="shared" ref="R24" si="48">IF(F24="","",(F24/C24)/1000)</f>
        <v/>
      </c>
      <c r="S24" s="111">
        <f>+'Tabela de BDI'!$F$9*C24</f>
        <v>924.6</v>
      </c>
      <c r="T24" s="114"/>
    </row>
    <row r="25" spans="1:20" x14ac:dyDescent="0.25">
      <c r="A25" s="1"/>
      <c r="B25" s="103" t="s">
        <v>85</v>
      </c>
      <c r="C25" s="104">
        <f t="shared" si="5"/>
        <v>8.0400000000000009</v>
      </c>
      <c r="D25" s="205" t="e">
        <f>ABS('Preço SFCR-REFUSOL BYD 335Wp'!$G$43-C25)</f>
        <v>#DIV/0!</v>
      </c>
      <c r="E25" s="105">
        <f>+'FRONIUS-BYD 335Wp'!E27</f>
        <v>24</v>
      </c>
      <c r="F25" s="112" t="e">
        <f>+IF(L25=0,"",ROUND(N25/(1-'Tabela de BDI'!$C$3),0))</f>
        <v>#VALUE!</v>
      </c>
      <c r="G25" s="112" t="e">
        <f>+IF(F25="","",ROUND(F25+(F25*'Preço SFCR-REFUSOL BYD 335Wp'!$H$44),0))</f>
        <v>#VALUE!</v>
      </c>
      <c r="H25" s="107" t="s">
        <v>87</v>
      </c>
      <c r="I25" s="122"/>
      <c r="J25" s="248" t="s">
        <v>245</v>
      </c>
      <c r="K25" s="146" t="e">
        <f t="shared" si="6"/>
        <v>#VALUE!</v>
      </c>
      <c r="L25" s="106" t="e">
        <f t="shared" si="7"/>
        <v>#VALUE!</v>
      </c>
      <c r="M25" s="106">
        <f>+'FRONIUS-BYD 335Wp'!L27</f>
        <v>5125</v>
      </c>
      <c r="N25" s="106" t="e">
        <f t="shared" si="8"/>
        <v>#VALUE!</v>
      </c>
      <c r="O25" s="106" t="e">
        <f>+IF(F25="","",F25*'Tabela de BDI'!$C$7)</f>
        <v>#VALUE!</v>
      </c>
      <c r="P25" s="106" t="e">
        <f>IF(F25="","",F25*'Tabela de BDI'!$C$8)</f>
        <v>#VALUE!</v>
      </c>
      <c r="Q25" s="109" t="e">
        <f t="shared" si="9"/>
        <v>#VALUE!</v>
      </c>
      <c r="R25" s="110" t="e">
        <f t="shared" si="10"/>
        <v>#VALUE!</v>
      </c>
      <c r="S25" s="111">
        <f>+'Tabela de BDI'!$F$9*C25</f>
        <v>964.80000000000007</v>
      </c>
      <c r="T25" s="114"/>
    </row>
    <row r="26" spans="1:20" s="207" customFormat="1" x14ac:dyDescent="0.25">
      <c r="A26" s="208"/>
      <c r="B26" s="103" t="s">
        <v>85</v>
      </c>
      <c r="C26" s="104">
        <f t="shared" ref="C26" si="49">+E26*$B$3</f>
        <v>8.375</v>
      </c>
      <c r="D26" s="205" t="e">
        <f>ABS('Preço SFCR-REFUSOL BYD 335Wp'!$G$43-C26)</f>
        <v>#DIV/0!</v>
      </c>
      <c r="E26" s="105">
        <f>+'FRONIUS-BYD 335Wp'!E28</f>
        <v>25</v>
      </c>
      <c r="F26" s="112" t="str">
        <f>+IF(L26=0,"",ROUND(N26/(1-'Tabela de BDI'!$C$3),0))</f>
        <v/>
      </c>
      <c r="G26" s="112" t="str">
        <f>+IF(F26="","",ROUND(F26+(F26*'Preço SFCR-REFUSOL BYD 335Wp'!$H$44),0))</f>
        <v/>
      </c>
      <c r="H26" s="107"/>
      <c r="I26" s="122"/>
      <c r="J26" s="144"/>
      <c r="K26" s="146">
        <f t="shared" si="6"/>
        <v>0</v>
      </c>
      <c r="L26" s="106">
        <f t="shared" ref="L26" si="50">+I26+K26</f>
        <v>0</v>
      </c>
      <c r="M26" s="106">
        <f>+'FRONIUS-BYD 335Wp'!L28</f>
        <v>5250</v>
      </c>
      <c r="N26" s="106">
        <f t="shared" ref="N26" si="51">+L26+M26</f>
        <v>5250</v>
      </c>
      <c r="O26" s="106" t="str">
        <f>+IF(F26="","",F26*'Tabela de BDI'!$C$7)</f>
        <v/>
      </c>
      <c r="P26" s="106" t="str">
        <f>IF(F26="","",F26*'Tabela de BDI'!$C$8)</f>
        <v/>
      </c>
      <c r="Q26" s="109" t="str">
        <f t="shared" ref="Q26" si="52">IF(F26="","",(F26-L26)/L26)</f>
        <v/>
      </c>
      <c r="R26" s="110" t="str">
        <f t="shared" ref="R26" si="53">IF(F26="","",(F26/C26)/1000)</f>
        <v/>
      </c>
      <c r="S26" s="111">
        <f>+'Tabela de BDI'!$F$9*C26</f>
        <v>1005</v>
      </c>
      <c r="T26" s="114"/>
    </row>
    <row r="27" spans="1:20" x14ac:dyDescent="0.25">
      <c r="A27" s="1"/>
      <c r="B27" s="103" t="s">
        <v>85</v>
      </c>
      <c r="C27" s="104">
        <f t="shared" si="5"/>
        <v>8.7100000000000009</v>
      </c>
      <c r="D27" s="205" t="e">
        <f>ABS('Preço SFCR-REFUSOL BYD 335Wp'!$G$43-C27)</f>
        <v>#DIV/0!</v>
      </c>
      <c r="E27" s="105">
        <f>+'FRONIUS-BYD 335Wp'!E29</f>
        <v>26</v>
      </c>
      <c r="F27" s="112" t="e">
        <f>+IF(L27=0,"",ROUND(N27/(1-'Tabela de BDI'!$C$3),0))</f>
        <v>#VALUE!</v>
      </c>
      <c r="G27" s="112" t="e">
        <f>+IF(F27="","",ROUND(F27+(F27*'Preço SFCR-REFUSOL BYD 335Wp'!$H$44),0))</f>
        <v>#VALUE!</v>
      </c>
      <c r="H27" s="107" t="s">
        <v>87</v>
      </c>
      <c r="I27" s="122"/>
      <c r="J27" s="248" t="s">
        <v>245</v>
      </c>
      <c r="K27" s="146" t="e">
        <f t="shared" si="6"/>
        <v>#VALUE!</v>
      </c>
      <c r="L27" s="106" t="e">
        <f t="shared" si="7"/>
        <v>#VALUE!</v>
      </c>
      <c r="M27" s="106">
        <f>+'FRONIUS-BYD 335Wp'!L29</f>
        <v>5375</v>
      </c>
      <c r="N27" s="106" t="e">
        <f t="shared" si="8"/>
        <v>#VALUE!</v>
      </c>
      <c r="O27" s="106" t="e">
        <f>+IF(F27="","",F27*'Tabela de BDI'!$C$7)</f>
        <v>#VALUE!</v>
      </c>
      <c r="P27" s="106" t="e">
        <f>IF(F27="","",F27*'Tabela de BDI'!$C$8)</f>
        <v>#VALUE!</v>
      </c>
      <c r="Q27" s="109" t="e">
        <f t="shared" si="9"/>
        <v>#VALUE!</v>
      </c>
      <c r="R27" s="110" t="e">
        <f t="shared" si="10"/>
        <v>#VALUE!</v>
      </c>
      <c r="S27" s="111">
        <f>+'Tabela de BDI'!$F$9*C27</f>
        <v>1045.2</v>
      </c>
      <c r="T27" s="114"/>
    </row>
    <row r="28" spans="1:20" x14ac:dyDescent="0.25">
      <c r="A28" s="1"/>
      <c r="B28" s="103" t="s">
        <v>85</v>
      </c>
      <c r="C28" s="104">
        <f t="shared" si="5"/>
        <v>9.3800000000000008</v>
      </c>
      <c r="D28" s="205" t="e">
        <f>ABS('Preço SFCR-REFUSOL BYD 335Wp'!$G$43-C28)</f>
        <v>#DIV/0!</v>
      </c>
      <c r="E28" s="105">
        <f>+'FRONIUS-BYD 335Wp'!E30</f>
        <v>28</v>
      </c>
      <c r="F28" s="112" t="str">
        <f>+IF(L28=0,"",ROUND(N28/(1-'Tabela de BDI'!$C$3),0))</f>
        <v/>
      </c>
      <c r="G28" s="112" t="str">
        <f>+IF(F28="","",ROUND(F28+(F28*'Preço SFCR-REFUSOL BYD 335Wp'!$H$44),0))</f>
        <v/>
      </c>
      <c r="H28" s="107"/>
      <c r="I28" s="106"/>
      <c r="J28" s="144"/>
      <c r="K28" s="146">
        <f t="shared" si="6"/>
        <v>0</v>
      </c>
      <c r="L28" s="106">
        <f t="shared" si="7"/>
        <v>0</v>
      </c>
      <c r="M28" s="106">
        <f>+'FRONIUS-BYD 335Wp'!L30</f>
        <v>5625</v>
      </c>
      <c r="N28" s="106">
        <f t="shared" si="8"/>
        <v>5625</v>
      </c>
      <c r="O28" s="106" t="str">
        <f>+IF(F28="","",F28*'Tabela de BDI'!$C$7)</f>
        <v/>
      </c>
      <c r="P28" s="106" t="str">
        <f>IF(F28="","",F28*'Tabela de BDI'!$C$8)</f>
        <v/>
      </c>
      <c r="Q28" s="109" t="str">
        <f t="shared" si="9"/>
        <v/>
      </c>
      <c r="R28" s="110" t="str">
        <f t="shared" si="10"/>
        <v/>
      </c>
      <c r="S28" s="111">
        <f>+'Tabela de BDI'!$F$9*C28</f>
        <v>1125.6000000000001</v>
      </c>
      <c r="T28" s="114"/>
    </row>
    <row r="29" spans="1:20" x14ac:dyDescent="0.25">
      <c r="A29" s="1"/>
      <c r="B29" s="103" t="s">
        <v>85</v>
      </c>
      <c r="C29" s="104">
        <f t="shared" si="5"/>
        <v>10.050000000000001</v>
      </c>
      <c r="D29" s="205" t="e">
        <f>ABS('Preço SFCR-REFUSOL BYD 335Wp'!$G$43-C29)</f>
        <v>#DIV/0!</v>
      </c>
      <c r="E29" s="105">
        <f>+'FRONIUS-BYD 335Wp'!E31</f>
        <v>30</v>
      </c>
      <c r="F29" s="112" t="str">
        <f>+IF(L29=0,"",ROUND(N29/(1-'Tabela de BDI'!$C$3),0))</f>
        <v/>
      </c>
      <c r="G29" s="112" t="str">
        <f>+IF(F29="","",ROUND(F29+(F29*'Preço SFCR-REFUSOL BYD 335Wp'!$H$44),0))</f>
        <v/>
      </c>
      <c r="H29" s="107"/>
      <c r="I29" s="106"/>
      <c r="J29" s="144"/>
      <c r="K29" s="146">
        <f t="shared" si="6"/>
        <v>0</v>
      </c>
      <c r="L29" s="106">
        <f t="shared" si="7"/>
        <v>0</v>
      </c>
      <c r="M29" s="106">
        <f>+'FRONIUS-BYD 335Wp'!L31</f>
        <v>5875</v>
      </c>
      <c r="N29" s="106">
        <f t="shared" si="8"/>
        <v>5875</v>
      </c>
      <c r="O29" s="106" t="str">
        <f>+IF(F29="","",F29*'Tabela de BDI'!$C$7)</f>
        <v/>
      </c>
      <c r="P29" s="106" t="str">
        <f>IF(F29="","",F29*'Tabela de BDI'!$C$8)</f>
        <v/>
      </c>
      <c r="Q29" s="109" t="str">
        <f t="shared" si="9"/>
        <v/>
      </c>
      <c r="R29" s="110" t="str">
        <f t="shared" si="10"/>
        <v/>
      </c>
      <c r="S29" s="111">
        <f>+'Tabela de BDI'!$F$9*C29</f>
        <v>1206</v>
      </c>
      <c r="T29" s="114"/>
    </row>
    <row r="30" spans="1:20" x14ac:dyDescent="0.25">
      <c r="A30" s="1"/>
      <c r="B30" s="103" t="s">
        <v>85</v>
      </c>
      <c r="C30" s="104">
        <f t="shared" si="5"/>
        <v>10.72</v>
      </c>
      <c r="D30" s="205" t="e">
        <f>ABS('Preço SFCR-REFUSOL BYD 335Wp'!$G$43-C30)</f>
        <v>#DIV/0!</v>
      </c>
      <c r="E30" s="105">
        <f>+'FRONIUS-BYD 335Wp'!E32</f>
        <v>32</v>
      </c>
      <c r="F30" s="112">
        <f>+IF(L30=0,"",ROUND(N30/(1-'Tabela de BDI'!$C$3),0))</f>
        <v>41590</v>
      </c>
      <c r="G30" s="112">
        <f>+IF(F30="","",ROUND(F30+(F30*'Preço SFCR-REFUSOL BYD 335Wp'!$H$44),0))</f>
        <v>43670</v>
      </c>
      <c r="H30" s="230" t="s">
        <v>242</v>
      </c>
      <c r="I30" s="106"/>
      <c r="J30" s="106">
        <f>+J19*2</f>
        <v>29607.14</v>
      </c>
      <c r="K30" s="146">
        <f t="shared" si="6"/>
        <v>30058.010152284263</v>
      </c>
      <c r="L30" s="106">
        <f t="shared" si="7"/>
        <v>30058.010152284263</v>
      </c>
      <c r="M30" s="106">
        <f>+'FRONIUS-BYD 335Wp'!L32</f>
        <v>6125</v>
      </c>
      <c r="N30" s="106">
        <f t="shared" si="8"/>
        <v>36183.01015228426</v>
      </c>
      <c r="O30" s="106">
        <f>+IF(F30="","",F30*'Tabela de BDI'!$C$7)</f>
        <v>3327.2000000000003</v>
      </c>
      <c r="P30" s="106">
        <f>IF(F30="","",F30*'Tabela de BDI'!$C$8)</f>
        <v>2079.5</v>
      </c>
      <c r="Q30" s="109">
        <f t="shared" si="9"/>
        <v>0.38365779335660255</v>
      </c>
      <c r="R30" s="110">
        <f t="shared" si="10"/>
        <v>3.879664179104477</v>
      </c>
      <c r="S30" s="111">
        <f>+'Tabela de BDI'!$F$9*C30</f>
        <v>1286.4000000000001</v>
      </c>
      <c r="T30" s="114"/>
    </row>
    <row r="31" spans="1:20" ht="15.75" customHeight="1" x14ac:dyDescent="0.25">
      <c r="A31" s="1"/>
      <c r="B31" s="103" t="s">
        <v>85</v>
      </c>
      <c r="C31" s="104">
        <f t="shared" si="5"/>
        <v>11.39</v>
      </c>
      <c r="D31" s="205" t="e">
        <f>ABS('Preço SFCR-REFUSOL BYD 335Wp'!$G$43-C31)</f>
        <v>#DIV/0!</v>
      </c>
      <c r="E31" s="105">
        <f>+'FRONIUS-BYD 335Wp'!E33</f>
        <v>34</v>
      </c>
      <c r="F31" s="112">
        <f>+IF(L31=0,"",ROUND(N31/(1-'Tabela de BDI'!$C$3),0))</f>
        <v>44228</v>
      </c>
      <c r="G31" s="112">
        <f>+IF(F31="","",ROUND(F31+(F31*'Preço SFCR-REFUSOL BYD 335Wp'!$H$44),0))</f>
        <v>46439</v>
      </c>
      <c r="H31" s="230" t="s">
        <v>242</v>
      </c>
      <c r="I31" s="106"/>
      <c r="J31" s="106">
        <f>+J19+J20</f>
        <v>31005.84</v>
      </c>
      <c r="K31" s="146">
        <f t="shared" si="6"/>
        <v>31478.010152284263</v>
      </c>
      <c r="L31" s="106">
        <f t="shared" si="7"/>
        <v>31478.010152284263</v>
      </c>
      <c r="M31" s="106">
        <f>+'FRONIUS-BYD 335Wp'!L33</f>
        <v>7000</v>
      </c>
      <c r="N31" s="106">
        <f t="shared" si="8"/>
        <v>38478.01015228426</v>
      </c>
      <c r="O31" s="106">
        <f>+IF(F31="","",F31*'Tabela de BDI'!$C$7)</f>
        <v>3538.2400000000002</v>
      </c>
      <c r="P31" s="106">
        <f>IF(F31="","",F31*'Tabela de BDI'!$C$8)</f>
        <v>2211.4</v>
      </c>
      <c r="Q31" s="109">
        <f t="shared" si="9"/>
        <v>0.40504434003400652</v>
      </c>
      <c r="R31" s="110">
        <f t="shared" si="10"/>
        <v>3.8830553116769093</v>
      </c>
      <c r="S31" s="111">
        <f>+'Tabela de BDI'!$F$9*C31</f>
        <v>1366.8000000000002</v>
      </c>
      <c r="T31" s="114"/>
    </row>
    <row r="32" spans="1:20" ht="15.75" customHeight="1" x14ac:dyDescent="0.25">
      <c r="A32" s="1"/>
      <c r="B32" s="103" t="s">
        <v>85</v>
      </c>
      <c r="C32" s="104">
        <f t="shared" si="5"/>
        <v>12.06</v>
      </c>
      <c r="D32" s="205" t="e">
        <f>ABS('Preço SFCR-REFUSOL BYD 335Wp'!$G$43-C32)</f>
        <v>#DIV/0!</v>
      </c>
      <c r="E32" s="105">
        <f>+'FRONIUS-BYD 335Wp'!E34</f>
        <v>36</v>
      </c>
      <c r="F32" s="112">
        <f>+IF(L32=0,"",ROUND(N32/(1-'Tabela de BDI'!$C$3),0))</f>
        <v>46147</v>
      </c>
      <c r="G32" s="112">
        <f>+IF(F32="","",ROUND(F32+(F32*'Preço SFCR-REFUSOL BYD 335Wp'!$H$44),0))</f>
        <v>48454</v>
      </c>
      <c r="H32" s="230" t="s">
        <v>242</v>
      </c>
      <c r="I32" s="106"/>
      <c r="J32" s="106">
        <f>+J20*2</f>
        <v>32404.54</v>
      </c>
      <c r="K32" s="146">
        <f t="shared" si="6"/>
        <v>32898.010152284267</v>
      </c>
      <c r="L32" s="106">
        <f t="shared" si="7"/>
        <v>32898.010152284267</v>
      </c>
      <c r="M32" s="106">
        <f>+'FRONIUS-BYD 335Wp'!L34</f>
        <v>7250</v>
      </c>
      <c r="N32" s="106">
        <f t="shared" si="8"/>
        <v>40148.010152284267</v>
      </c>
      <c r="O32" s="106">
        <f>+IF(F32="","",F32*'Tabela de BDI'!$C$7)</f>
        <v>3691.76</v>
      </c>
      <c r="P32" s="106">
        <f>IF(F32="","",F32*'Tabela de BDI'!$C$8)</f>
        <v>2307.35</v>
      </c>
      <c r="Q32" s="109">
        <f t="shared" si="9"/>
        <v>0.40272921633820435</v>
      </c>
      <c r="R32" s="110">
        <f t="shared" si="10"/>
        <v>3.8264510779436152</v>
      </c>
      <c r="S32" s="111">
        <f>+'Tabela de BDI'!$F$9*C32</f>
        <v>1447.2</v>
      </c>
      <c r="T32" s="114"/>
    </row>
    <row r="33" spans="1:20" ht="15.75" customHeight="1" x14ac:dyDescent="0.25">
      <c r="A33" s="1"/>
      <c r="B33" s="103" t="s">
        <v>85</v>
      </c>
      <c r="C33" s="104">
        <f t="shared" si="5"/>
        <v>12.73</v>
      </c>
      <c r="D33" s="205" t="e">
        <f>ABS('Preço SFCR-REFUSOL BYD 335Wp'!$G$43-C33)</f>
        <v>#DIV/0!</v>
      </c>
      <c r="E33" s="105">
        <f>+'FRONIUS-BYD 335Wp'!E35</f>
        <v>38</v>
      </c>
      <c r="F33" s="112">
        <f>+IF(L33=0,"",ROUND(N33/(1-'Tabela de BDI'!$C$3),0))</f>
        <v>47722</v>
      </c>
      <c r="G33" s="112">
        <f>+IF(F33="","",ROUND(F33+(F33*'Preço SFCR-REFUSOL BYD 335Wp'!$H$44),0))</f>
        <v>50108</v>
      </c>
      <c r="H33" s="230" t="s">
        <v>242</v>
      </c>
      <c r="I33" s="106"/>
      <c r="J33" s="106">
        <f>+J20+J22</f>
        <v>33507.740000000005</v>
      </c>
      <c r="K33" s="146">
        <f t="shared" si="6"/>
        <v>34018.010152284267</v>
      </c>
      <c r="L33" s="106">
        <f t="shared" si="7"/>
        <v>34018.010152284267</v>
      </c>
      <c r="M33" s="106">
        <f>+'FRONIUS-BYD 335Wp'!L35</f>
        <v>7500</v>
      </c>
      <c r="N33" s="106">
        <f t="shared" si="8"/>
        <v>41518.010152284267</v>
      </c>
      <c r="O33" s="106">
        <f>+IF(F33="","",F33*'Tabela de BDI'!$C$7)</f>
        <v>3817.76</v>
      </c>
      <c r="P33" s="106">
        <f>IF(F33="","",F33*'Tabela de BDI'!$C$8)</f>
        <v>2386.1</v>
      </c>
      <c r="Q33" s="109">
        <f t="shared" si="9"/>
        <v>0.40284513369149921</v>
      </c>
      <c r="R33" s="110">
        <f t="shared" si="10"/>
        <v>3.7487824037706203</v>
      </c>
      <c r="S33" s="111">
        <f>+'Tabela de BDI'!$F$9*C33</f>
        <v>1527.6000000000001</v>
      </c>
      <c r="T33" s="114"/>
    </row>
    <row r="34" spans="1:20" ht="15.75" customHeight="1" x14ac:dyDescent="0.25">
      <c r="A34" s="1"/>
      <c r="B34" s="103" t="s">
        <v>85</v>
      </c>
      <c r="C34" s="104">
        <f t="shared" si="5"/>
        <v>13.4</v>
      </c>
      <c r="D34" s="205" t="e">
        <f>ABS('Preço SFCR-REFUSOL BYD 335Wp'!$G$43-C34)</f>
        <v>#DIV/0!</v>
      </c>
      <c r="E34" s="105">
        <f>+'FRONIUS-BYD 335Wp'!E36</f>
        <v>40</v>
      </c>
      <c r="F34" s="112">
        <f>+IF(L34=0,"",ROUND(N34/(1-'Tabela de BDI'!$C$3),0))</f>
        <v>49297</v>
      </c>
      <c r="G34" s="112">
        <f>+IF(F34="","",ROUND(F34+(F34*'Preço SFCR-REFUSOL BYD 335Wp'!$H$44),0))</f>
        <v>51762</v>
      </c>
      <c r="H34" s="230" t="s">
        <v>242</v>
      </c>
      <c r="I34" s="106"/>
      <c r="J34" s="106">
        <f>+J22*2</f>
        <v>34610.94</v>
      </c>
      <c r="K34" s="146">
        <f t="shared" si="6"/>
        <v>35138.010152284267</v>
      </c>
      <c r="L34" s="106">
        <f t="shared" si="7"/>
        <v>35138.010152284267</v>
      </c>
      <c r="M34" s="106">
        <f>+'FRONIUS-BYD 335Wp'!L36</f>
        <v>7750</v>
      </c>
      <c r="N34" s="106">
        <f t="shared" si="8"/>
        <v>42888.010152284267</v>
      </c>
      <c r="O34" s="106">
        <f>+IF(F34="","",F34*'Tabela de BDI'!$C$7)</f>
        <v>3943.76</v>
      </c>
      <c r="P34" s="106">
        <f>IF(F34="","",F34*'Tabela de BDI'!$C$8)</f>
        <v>2464.8500000000004</v>
      </c>
      <c r="Q34" s="109">
        <f t="shared" si="9"/>
        <v>0.40295366147235517</v>
      </c>
      <c r="R34" s="110">
        <f t="shared" si="10"/>
        <v>3.678880597014925</v>
      </c>
      <c r="S34" s="111">
        <f>+'Tabela de BDI'!$F$9*C34</f>
        <v>1608</v>
      </c>
      <c r="T34" s="114"/>
    </row>
    <row r="35" spans="1:20" ht="15.75" customHeight="1" x14ac:dyDescent="0.25">
      <c r="A35" s="1"/>
      <c r="B35" s="103" t="s">
        <v>85</v>
      </c>
      <c r="C35" s="104">
        <f t="shared" si="5"/>
        <v>14.07</v>
      </c>
      <c r="D35" s="205" t="e">
        <f>ABS('Preço SFCR-REFUSOL BYD 335Wp'!$G$43-C35)</f>
        <v>#DIV/0!</v>
      </c>
      <c r="E35" s="105">
        <f>+'FRONIUS-BYD 335Wp'!E37</f>
        <v>42</v>
      </c>
      <c r="F35" s="112" t="str">
        <f>+IF(L35=0,"",ROUND(N35/(1-'Tabela de BDI'!$C$3),0))</f>
        <v/>
      </c>
      <c r="G35" s="112" t="str">
        <f>+IF(F35="","",ROUND(F35+(F35*'Preço SFCR-REFUSOL BYD 335Wp'!$H$44),0))</f>
        <v/>
      </c>
      <c r="H35" s="147"/>
      <c r="I35" s="145"/>
      <c r="J35" s="145"/>
      <c r="K35" s="146">
        <f t="shared" si="6"/>
        <v>0</v>
      </c>
      <c r="L35" s="106">
        <f t="shared" si="7"/>
        <v>0</v>
      </c>
      <c r="M35" s="106">
        <f>+'FRONIUS-BYD 335Wp'!L37</f>
        <v>8000</v>
      </c>
      <c r="N35" s="106">
        <f t="shared" si="8"/>
        <v>8000</v>
      </c>
      <c r="O35" s="106" t="str">
        <f>+IF(F35="","",F35*'Tabela de BDI'!$C$7)</f>
        <v/>
      </c>
      <c r="P35" s="106" t="str">
        <f>IF(F35="","",F35*'Tabela de BDI'!$C$8)</f>
        <v/>
      </c>
      <c r="Q35" s="109" t="str">
        <f t="shared" si="9"/>
        <v/>
      </c>
      <c r="R35" s="110" t="str">
        <f t="shared" si="10"/>
        <v/>
      </c>
      <c r="S35" s="111">
        <f>+'Tabela de BDI'!$F$9*C35</f>
        <v>1688.4</v>
      </c>
      <c r="T35" s="114"/>
    </row>
    <row r="36" spans="1:20" ht="15.75" customHeight="1" x14ac:dyDescent="0.25">
      <c r="A36" s="1"/>
      <c r="B36" s="103" t="s">
        <v>85</v>
      </c>
      <c r="C36" s="104">
        <f t="shared" si="5"/>
        <v>14.74</v>
      </c>
      <c r="D36" s="205" t="e">
        <f>ABS('Preço SFCR-REFUSOL BYD 335Wp'!$G$43-C36)</f>
        <v>#DIV/0!</v>
      </c>
      <c r="E36" s="105">
        <f>+'FRONIUS-BYD 335Wp'!E38</f>
        <v>44</v>
      </c>
      <c r="F36" s="112" t="e">
        <f>+IF(L36=0,"",ROUND(N36/(1-'Tabela de BDI'!$C$3),0))</f>
        <v>#VALUE!</v>
      </c>
      <c r="G36" s="112" t="e">
        <f>+IF(F36="","",ROUND(F36+(F36*'Preço SFCR-REFUSOL BYD 335Wp'!$H$44),0))</f>
        <v>#VALUE!</v>
      </c>
      <c r="H36" s="107" t="s">
        <v>88</v>
      </c>
      <c r="I36" s="106"/>
      <c r="J36" s="106" t="e">
        <f>2*J23</f>
        <v>#VALUE!</v>
      </c>
      <c r="K36" s="146" t="e">
        <f t="shared" si="6"/>
        <v>#VALUE!</v>
      </c>
      <c r="L36" s="106" t="e">
        <f t="shared" si="7"/>
        <v>#VALUE!</v>
      </c>
      <c r="M36" s="106">
        <f>+'FRONIUS-BYD 335Wp'!L38</f>
        <v>8250</v>
      </c>
      <c r="N36" s="106" t="e">
        <f t="shared" si="8"/>
        <v>#VALUE!</v>
      </c>
      <c r="O36" s="106" t="e">
        <f>+IF(F36="","",F36*'Tabela de BDI'!$C$7)</f>
        <v>#VALUE!</v>
      </c>
      <c r="P36" s="106" t="e">
        <f>IF(F36="","",F36*'Tabela de BDI'!$C$8)</f>
        <v>#VALUE!</v>
      </c>
      <c r="Q36" s="109" t="e">
        <f t="shared" si="9"/>
        <v>#VALUE!</v>
      </c>
      <c r="R36" s="110" t="e">
        <f t="shared" si="10"/>
        <v>#VALUE!</v>
      </c>
      <c r="S36" s="111">
        <f>+'Tabela de BDI'!$F$9*C36</f>
        <v>1768.8</v>
      </c>
      <c r="T36" s="114"/>
    </row>
    <row r="37" spans="1:20" ht="15.75" customHeight="1" x14ac:dyDescent="0.25">
      <c r="A37" s="1"/>
      <c r="B37" s="103" t="s">
        <v>85</v>
      </c>
      <c r="C37" s="104">
        <f t="shared" si="5"/>
        <v>15.41</v>
      </c>
      <c r="D37" s="205" t="e">
        <f>ABS('Preço SFCR-REFUSOL BYD 335Wp'!$G$43-C37)</f>
        <v>#DIV/0!</v>
      </c>
      <c r="E37" s="105">
        <f>+'FRONIUS-BYD 335Wp'!E39</f>
        <v>46</v>
      </c>
      <c r="F37" s="112" t="e">
        <f>+IF(L37=0,"",ROUND(N37/(1-'Tabela de BDI'!$C$3),0))</f>
        <v>#VALUE!</v>
      </c>
      <c r="G37" s="112" t="e">
        <f>+IF(F37="","",ROUND(F37+(F37*'Preço SFCR-REFUSOL BYD 335Wp'!$H$44),0))</f>
        <v>#VALUE!</v>
      </c>
      <c r="H37" s="107" t="s">
        <v>88</v>
      </c>
      <c r="I37" s="106"/>
      <c r="J37" s="106" t="e">
        <f>+J23+J25</f>
        <v>#VALUE!</v>
      </c>
      <c r="K37" s="146" t="e">
        <f t="shared" si="6"/>
        <v>#VALUE!</v>
      </c>
      <c r="L37" s="106" t="e">
        <f t="shared" si="7"/>
        <v>#VALUE!</v>
      </c>
      <c r="M37" s="106">
        <f>+'FRONIUS-BYD 335Wp'!L39</f>
        <v>8500</v>
      </c>
      <c r="N37" s="106" t="e">
        <f t="shared" si="8"/>
        <v>#VALUE!</v>
      </c>
      <c r="O37" s="106" t="e">
        <f>+IF(F37="","",F37*'Tabela de BDI'!$C$7)</f>
        <v>#VALUE!</v>
      </c>
      <c r="P37" s="106" t="e">
        <f>IF(F37="","",F37*'Tabela de BDI'!$C$8)</f>
        <v>#VALUE!</v>
      </c>
      <c r="Q37" s="109" t="e">
        <f t="shared" si="9"/>
        <v>#VALUE!</v>
      </c>
      <c r="R37" s="110" t="e">
        <f t="shared" si="10"/>
        <v>#VALUE!</v>
      </c>
      <c r="S37" s="111">
        <f>+'Tabela de BDI'!$F$9*C37</f>
        <v>1849.2</v>
      </c>
      <c r="T37" s="114"/>
    </row>
    <row r="38" spans="1:20" ht="15.75" customHeight="1" x14ac:dyDescent="0.25">
      <c r="A38" s="1"/>
      <c r="B38" s="103" t="s">
        <v>85</v>
      </c>
      <c r="C38" s="104">
        <f t="shared" si="5"/>
        <v>16.080000000000002</v>
      </c>
      <c r="D38" s="205" t="e">
        <f>ABS('Preço SFCR-REFUSOL BYD 335Wp'!$G$43-C38)</f>
        <v>#DIV/0!</v>
      </c>
      <c r="E38" s="105">
        <f>+'FRONIUS-BYD 335Wp'!E40</f>
        <v>48</v>
      </c>
      <c r="F38" s="112" t="e">
        <f>+IF(L38=0,"",ROUND(N38/(1-'Tabela de BDI'!$C$3),0))</f>
        <v>#VALUE!</v>
      </c>
      <c r="G38" s="112" t="e">
        <f>+IF(F38="","",ROUND(F38+(F38*'Preço SFCR-REFUSOL BYD 335Wp'!$H$44),0))</f>
        <v>#VALUE!</v>
      </c>
      <c r="H38" s="107" t="s">
        <v>88</v>
      </c>
      <c r="I38" s="106"/>
      <c r="J38" s="106" t="e">
        <f>2*J25</f>
        <v>#VALUE!</v>
      </c>
      <c r="K38" s="146" t="e">
        <f t="shared" si="6"/>
        <v>#VALUE!</v>
      </c>
      <c r="L38" s="106" t="e">
        <f t="shared" si="7"/>
        <v>#VALUE!</v>
      </c>
      <c r="M38" s="106">
        <f>+'FRONIUS-BYD 335Wp'!L40</f>
        <v>8750</v>
      </c>
      <c r="N38" s="106" t="e">
        <f t="shared" si="8"/>
        <v>#VALUE!</v>
      </c>
      <c r="O38" s="106" t="e">
        <f>+IF(F38="","",F38*'Tabela de BDI'!$C$7)</f>
        <v>#VALUE!</v>
      </c>
      <c r="P38" s="106" t="e">
        <f>IF(F38="","",F38*'Tabela de BDI'!$C$8)</f>
        <v>#VALUE!</v>
      </c>
      <c r="Q38" s="109" t="e">
        <f t="shared" si="9"/>
        <v>#VALUE!</v>
      </c>
      <c r="R38" s="110" t="e">
        <f t="shared" si="10"/>
        <v>#VALUE!</v>
      </c>
      <c r="S38" s="111">
        <f>+'Tabela de BDI'!$F$9*C38</f>
        <v>1929.6000000000001</v>
      </c>
      <c r="T38" s="114"/>
    </row>
    <row r="39" spans="1:20" ht="15.75" customHeight="1" x14ac:dyDescent="0.25">
      <c r="A39" s="1"/>
      <c r="B39" s="103" t="s">
        <v>85</v>
      </c>
      <c r="C39" s="104">
        <f t="shared" si="5"/>
        <v>16.75</v>
      </c>
      <c r="D39" s="205" t="e">
        <f>ABS('Preço SFCR-REFUSOL BYD 335Wp'!$G$43-C39)</f>
        <v>#DIV/0!</v>
      </c>
      <c r="E39" s="105">
        <f>+'FRONIUS-BYD 335Wp'!E41</f>
        <v>50</v>
      </c>
      <c r="F39" s="112" t="e">
        <f>+IF(L39=0,"",ROUND(N39/(1-'Tabela de BDI'!$C$3),0))</f>
        <v>#VALUE!</v>
      </c>
      <c r="G39" s="112" t="e">
        <f>+IF(F39="","",ROUND(F39+(F39*'Preço SFCR-REFUSOL BYD 335Wp'!$H$44),0))</f>
        <v>#VALUE!</v>
      </c>
      <c r="H39" s="107" t="s">
        <v>88</v>
      </c>
      <c r="I39" s="106"/>
      <c r="J39" s="106" t="e">
        <f>+J25+J27</f>
        <v>#VALUE!</v>
      </c>
      <c r="K39" s="146" t="e">
        <f t="shared" si="6"/>
        <v>#VALUE!</v>
      </c>
      <c r="L39" s="106" t="e">
        <f t="shared" si="7"/>
        <v>#VALUE!</v>
      </c>
      <c r="M39" s="106">
        <f>+'FRONIUS-BYD 335Wp'!L41</f>
        <v>9000</v>
      </c>
      <c r="N39" s="106" t="e">
        <f t="shared" si="8"/>
        <v>#VALUE!</v>
      </c>
      <c r="O39" s="106" t="e">
        <f>+IF(F39="","",F39*'Tabela de BDI'!$C$7)</f>
        <v>#VALUE!</v>
      </c>
      <c r="P39" s="106" t="e">
        <f>IF(F39="","",F39*'Tabela de BDI'!$C$8)</f>
        <v>#VALUE!</v>
      </c>
      <c r="Q39" s="109" t="e">
        <f t="shared" si="9"/>
        <v>#VALUE!</v>
      </c>
      <c r="R39" s="110" t="e">
        <f t="shared" si="10"/>
        <v>#VALUE!</v>
      </c>
      <c r="S39" s="111">
        <f>+'Tabela de BDI'!$F$9*C39</f>
        <v>2010</v>
      </c>
      <c r="T39" s="114"/>
    </row>
    <row r="40" spans="1:20" ht="15.75" customHeight="1" x14ac:dyDescent="0.25">
      <c r="A40" s="1"/>
      <c r="B40" s="103" t="s">
        <v>85</v>
      </c>
      <c r="C40" s="104">
        <f t="shared" si="5"/>
        <v>17.420000000000002</v>
      </c>
      <c r="D40" s="205" t="e">
        <f>ABS('Preço SFCR-REFUSOL BYD 335Wp'!$G$43-C40)</f>
        <v>#DIV/0!</v>
      </c>
      <c r="E40" s="105">
        <f>+'FRONIUS-BYD 335Wp'!E42</f>
        <v>52</v>
      </c>
      <c r="F40" s="112" t="e">
        <f>+IF(L40=0,"",ROUND(N40/(1-'Tabela de BDI'!$C$3),0))</f>
        <v>#VALUE!</v>
      </c>
      <c r="G40" s="112" t="e">
        <f>+IF(F40="","",ROUND(F40+(F40*'Preço SFCR-REFUSOL BYD 335Wp'!$H$44),0))</f>
        <v>#VALUE!</v>
      </c>
      <c r="H40" s="107" t="s">
        <v>88</v>
      </c>
      <c r="I40" s="106"/>
      <c r="J40" s="106" t="e">
        <f>2*J27</f>
        <v>#VALUE!</v>
      </c>
      <c r="K40" s="146" t="e">
        <f t="shared" si="6"/>
        <v>#VALUE!</v>
      </c>
      <c r="L40" s="106" t="e">
        <f t="shared" si="7"/>
        <v>#VALUE!</v>
      </c>
      <c r="M40" s="106">
        <f>+'FRONIUS-BYD 335Wp'!L42</f>
        <v>9250</v>
      </c>
      <c r="N40" s="106" t="e">
        <f t="shared" si="8"/>
        <v>#VALUE!</v>
      </c>
      <c r="O40" s="106" t="e">
        <f>+IF(F40="","",F40*'Tabela de BDI'!$C$7)</f>
        <v>#VALUE!</v>
      </c>
      <c r="P40" s="106" t="e">
        <f>IF(F40="","",F40*'Tabela de BDI'!$C$8)</f>
        <v>#VALUE!</v>
      </c>
      <c r="Q40" s="109" t="e">
        <f t="shared" si="9"/>
        <v>#VALUE!</v>
      </c>
      <c r="R40" s="110" t="e">
        <f t="shared" si="10"/>
        <v>#VALUE!</v>
      </c>
      <c r="S40" s="111">
        <f>+'Tabela de BDI'!$F$9*C40</f>
        <v>2090.4</v>
      </c>
      <c r="T40" s="114"/>
    </row>
    <row r="41" spans="1:20" ht="15.75" customHeight="1" x14ac:dyDescent="0.25">
      <c r="A41" s="1"/>
      <c r="B41" s="103" t="s">
        <v>85</v>
      </c>
      <c r="C41" s="104">
        <f t="shared" si="5"/>
        <v>18.09</v>
      </c>
      <c r="D41" s="205" t="e">
        <f>ABS('Preço SFCR-REFUSOL BYD 335Wp'!$G$43-C41)</f>
        <v>#DIV/0!</v>
      </c>
      <c r="E41" s="105">
        <f>+'FRONIUS-BYD 335Wp'!E43</f>
        <v>54</v>
      </c>
      <c r="F41" s="112">
        <f>+IF(L41=0,"",ROUND(N41/(1-'Tabela de BDI'!$C$3),0))</f>
        <v>67640</v>
      </c>
      <c r="G41" s="112">
        <f>+IF(F41="","",ROUND(F41+(F41*'Preço SFCR-REFUSOL BYD 335Wp'!$H$44),0))</f>
        <v>71022</v>
      </c>
      <c r="H41" s="242" t="s">
        <v>243</v>
      </c>
      <c r="I41" s="145"/>
      <c r="J41" s="213">
        <f>3*J20</f>
        <v>48606.81</v>
      </c>
      <c r="K41" s="146">
        <f t="shared" si="6"/>
        <v>49347.015228426397</v>
      </c>
      <c r="L41" s="106">
        <f t="shared" si="7"/>
        <v>49347.015228426397</v>
      </c>
      <c r="M41" s="106">
        <f>+'FRONIUS-BYD 335Wp'!L43</f>
        <v>9500</v>
      </c>
      <c r="N41" s="106">
        <f t="shared" si="8"/>
        <v>58847.015228426397</v>
      </c>
      <c r="O41" s="106">
        <f>+IF(F41="","",F41*'Tabela de BDI'!$C$7)</f>
        <v>5411.2</v>
      </c>
      <c r="P41" s="106">
        <f>IF(F41="","",F41*'Tabela de BDI'!$C$8)</f>
        <v>3382</v>
      </c>
      <c r="Q41" s="109">
        <f t="shared" si="9"/>
        <v>0.37070093676174182</v>
      </c>
      <c r="R41" s="110">
        <f t="shared" si="10"/>
        <v>3.7390823659480374</v>
      </c>
      <c r="S41" s="111">
        <f>+'Tabela de BDI'!$F$9*C41</f>
        <v>2170.8000000000002</v>
      </c>
      <c r="T41" s="114"/>
    </row>
    <row r="42" spans="1:20" ht="15.75" customHeight="1" x14ac:dyDescent="0.25">
      <c r="A42" s="1"/>
      <c r="B42" s="103" t="s">
        <v>85</v>
      </c>
      <c r="C42" s="104">
        <f t="shared" si="5"/>
        <v>18.760000000000002</v>
      </c>
      <c r="D42" s="205" t="e">
        <f>ABS('Preço SFCR-REFUSOL BYD 335Wp'!$G$43-C42)</f>
        <v>#DIV/0!</v>
      </c>
      <c r="E42" s="105">
        <f>+'FRONIUS-BYD 335Wp'!E44</f>
        <v>56</v>
      </c>
      <c r="F42" s="112">
        <f>+IF(L42=0,"",ROUND(N42/(1-'Tabela de BDI'!$C$3),0))</f>
        <v>69215</v>
      </c>
      <c r="G42" s="112">
        <f>+IF(F42="","",ROUND(F42+(F42*'Preço SFCR-REFUSOL BYD 335Wp'!$H$44),0))</f>
        <v>72676</v>
      </c>
      <c r="H42" s="242" t="s">
        <v>243</v>
      </c>
      <c r="I42" s="145"/>
      <c r="J42" s="213">
        <f>2*J20+J22</f>
        <v>49710.01</v>
      </c>
      <c r="K42" s="146">
        <f t="shared" si="6"/>
        <v>50467.015228426397</v>
      </c>
      <c r="L42" s="106">
        <f t="shared" si="7"/>
        <v>50467.015228426397</v>
      </c>
      <c r="M42" s="106">
        <f>+'FRONIUS-BYD 335Wp'!L44</f>
        <v>9750</v>
      </c>
      <c r="N42" s="106">
        <f t="shared" si="8"/>
        <v>60217.015228426397</v>
      </c>
      <c r="O42" s="106">
        <f>+IF(F42="","",F42*'Tabela de BDI'!$C$7)</f>
        <v>5537.2</v>
      </c>
      <c r="P42" s="106">
        <f>IF(F42="","",F42*'Tabela de BDI'!$C$8)</f>
        <v>3460.75</v>
      </c>
      <c r="Q42" s="109">
        <f t="shared" si="9"/>
        <v>0.3714898669302219</v>
      </c>
      <c r="R42" s="110">
        <f t="shared" si="10"/>
        <v>3.6894989339019184</v>
      </c>
      <c r="S42" s="111">
        <f>+'Tabela de BDI'!$F$9*C42</f>
        <v>2251.2000000000003</v>
      </c>
      <c r="T42" s="114"/>
    </row>
    <row r="43" spans="1:20" ht="15.75" customHeight="1" x14ac:dyDescent="0.25">
      <c r="A43" s="1"/>
      <c r="B43" s="103" t="s">
        <v>85</v>
      </c>
      <c r="C43" s="104">
        <f t="shared" si="5"/>
        <v>19.43</v>
      </c>
      <c r="D43" s="205" t="e">
        <f>ABS('Preço SFCR-REFUSOL BYD 335Wp'!$G$43-C43)</f>
        <v>#DIV/0!</v>
      </c>
      <c r="E43" s="105">
        <f>+'FRONIUS-BYD 335Wp'!E45</f>
        <v>58</v>
      </c>
      <c r="F43" s="112">
        <f>+IF(L43=0,"",ROUND(N43/(1-'Tabela de BDI'!$C$3),0))</f>
        <v>70790</v>
      </c>
      <c r="G43" s="112">
        <f>+IF(F43="","",ROUND(F43+(F43*'Preço SFCR-REFUSOL BYD 335Wp'!$H$44),0))</f>
        <v>74330</v>
      </c>
      <c r="H43" s="242" t="s">
        <v>243</v>
      </c>
      <c r="I43" s="145"/>
      <c r="J43" s="213">
        <f>2*J22+J20</f>
        <v>50813.210000000006</v>
      </c>
      <c r="K43" s="146">
        <f t="shared" si="6"/>
        <v>51587.015228426404</v>
      </c>
      <c r="L43" s="106">
        <f t="shared" si="7"/>
        <v>51587.015228426404</v>
      </c>
      <c r="M43" s="106">
        <f>+'FRONIUS-BYD 335Wp'!L45</f>
        <v>10000</v>
      </c>
      <c r="N43" s="106">
        <f t="shared" si="8"/>
        <v>61587.015228426404</v>
      </c>
      <c r="O43" s="106">
        <f>+IF(F43="","",F43*'Tabela de BDI'!$C$7)</f>
        <v>5663.2</v>
      </c>
      <c r="P43" s="106">
        <f>IF(F43="","",F43*'Tabela de BDI'!$C$8)</f>
        <v>3539.5</v>
      </c>
      <c r="Q43" s="109">
        <f t="shared" si="9"/>
        <v>0.37224454034688992</v>
      </c>
      <c r="R43" s="110">
        <f t="shared" si="10"/>
        <v>3.6433350488934639</v>
      </c>
      <c r="S43" s="111">
        <f>+'Tabela de BDI'!$F$9*C43</f>
        <v>2331.6</v>
      </c>
      <c r="T43" s="114"/>
    </row>
    <row r="44" spans="1:20" ht="15.75" customHeight="1" x14ac:dyDescent="0.25">
      <c r="A44" s="1"/>
      <c r="B44" s="103" t="s">
        <v>85</v>
      </c>
      <c r="C44" s="104">
        <f t="shared" si="5"/>
        <v>20.100000000000001</v>
      </c>
      <c r="D44" s="205" t="e">
        <f>ABS('Preço SFCR-REFUSOL BYD 335Wp'!$G$43-C44)</f>
        <v>#DIV/0!</v>
      </c>
      <c r="E44" s="105">
        <f>+'FRONIUS-BYD 335Wp'!E46</f>
        <v>60</v>
      </c>
      <c r="F44" s="112">
        <f>+IF(L44=0,"",ROUND(N44/(1-'Tabela de BDI'!$C$3),0))</f>
        <v>72364</v>
      </c>
      <c r="G44" s="112">
        <f>+IF(F44="","",ROUND(F44+(F44*'Preço SFCR-REFUSOL BYD 335Wp'!$H$44),0))</f>
        <v>75982</v>
      </c>
      <c r="H44" s="242" t="s">
        <v>243</v>
      </c>
      <c r="I44" s="145"/>
      <c r="J44" s="213">
        <f>3*J22</f>
        <v>51916.41</v>
      </c>
      <c r="K44" s="146">
        <f t="shared" si="6"/>
        <v>52707.015228426397</v>
      </c>
      <c r="L44" s="106">
        <f t="shared" si="7"/>
        <v>52707.015228426397</v>
      </c>
      <c r="M44" s="106">
        <f>+'FRONIUS-BYD 335Wp'!L46</f>
        <v>10250</v>
      </c>
      <c r="N44" s="106">
        <f t="shared" si="8"/>
        <v>62957.015228426397</v>
      </c>
      <c r="O44" s="106">
        <f>+IF(F44="","",F44*'Tabela de BDI'!$C$7)</f>
        <v>5789.12</v>
      </c>
      <c r="P44" s="106">
        <f>IF(F44="","",F44*'Tabela de BDI'!$C$8)</f>
        <v>3618.2000000000003</v>
      </c>
      <c r="Q44" s="109">
        <f t="shared" si="9"/>
        <v>0.37294816802625602</v>
      </c>
      <c r="R44" s="110">
        <f t="shared" si="10"/>
        <v>3.6001990049751238</v>
      </c>
      <c r="S44" s="111">
        <f>+'Tabela de BDI'!$F$9*C44</f>
        <v>2412</v>
      </c>
      <c r="T44" s="114"/>
    </row>
    <row r="45" spans="1:20" ht="15.75" customHeight="1" x14ac:dyDescent="0.25">
      <c r="A45" s="1"/>
      <c r="B45" s="103" t="s">
        <v>85</v>
      </c>
      <c r="C45" s="104">
        <f t="shared" si="5"/>
        <v>20.77</v>
      </c>
      <c r="D45" s="205" t="e">
        <f>ABS('Preço SFCR-REFUSOL BYD 335Wp'!$G$43-C45)</f>
        <v>#DIV/0!</v>
      </c>
      <c r="E45" s="105">
        <f>+'FRONIUS-BYD 335Wp'!E47</f>
        <v>62</v>
      </c>
      <c r="F45" s="112" t="str">
        <f>+IF(L45=0,"",ROUND(N45/(1-'Tabela de BDI'!$C$3),0))</f>
        <v/>
      </c>
      <c r="G45" s="112" t="str">
        <f>+IF(F45="","",ROUND(F45+(F45*'Preço SFCR-REFUSOL BYD 335Wp'!$H$44),0))</f>
        <v/>
      </c>
      <c r="H45" s="173"/>
      <c r="I45" s="145"/>
      <c r="J45" s="213"/>
      <c r="K45" s="146">
        <f t="shared" si="6"/>
        <v>0</v>
      </c>
      <c r="L45" s="106">
        <f t="shared" si="7"/>
        <v>0</v>
      </c>
      <c r="M45" s="106">
        <f>+'FRONIUS-BYD 335Wp'!L47</f>
        <v>10500</v>
      </c>
      <c r="N45" s="106">
        <f t="shared" si="8"/>
        <v>10500</v>
      </c>
      <c r="O45" s="106" t="str">
        <f>+IF(F45="","",F45*'Tabela de BDI'!$C$7)</f>
        <v/>
      </c>
      <c r="P45" s="106" t="str">
        <f>IF(F45="","",F45*'Tabela de BDI'!$C$8)</f>
        <v/>
      </c>
      <c r="Q45" s="109" t="str">
        <f t="shared" si="9"/>
        <v/>
      </c>
      <c r="R45" s="110" t="str">
        <f t="shared" si="10"/>
        <v/>
      </c>
      <c r="S45" s="111">
        <f>+'Tabela de BDI'!$F$9*C45</f>
        <v>2492.4</v>
      </c>
      <c r="T45" s="114"/>
    </row>
    <row r="46" spans="1:20" ht="15.75" customHeight="1" x14ac:dyDescent="0.25">
      <c r="A46" s="1"/>
      <c r="B46" s="103" t="s">
        <v>85</v>
      </c>
      <c r="C46" s="104">
        <f t="shared" si="5"/>
        <v>21.44</v>
      </c>
      <c r="D46" s="205" t="e">
        <f>ABS('Preço SFCR-REFUSOL BYD 335Wp'!$G$43-C46)</f>
        <v>#DIV/0!</v>
      </c>
      <c r="E46" s="105">
        <f>+'FRONIUS-BYD 335Wp'!E48</f>
        <v>64</v>
      </c>
      <c r="F46" s="112" t="str">
        <f>+IF(L46=0,"",ROUND(N46/(1-'Tabela de BDI'!$C$3),0))</f>
        <v/>
      </c>
      <c r="G46" s="112" t="str">
        <f>+IF(F46="","",ROUND(F46+(F46*'Preço SFCR-REFUSOL BYD 335Wp'!$H$44),0))</f>
        <v/>
      </c>
      <c r="H46" s="173"/>
      <c r="I46" s="106"/>
      <c r="J46" s="144"/>
      <c r="K46" s="146">
        <f t="shared" si="6"/>
        <v>0</v>
      </c>
      <c r="L46" s="106">
        <f t="shared" si="7"/>
        <v>0</v>
      </c>
      <c r="M46" s="106">
        <f>+'FRONIUS-BYD 335Wp'!L48</f>
        <v>10750</v>
      </c>
      <c r="N46" s="106">
        <f t="shared" si="8"/>
        <v>10750</v>
      </c>
      <c r="O46" s="106" t="str">
        <f>+IF(F46="","",F46*'Tabela de BDI'!$C$7)</f>
        <v/>
      </c>
      <c r="P46" s="106" t="str">
        <f>IF(F46="","",F46*'Tabela de BDI'!$C$8)</f>
        <v/>
      </c>
      <c r="Q46" s="109" t="str">
        <f t="shared" si="9"/>
        <v/>
      </c>
      <c r="R46" s="110" t="str">
        <f t="shared" si="10"/>
        <v/>
      </c>
      <c r="S46" s="111">
        <f>+'Tabela de BDI'!$F$9*C46</f>
        <v>2572.8000000000002</v>
      </c>
      <c r="T46" s="114"/>
    </row>
    <row r="47" spans="1:20" ht="15.75" customHeight="1" x14ac:dyDescent="0.25">
      <c r="A47" s="1"/>
      <c r="B47" s="116" t="s">
        <v>89</v>
      </c>
      <c r="C47" s="104">
        <f t="shared" si="5"/>
        <v>22.110000000000003</v>
      </c>
      <c r="D47" s="205" t="e">
        <f>ABS('Preço SFCR-REFUSOL BYD 335Wp'!$G$43-C47)</f>
        <v>#DIV/0!</v>
      </c>
      <c r="E47" s="181">
        <v>66</v>
      </c>
      <c r="F47" s="112" t="e">
        <f>+IF(L47=0,"",ROUND(N47/(1-'Tabela de BDI'!$C$3),0))</f>
        <v>#VALUE!</v>
      </c>
      <c r="G47" s="112" t="e">
        <f>+IF(F47="","",ROUND(F47+(F47*'Preço SFCR-REFUSOL BYD 335Wp'!$H$44),0))</f>
        <v>#VALUE!</v>
      </c>
      <c r="H47" s="107" t="s">
        <v>212</v>
      </c>
      <c r="I47" s="106"/>
      <c r="J47" s="144" t="e">
        <f>3*J23</f>
        <v>#VALUE!</v>
      </c>
      <c r="K47" s="146" t="e">
        <f t="shared" si="6"/>
        <v>#VALUE!</v>
      </c>
      <c r="L47" s="106" t="e">
        <f t="shared" ref="L47:L63" si="54">+I47+K47</f>
        <v>#VALUE!</v>
      </c>
      <c r="M47" s="168">
        <v>12000</v>
      </c>
      <c r="N47" s="106" t="e">
        <f t="shared" si="8"/>
        <v>#VALUE!</v>
      </c>
      <c r="O47" s="106" t="e">
        <f>+IF(F47="","",F47*'Tabela de BDI'!$C$7)</f>
        <v>#VALUE!</v>
      </c>
      <c r="P47" s="106" t="e">
        <f>IF(F47="","",F47*'Tabela de BDI'!$C$8)</f>
        <v>#VALUE!</v>
      </c>
      <c r="Q47" s="109" t="e">
        <f t="shared" ref="Q47:Q63" si="55">IF(F47="","",(F47-L47)/L47)</f>
        <v>#VALUE!</v>
      </c>
      <c r="R47" s="110" t="e">
        <f t="shared" ref="R47:R63" si="56">IF(F47="","",(F47/C47)/1000)</f>
        <v>#VALUE!</v>
      </c>
      <c r="S47" s="111">
        <f>+'Tabela de BDI'!$F$9*C47</f>
        <v>2653.2000000000003</v>
      </c>
      <c r="T47" s="114"/>
    </row>
    <row r="48" spans="1:20" ht="15.75" customHeight="1" x14ac:dyDescent="0.25">
      <c r="A48" s="1"/>
      <c r="B48" s="116" t="s">
        <v>89</v>
      </c>
      <c r="C48" s="104">
        <f t="shared" si="5"/>
        <v>22.78</v>
      </c>
      <c r="D48" s="205" t="e">
        <f>ABS('Preço SFCR-REFUSOL BYD 335Wp'!$G$43-C48)</f>
        <v>#DIV/0!</v>
      </c>
      <c r="E48" s="181">
        <v>68</v>
      </c>
      <c r="F48" s="112" t="e">
        <f>+IF(L48=0,"",ROUND(N48/(1-'Tabela de BDI'!$C$3),0))</f>
        <v>#VALUE!</v>
      </c>
      <c r="G48" s="112" t="e">
        <f>+IF(F48="","",ROUND(F48+(F48*'Preço SFCR-REFUSOL BYD 335Wp'!$H$44),0))</f>
        <v>#VALUE!</v>
      </c>
      <c r="H48" s="107" t="s">
        <v>212</v>
      </c>
      <c r="I48" s="106"/>
      <c r="J48" s="144" t="e">
        <f>2*J23+J25</f>
        <v>#VALUE!</v>
      </c>
      <c r="K48" s="146" t="e">
        <f t="shared" si="6"/>
        <v>#VALUE!</v>
      </c>
      <c r="L48" s="106" t="e">
        <f t="shared" si="54"/>
        <v>#VALUE!</v>
      </c>
      <c r="M48" s="151">
        <f>+M47+((E48-E47)*125)</f>
        <v>12250</v>
      </c>
      <c r="N48" s="106" t="e">
        <f t="shared" si="8"/>
        <v>#VALUE!</v>
      </c>
      <c r="O48" s="106" t="e">
        <f>+IF(F48="","",F48*'Tabela de BDI'!$C$7)</f>
        <v>#VALUE!</v>
      </c>
      <c r="P48" s="106" t="e">
        <f>IF(F48="","",F48*'Tabela de BDI'!$C$8)</f>
        <v>#VALUE!</v>
      </c>
      <c r="Q48" s="109" t="e">
        <f t="shared" si="55"/>
        <v>#VALUE!</v>
      </c>
      <c r="R48" s="110" t="e">
        <f t="shared" si="56"/>
        <v>#VALUE!</v>
      </c>
      <c r="S48" s="111">
        <f>+'Tabela de BDI'!$F$9*C48</f>
        <v>2733.6000000000004</v>
      </c>
      <c r="T48" s="114"/>
    </row>
    <row r="49" spans="1:20" ht="15.75" customHeight="1" x14ac:dyDescent="0.25">
      <c r="A49" s="1"/>
      <c r="B49" s="116" t="s">
        <v>89</v>
      </c>
      <c r="C49" s="104">
        <f t="shared" si="5"/>
        <v>24.12</v>
      </c>
      <c r="D49" s="205" t="e">
        <f>ABS('Preço SFCR-REFUSOL BYD 335Wp'!$G$43-C49)</f>
        <v>#DIV/0!</v>
      </c>
      <c r="E49" s="181">
        <v>72</v>
      </c>
      <c r="F49" s="112" t="e">
        <f>+IF(L49=0,"",ROUND(N49/(1-'Tabela de BDI'!$C$3),0))</f>
        <v>#VALUE!</v>
      </c>
      <c r="G49" s="112" t="e">
        <f>+IF(F49="","",ROUND(F49+(F49*'Preço SFCR-REFUSOL BYD 335Wp'!$H$44),0))</f>
        <v>#VALUE!</v>
      </c>
      <c r="H49" s="107" t="s">
        <v>212</v>
      </c>
      <c r="I49" s="106"/>
      <c r="J49" s="144" t="e">
        <f>3*J25</f>
        <v>#VALUE!</v>
      </c>
      <c r="K49" s="146" t="e">
        <f t="shared" si="6"/>
        <v>#VALUE!</v>
      </c>
      <c r="L49" s="106" t="e">
        <f t="shared" si="54"/>
        <v>#VALUE!</v>
      </c>
      <c r="M49" s="106">
        <f>+M48+((E49-E48)*125)</f>
        <v>12750</v>
      </c>
      <c r="N49" s="106" t="e">
        <f t="shared" si="8"/>
        <v>#VALUE!</v>
      </c>
      <c r="O49" s="106" t="e">
        <f>+IF(F49="","",F49*'Tabela de BDI'!$C$7)</f>
        <v>#VALUE!</v>
      </c>
      <c r="P49" s="106" t="e">
        <f>IF(F49="","",F49*'Tabela de BDI'!$C$8)</f>
        <v>#VALUE!</v>
      </c>
      <c r="Q49" s="109" t="e">
        <f t="shared" si="55"/>
        <v>#VALUE!</v>
      </c>
      <c r="R49" s="110" t="e">
        <f t="shared" si="56"/>
        <v>#VALUE!</v>
      </c>
      <c r="S49" s="111">
        <f>+'Tabela de BDI'!$F$9*C49</f>
        <v>2894.4</v>
      </c>
      <c r="T49" s="114"/>
    </row>
    <row r="50" spans="1:20" ht="15.75" customHeight="1" x14ac:dyDescent="0.25">
      <c r="A50" s="1"/>
      <c r="B50" s="116" t="s">
        <v>89</v>
      </c>
      <c r="C50" s="104">
        <f t="shared" si="5"/>
        <v>25.46</v>
      </c>
      <c r="D50" s="205" t="e">
        <f>ABS('Preço SFCR-REFUSOL BYD 335Wp'!$G$43-C50)</f>
        <v>#DIV/0!</v>
      </c>
      <c r="E50" s="181">
        <v>76</v>
      </c>
      <c r="F50" s="112" t="e">
        <f>+IF(L50=0,"",ROUND(N50/(1-'Tabela de BDI'!$C$3),0))</f>
        <v>#VALUE!</v>
      </c>
      <c r="G50" s="112" t="e">
        <f>+IF(F50="","",ROUND(F50+(F50*'Preço SFCR-REFUSOL BYD 335Wp'!$H$44),0))</f>
        <v>#VALUE!</v>
      </c>
      <c r="H50" s="107" t="s">
        <v>212</v>
      </c>
      <c r="I50" s="106"/>
      <c r="J50" s="144" t="e">
        <f>+J25+2*J27</f>
        <v>#VALUE!</v>
      </c>
      <c r="K50" s="146" t="e">
        <f t="shared" si="6"/>
        <v>#VALUE!</v>
      </c>
      <c r="L50" s="106" t="e">
        <f t="shared" si="54"/>
        <v>#VALUE!</v>
      </c>
      <c r="M50" s="106">
        <f>+M49+((E50-E49)*125)</f>
        <v>13250</v>
      </c>
      <c r="N50" s="106" t="e">
        <f t="shared" si="8"/>
        <v>#VALUE!</v>
      </c>
      <c r="O50" s="106" t="e">
        <f>+IF(F50="","",F50*'Tabela de BDI'!$C$7)</f>
        <v>#VALUE!</v>
      </c>
      <c r="P50" s="106" t="e">
        <f>IF(F50="","",F50*'Tabela de BDI'!$C$8)</f>
        <v>#VALUE!</v>
      </c>
      <c r="Q50" s="109" t="e">
        <f t="shared" si="55"/>
        <v>#VALUE!</v>
      </c>
      <c r="R50" s="110" t="e">
        <f t="shared" si="56"/>
        <v>#VALUE!</v>
      </c>
      <c r="S50" s="111">
        <f>+'Tabela de BDI'!$F$9*C50</f>
        <v>3055.2000000000003</v>
      </c>
      <c r="T50" s="114"/>
    </row>
    <row r="51" spans="1:20" ht="15.75" customHeight="1" x14ac:dyDescent="0.25">
      <c r="A51" s="1"/>
      <c r="B51" s="116" t="s">
        <v>89</v>
      </c>
      <c r="C51" s="104">
        <f t="shared" si="5"/>
        <v>26.130000000000003</v>
      </c>
      <c r="D51" s="205" t="e">
        <f>ABS('Preço SFCR-REFUSOL BYD 335Wp'!$G$43-C51)</f>
        <v>#DIV/0!</v>
      </c>
      <c r="E51" s="181">
        <v>78</v>
      </c>
      <c r="F51" s="112" t="e">
        <f>+IF(L51=0,"",ROUND(N51/(1-'Tabela de BDI'!$C$3),0))</f>
        <v>#VALUE!</v>
      </c>
      <c r="G51" s="112" t="e">
        <f>+IF(F51="","",ROUND(F51+(F51*'Preço SFCR-REFUSOL BYD 335Wp'!$H$44),0))</f>
        <v>#VALUE!</v>
      </c>
      <c r="H51" s="107" t="s">
        <v>212</v>
      </c>
      <c r="I51" s="106"/>
      <c r="J51" s="163" t="e">
        <f>3*J27</f>
        <v>#VALUE!</v>
      </c>
      <c r="K51" s="146" t="e">
        <f t="shared" si="6"/>
        <v>#VALUE!</v>
      </c>
      <c r="L51" s="106" t="e">
        <f t="shared" si="54"/>
        <v>#VALUE!</v>
      </c>
      <c r="M51" s="106">
        <f t="shared" ref="M51:M65" si="57">+M50+((E51-E50)*125)</f>
        <v>13500</v>
      </c>
      <c r="N51" s="106" t="e">
        <f t="shared" si="8"/>
        <v>#VALUE!</v>
      </c>
      <c r="O51" s="106" t="e">
        <f>+IF(F51="","",F51*'Tabela de BDI'!$C$7)</f>
        <v>#VALUE!</v>
      </c>
      <c r="P51" s="106" t="e">
        <f>IF(F51="","",F51*'Tabela de BDI'!$C$8)</f>
        <v>#VALUE!</v>
      </c>
      <c r="Q51" s="109" t="e">
        <f t="shared" si="55"/>
        <v>#VALUE!</v>
      </c>
      <c r="R51" s="110" t="e">
        <f t="shared" si="56"/>
        <v>#VALUE!</v>
      </c>
      <c r="S51" s="111">
        <f>+'Tabela de BDI'!$F$9*C51</f>
        <v>3135.6000000000004</v>
      </c>
      <c r="T51" s="114"/>
    </row>
    <row r="52" spans="1:20" ht="15.75" customHeight="1" x14ac:dyDescent="0.25">
      <c r="A52" s="1"/>
      <c r="B52" s="116" t="s">
        <v>89</v>
      </c>
      <c r="C52" s="104">
        <f t="shared" si="5"/>
        <v>26.8</v>
      </c>
      <c r="D52" s="205" t="e">
        <f>ABS('Preço SFCR-REFUSOL BYD 335Wp'!$G$43-C52)</f>
        <v>#DIV/0!</v>
      </c>
      <c r="E52" s="181">
        <v>80</v>
      </c>
      <c r="F52" s="112" t="str">
        <f>+IF(L52=0,"",ROUND(N52/(1-'Tabela de BDI'!$C$3),0))</f>
        <v/>
      </c>
      <c r="G52" s="112" t="str">
        <f>+IF(F52="","",ROUND(F52+(F52*'Preço SFCR-REFUSOL BYD 335Wp'!$H$44),0))</f>
        <v/>
      </c>
      <c r="H52" s="107"/>
      <c r="I52" s="106"/>
      <c r="J52" s="144"/>
      <c r="K52" s="146">
        <f t="shared" si="6"/>
        <v>0</v>
      </c>
      <c r="L52" s="106">
        <f t="shared" si="54"/>
        <v>0</v>
      </c>
      <c r="M52" s="106">
        <f t="shared" si="57"/>
        <v>13750</v>
      </c>
      <c r="N52" s="106">
        <f t="shared" si="8"/>
        <v>13750</v>
      </c>
      <c r="O52" s="106" t="str">
        <f>+IF(F52="","",F52*'Tabela de BDI'!$C$7)</f>
        <v/>
      </c>
      <c r="P52" s="106" t="str">
        <f>IF(F52="","",F52*'Tabela de BDI'!$C$8)</f>
        <v/>
      </c>
      <c r="Q52" s="109" t="str">
        <f t="shared" si="55"/>
        <v/>
      </c>
      <c r="R52" s="110" t="str">
        <f t="shared" si="56"/>
        <v/>
      </c>
      <c r="S52" s="111">
        <f>+'Tabela de BDI'!$F$9*C52</f>
        <v>3216</v>
      </c>
      <c r="T52" s="114"/>
    </row>
    <row r="53" spans="1:20" ht="15.75" customHeight="1" x14ac:dyDescent="0.25">
      <c r="A53" s="1"/>
      <c r="B53" s="116" t="s">
        <v>89</v>
      </c>
      <c r="C53" s="104">
        <f t="shared" si="5"/>
        <v>28.14</v>
      </c>
      <c r="D53" s="205" t="e">
        <f>ABS('Preço SFCR-REFUSOL BYD 335Wp'!$G$43-C53)</f>
        <v>#DIV/0!</v>
      </c>
      <c r="E53" s="181">
        <v>84</v>
      </c>
      <c r="F53" s="112" t="str">
        <f>+IF(L53=0,"",ROUND(N53/(1-'Tabela de BDI'!$C$3),0))</f>
        <v/>
      </c>
      <c r="G53" s="112" t="str">
        <f>+IF(F53="","",ROUND(F53+(F53*'Preço SFCR-REFUSOL BYD 335Wp'!$H$44),0))</f>
        <v/>
      </c>
      <c r="H53" s="107"/>
      <c r="I53" s="106"/>
      <c r="J53" s="144"/>
      <c r="K53" s="146">
        <f t="shared" si="6"/>
        <v>0</v>
      </c>
      <c r="L53" s="106">
        <f t="shared" si="54"/>
        <v>0</v>
      </c>
      <c r="M53" s="106">
        <f t="shared" si="57"/>
        <v>14250</v>
      </c>
      <c r="N53" s="106">
        <f t="shared" si="8"/>
        <v>14250</v>
      </c>
      <c r="O53" s="106" t="str">
        <f>+IF(F53="","",F53*'Tabela de BDI'!$C$7)</f>
        <v/>
      </c>
      <c r="P53" s="106" t="str">
        <f>IF(F53="","",F53*'Tabela de BDI'!$C$8)</f>
        <v/>
      </c>
      <c r="Q53" s="109" t="str">
        <f t="shared" si="55"/>
        <v/>
      </c>
      <c r="R53" s="110" t="str">
        <f t="shared" si="56"/>
        <v/>
      </c>
      <c r="S53" s="111">
        <f>+'Tabela de BDI'!$F$9*C53</f>
        <v>3376.8</v>
      </c>
      <c r="T53" s="114"/>
    </row>
    <row r="54" spans="1:20" ht="15.75" customHeight="1" x14ac:dyDescent="0.25">
      <c r="A54" s="1"/>
      <c r="B54" s="116" t="s">
        <v>89</v>
      </c>
      <c r="C54" s="104">
        <f t="shared" si="5"/>
        <v>29.48</v>
      </c>
      <c r="D54" s="205" t="e">
        <f>ABS('Preço SFCR-REFUSOL BYD 335Wp'!$G$43-C54)</f>
        <v>#DIV/0!</v>
      </c>
      <c r="E54" s="181">
        <v>88</v>
      </c>
      <c r="F54" s="112" t="str">
        <f>+IF(L54=0,"",ROUND(N54/(1-'Tabela de BDI'!$C$3),0))</f>
        <v/>
      </c>
      <c r="G54" s="112" t="str">
        <f>+IF(F54="","",ROUND(F54+(F54*'Preço SFCR-REFUSOL BYD 335Wp'!$H$44),0))</f>
        <v/>
      </c>
      <c r="H54" s="107"/>
      <c r="I54" s="106"/>
      <c r="J54" s="144"/>
      <c r="K54" s="146">
        <f t="shared" si="6"/>
        <v>0</v>
      </c>
      <c r="L54" s="106">
        <f t="shared" si="54"/>
        <v>0</v>
      </c>
      <c r="M54" s="106">
        <f t="shared" si="57"/>
        <v>14750</v>
      </c>
      <c r="N54" s="106">
        <f t="shared" si="8"/>
        <v>14750</v>
      </c>
      <c r="O54" s="106" t="str">
        <f>+IF(F54="","",F54*'Tabela de BDI'!$C$7)</f>
        <v/>
      </c>
      <c r="P54" s="106" t="str">
        <f>IF(F54="","",F54*'Tabela de BDI'!$C$8)</f>
        <v/>
      </c>
      <c r="Q54" s="109" t="str">
        <f t="shared" si="55"/>
        <v/>
      </c>
      <c r="R54" s="110" t="str">
        <f t="shared" si="56"/>
        <v/>
      </c>
      <c r="S54" s="111">
        <f>+'Tabela de BDI'!$F$9*C54</f>
        <v>3537.6</v>
      </c>
      <c r="T54" s="114"/>
    </row>
    <row r="55" spans="1:20" ht="15.75" customHeight="1" x14ac:dyDescent="0.25">
      <c r="A55" s="1"/>
      <c r="B55" s="116" t="s">
        <v>89</v>
      </c>
      <c r="C55" s="104">
        <f t="shared" si="5"/>
        <v>30.150000000000002</v>
      </c>
      <c r="D55" s="205" t="e">
        <f>ABS('Preço SFCR-REFUSOL BYD 335Wp'!$G$43-C55)</f>
        <v>#DIV/0!</v>
      </c>
      <c r="E55" s="181">
        <v>90</v>
      </c>
      <c r="F55" s="112" t="e">
        <f>+IF(L55=0,"",ROUND(N55/(1-'Tabela de BDI'!$C$3),0))</f>
        <v>#VALUE!</v>
      </c>
      <c r="G55" s="112" t="e">
        <f>+IF(F55="","",ROUND(F55+(F55*'Preço SFCR-REFUSOL BYD 335Wp'!$H$44),0))</f>
        <v>#VALUE!</v>
      </c>
      <c r="H55" s="147" t="s">
        <v>213</v>
      </c>
      <c r="I55" s="106"/>
      <c r="J55" s="163" t="e">
        <f>3*J23+J25</f>
        <v>#VALUE!</v>
      </c>
      <c r="K55" s="146" t="e">
        <f t="shared" si="6"/>
        <v>#VALUE!</v>
      </c>
      <c r="L55" s="106" t="e">
        <f t="shared" si="54"/>
        <v>#VALUE!</v>
      </c>
      <c r="M55" s="106">
        <f t="shared" si="57"/>
        <v>15000</v>
      </c>
      <c r="N55" s="106" t="e">
        <f t="shared" si="8"/>
        <v>#VALUE!</v>
      </c>
      <c r="O55" s="106" t="e">
        <f>+IF(F55="","",F55*'Tabela de BDI'!$C$7)</f>
        <v>#VALUE!</v>
      </c>
      <c r="P55" s="106" t="e">
        <f>IF(F55="","",F55*'Tabela de BDI'!$C$8)</f>
        <v>#VALUE!</v>
      </c>
      <c r="Q55" s="109" t="e">
        <f t="shared" si="55"/>
        <v>#VALUE!</v>
      </c>
      <c r="R55" s="110" t="e">
        <f t="shared" si="56"/>
        <v>#VALUE!</v>
      </c>
      <c r="S55" s="111">
        <f>+'Tabela de BDI'!$F$9*C55</f>
        <v>3618.0000000000005</v>
      </c>
      <c r="T55" s="114"/>
    </row>
    <row r="56" spans="1:20" ht="15.75" customHeight="1" x14ac:dyDescent="0.25">
      <c r="A56" s="1"/>
      <c r="B56" s="116" t="s">
        <v>89</v>
      </c>
      <c r="C56" s="104">
        <f t="shared" si="5"/>
        <v>30.82</v>
      </c>
      <c r="D56" s="205" t="e">
        <f>ABS('Preço SFCR-REFUSOL BYD 335Wp'!$G$43-C56)</f>
        <v>#DIV/0!</v>
      </c>
      <c r="E56" s="181">
        <v>92</v>
      </c>
      <c r="F56" s="112" t="str">
        <f>+IF(L56=0,"",ROUND(N56/(1-'Tabela de BDI'!$C$3),0))</f>
        <v/>
      </c>
      <c r="G56" s="112"/>
      <c r="H56" s="107"/>
      <c r="I56" s="106"/>
      <c r="J56" s="144"/>
      <c r="K56" s="146">
        <f t="shared" si="6"/>
        <v>0</v>
      </c>
      <c r="L56" s="106">
        <f t="shared" si="54"/>
        <v>0</v>
      </c>
      <c r="M56" s="106">
        <f t="shared" si="57"/>
        <v>15250</v>
      </c>
      <c r="N56" s="106">
        <f t="shared" si="8"/>
        <v>15250</v>
      </c>
      <c r="O56" s="106" t="str">
        <f>+IF(F56="","",F56*'Tabela de BDI'!$C$7)</f>
        <v/>
      </c>
      <c r="P56" s="106" t="str">
        <f>IF(F56="","",F56*'Tabela de BDI'!$C$8)</f>
        <v/>
      </c>
      <c r="Q56" s="109" t="str">
        <f t="shared" si="55"/>
        <v/>
      </c>
      <c r="R56" s="110" t="str">
        <f t="shared" si="56"/>
        <v/>
      </c>
      <c r="S56" s="111">
        <f>+'Tabela de BDI'!$F$9*C56</f>
        <v>3698.4</v>
      </c>
      <c r="T56" s="114"/>
    </row>
    <row r="57" spans="1:20" ht="15.75" customHeight="1" x14ac:dyDescent="0.25">
      <c r="A57" s="1"/>
      <c r="B57" s="116" t="s">
        <v>89</v>
      </c>
      <c r="C57" s="104">
        <f t="shared" si="5"/>
        <v>31.825000000000003</v>
      </c>
      <c r="D57" s="205" t="e">
        <f>ABS('Preço SFCR-REFUSOL BYD 335Wp'!$G$43-C57)</f>
        <v>#DIV/0!</v>
      </c>
      <c r="E57" s="181">
        <v>95</v>
      </c>
      <c r="F57" s="112" t="str">
        <f>+IF(L57=0,"",ROUND(N57/(1-'Tabela de BDI'!$C$3),0))</f>
        <v/>
      </c>
      <c r="G57" s="312"/>
      <c r="H57" s="1"/>
      <c r="I57" s="106"/>
      <c r="J57" s="144"/>
      <c r="K57" s="146">
        <f t="shared" si="6"/>
        <v>0</v>
      </c>
      <c r="L57" s="106">
        <f t="shared" si="54"/>
        <v>0</v>
      </c>
      <c r="M57" s="106">
        <f t="shared" si="57"/>
        <v>15625</v>
      </c>
      <c r="N57" s="106">
        <f t="shared" si="8"/>
        <v>15625</v>
      </c>
      <c r="O57" s="106" t="str">
        <f>+IF(F57="","",F57*'Tabela de BDI'!$C$7)</f>
        <v/>
      </c>
      <c r="P57" s="106" t="str">
        <f>IF(F57="","",F57*'Tabela de BDI'!$C$8)</f>
        <v/>
      </c>
      <c r="Q57" s="109" t="str">
        <f t="shared" si="55"/>
        <v/>
      </c>
      <c r="R57" s="110" t="str">
        <f t="shared" si="56"/>
        <v/>
      </c>
      <c r="S57" s="111">
        <f>+'Tabela de BDI'!$F$9*C57</f>
        <v>3819.0000000000005</v>
      </c>
      <c r="T57" s="114"/>
    </row>
    <row r="58" spans="1:20" ht="15.75" customHeight="1" x14ac:dyDescent="0.25">
      <c r="A58" s="1"/>
      <c r="B58" s="116" t="s">
        <v>89</v>
      </c>
      <c r="C58" s="104">
        <f t="shared" si="5"/>
        <v>32.160000000000004</v>
      </c>
      <c r="D58" s="205" t="e">
        <f>ABS('Preço SFCR-REFUSOL BYD 335Wp'!$G$43-C58)</f>
        <v>#DIV/0!</v>
      </c>
      <c r="E58" s="181">
        <v>96</v>
      </c>
      <c r="F58" s="112" t="str">
        <f>+IF(L58=0,"",ROUND(N58/(1-'Tabela de BDI'!$C$3),0))</f>
        <v/>
      </c>
      <c r="G58" s="112"/>
      <c r="H58" s="107"/>
      <c r="I58" s="106"/>
      <c r="J58" s="158"/>
      <c r="K58" s="146">
        <f t="shared" si="6"/>
        <v>0</v>
      </c>
      <c r="L58" s="106">
        <f t="shared" si="54"/>
        <v>0</v>
      </c>
      <c r="M58" s="106">
        <f t="shared" si="57"/>
        <v>15750</v>
      </c>
      <c r="N58" s="106">
        <f t="shared" si="8"/>
        <v>15750</v>
      </c>
      <c r="O58" s="106" t="str">
        <f>+IF(F58="","",F58*'Tabela de BDI'!$C$7)</f>
        <v/>
      </c>
      <c r="P58" s="106" t="str">
        <f>IF(F58="","",F58*'Tabela de BDI'!$C$8)</f>
        <v/>
      </c>
      <c r="Q58" s="109" t="str">
        <f t="shared" si="55"/>
        <v/>
      </c>
      <c r="R58" s="110" t="str">
        <f t="shared" si="56"/>
        <v/>
      </c>
      <c r="S58" s="111">
        <f>+'Tabela de BDI'!$F$9*C58</f>
        <v>3859.2000000000003</v>
      </c>
      <c r="T58" s="114"/>
    </row>
    <row r="59" spans="1:20" ht="15.75" customHeight="1" x14ac:dyDescent="0.25">
      <c r="A59" s="1"/>
      <c r="B59" s="116" t="s">
        <v>89</v>
      </c>
      <c r="C59" s="104">
        <f t="shared" si="5"/>
        <v>32.830000000000005</v>
      </c>
      <c r="D59" s="205" t="e">
        <f>ABS('Preço SFCR-REFUSOL BYD 335Wp'!$G$43-C59)</f>
        <v>#DIV/0!</v>
      </c>
      <c r="E59" s="181">
        <v>98</v>
      </c>
      <c r="F59" s="112" t="str">
        <f>+IF(L59=0,"",ROUND(N59/(1-'Tabela de BDI'!$C$3),0))</f>
        <v/>
      </c>
      <c r="G59" s="112"/>
      <c r="H59" s="107"/>
      <c r="I59" s="106"/>
      <c r="J59" s="144"/>
      <c r="K59" s="146">
        <f t="shared" si="6"/>
        <v>0</v>
      </c>
      <c r="L59" s="106">
        <f t="shared" si="54"/>
        <v>0</v>
      </c>
      <c r="M59" s="106">
        <f t="shared" si="57"/>
        <v>16000</v>
      </c>
      <c r="N59" s="106">
        <f t="shared" si="8"/>
        <v>16000</v>
      </c>
      <c r="O59" s="106" t="str">
        <f>+IF(F59="","",F59*'Tabela de BDI'!$C$7)</f>
        <v/>
      </c>
      <c r="P59" s="106" t="str">
        <f>IF(F59="","",F59*'Tabela de BDI'!$C$8)</f>
        <v/>
      </c>
      <c r="Q59" s="109" t="str">
        <f t="shared" si="55"/>
        <v/>
      </c>
      <c r="R59" s="110" t="str">
        <f t="shared" si="56"/>
        <v/>
      </c>
      <c r="S59" s="111">
        <f>+'Tabela de BDI'!$F$9*C59</f>
        <v>3939.6000000000008</v>
      </c>
      <c r="T59" s="114"/>
    </row>
    <row r="60" spans="1:20" ht="15.75" customHeight="1" x14ac:dyDescent="0.25">
      <c r="A60" s="1"/>
      <c r="B60" s="116" t="s">
        <v>89</v>
      </c>
      <c r="C60" s="104">
        <f t="shared" si="5"/>
        <v>33.5</v>
      </c>
      <c r="D60" s="205" t="e">
        <f>ABS('Preço SFCR-REFUSOL BYD 335Wp'!$G$43-C60)</f>
        <v>#DIV/0!</v>
      </c>
      <c r="E60" s="181">
        <v>100</v>
      </c>
      <c r="F60" s="112" t="str">
        <f>+IF(L60=0,"",ROUND(N60/(1-'Tabela de BDI'!$C$3),0))</f>
        <v/>
      </c>
      <c r="G60" s="112"/>
      <c r="H60" s="107"/>
      <c r="I60" s="106"/>
      <c r="J60" s="158"/>
      <c r="K60" s="146">
        <f t="shared" si="6"/>
        <v>0</v>
      </c>
      <c r="L60" s="106">
        <f t="shared" si="54"/>
        <v>0</v>
      </c>
      <c r="M60" s="106">
        <f t="shared" si="57"/>
        <v>16250</v>
      </c>
      <c r="N60" s="106">
        <f t="shared" si="8"/>
        <v>16250</v>
      </c>
      <c r="O60" s="106" t="str">
        <f>+IF(F60="","",F60*'Tabela de BDI'!$C$7)</f>
        <v/>
      </c>
      <c r="P60" s="106" t="str">
        <f>IF(F60="","",F60*'Tabela de BDI'!$C$8)</f>
        <v/>
      </c>
      <c r="Q60" s="109" t="str">
        <f t="shared" si="55"/>
        <v/>
      </c>
      <c r="R60" s="110" t="str">
        <f t="shared" si="56"/>
        <v/>
      </c>
      <c r="S60" s="111">
        <f>+'Tabela de BDI'!$F$9*C60</f>
        <v>4020</v>
      </c>
      <c r="T60" s="114"/>
    </row>
    <row r="61" spans="1:20" ht="15.75" customHeight="1" x14ac:dyDescent="0.25">
      <c r="A61" s="1"/>
      <c r="B61" s="116" t="s">
        <v>89</v>
      </c>
      <c r="C61" s="104">
        <f t="shared" si="5"/>
        <v>34.17</v>
      </c>
      <c r="D61" s="205" t="e">
        <f>ABS('Preço SFCR-REFUSOL BYD 335Wp'!$G$43-C61)</f>
        <v>#DIV/0!</v>
      </c>
      <c r="E61" s="181">
        <v>102</v>
      </c>
      <c r="F61" s="112" t="str">
        <f>+IF(L61=0,"",ROUND(N61/(1-'Tabela de BDI'!$C$3),0))</f>
        <v/>
      </c>
      <c r="G61" s="112"/>
      <c r="H61" s="107"/>
      <c r="I61" s="106"/>
      <c r="J61" s="144"/>
      <c r="K61" s="146">
        <f t="shared" si="6"/>
        <v>0</v>
      </c>
      <c r="L61" s="106">
        <f t="shared" si="54"/>
        <v>0</v>
      </c>
      <c r="M61" s="106">
        <f t="shared" si="57"/>
        <v>16500</v>
      </c>
      <c r="N61" s="106">
        <f t="shared" si="8"/>
        <v>16500</v>
      </c>
      <c r="O61" s="106" t="str">
        <f>+IF(F61="","",F61*'Tabela de BDI'!$C$7)</f>
        <v/>
      </c>
      <c r="P61" s="106" t="str">
        <f>IF(F61="","",F61*'Tabela de BDI'!$C$8)</f>
        <v/>
      </c>
      <c r="Q61" s="109" t="str">
        <f t="shared" si="55"/>
        <v/>
      </c>
      <c r="R61" s="110" t="str">
        <f t="shared" si="56"/>
        <v/>
      </c>
      <c r="S61" s="111">
        <f>+'Tabela de BDI'!$F$9*C61</f>
        <v>4100.4000000000005</v>
      </c>
      <c r="T61" s="114"/>
    </row>
    <row r="62" spans="1:20" ht="15.75" customHeight="1" x14ac:dyDescent="0.25">
      <c r="A62" s="1"/>
      <c r="B62" s="116" t="s">
        <v>89</v>
      </c>
      <c r="C62" s="104">
        <f t="shared" si="5"/>
        <v>34.840000000000003</v>
      </c>
      <c r="D62" s="205" t="e">
        <f>ABS('Preço SFCR-REFUSOL BYD 335Wp'!$G$43-C62)</f>
        <v>#DIV/0!</v>
      </c>
      <c r="E62" s="181">
        <v>104</v>
      </c>
      <c r="F62" s="112" t="e">
        <f>+IF(L62=0,"",ROUND(N62/(1-'Tabela de BDI'!$C$3),0))</f>
        <v>#VALUE!</v>
      </c>
      <c r="G62" s="112"/>
      <c r="H62" s="147" t="s">
        <v>213</v>
      </c>
      <c r="I62" s="106"/>
      <c r="J62" s="164" t="e">
        <f>4*J27</f>
        <v>#VALUE!</v>
      </c>
      <c r="K62" s="146" t="e">
        <f t="shared" si="6"/>
        <v>#VALUE!</v>
      </c>
      <c r="L62" s="106" t="e">
        <f t="shared" si="54"/>
        <v>#VALUE!</v>
      </c>
      <c r="M62" s="106">
        <f t="shared" si="57"/>
        <v>16750</v>
      </c>
      <c r="N62" s="106" t="e">
        <f t="shared" si="8"/>
        <v>#VALUE!</v>
      </c>
      <c r="O62" s="106" t="e">
        <f>+IF(F62="","",F62*'Tabela de BDI'!$C$7)</f>
        <v>#VALUE!</v>
      </c>
      <c r="P62" s="106" t="e">
        <f>IF(F62="","",F62*'Tabela de BDI'!$C$8)</f>
        <v>#VALUE!</v>
      </c>
      <c r="Q62" s="109" t="e">
        <f t="shared" si="55"/>
        <v>#VALUE!</v>
      </c>
      <c r="R62" s="110" t="e">
        <f t="shared" si="56"/>
        <v>#VALUE!</v>
      </c>
      <c r="S62" s="111">
        <f>+'Tabela de BDI'!$F$9*C62</f>
        <v>4180.8</v>
      </c>
      <c r="T62" s="114"/>
    </row>
    <row r="63" spans="1:20" ht="15.75" customHeight="1" x14ac:dyDescent="0.25">
      <c r="A63" s="1"/>
      <c r="B63" s="116" t="s">
        <v>89</v>
      </c>
      <c r="C63" s="104">
        <f t="shared" si="5"/>
        <v>36.18</v>
      </c>
      <c r="D63" s="205" t="e">
        <f>ABS('Preço SFCR-REFUSOL BYD 335Wp'!$G$43-C63)</f>
        <v>#DIV/0!</v>
      </c>
      <c r="E63" s="181">
        <v>108</v>
      </c>
      <c r="F63" s="112" t="str">
        <f>+IF(L63=0,"",ROUND(N63/(1-'Tabela de BDI'!$C$3),0))</f>
        <v/>
      </c>
      <c r="G63" s="112"/>
      <c r="H63" s="107"/>
      <c r="I63" s="106"/>
      <c r="J63" s="144"/>
      <c r="K63" s="146">
        <f t="shared" si="6"/>
        <v>0</v>
      </c>
      <c r="L63" s="106">
        <f t="shared" si="54"/>
        <v>0</v>
      </c>
      <c r="M63" s="106">
        <f t="shared" si="57"/>
        <v>17250</v>
      </c>
      <c r="N63" s="106">
        <f t="shared" si="8"/>
        <v>17250</v>
      </c>
      <c r="O63" s="106" t="str">
        <f>+IF(F63="","",F63*'Tabela de BDI'!$C$7)</f>
        <v/>
      </c>
      <c r="P63" s="106" t="str">
        <f>IF(F63="","",F63*'Tabela de BDI'!$C$8)</f>
        <v/>
      </c>
      <c r="Q63" s="109" t="str">
        <f t="shared" si="55"/>
        <v/>
      </c>
      <c r="R63" s="110" t="str">
        <f t="shared" si="56"/>
        <v/>
      </c>
      <c r="S63" s="111">
        <f>+'Tabela de BDI'!$F$9*C63</f>
        <v>4341.6000000000004</v>
      </c>
      <c r="T63" s="114"/>
    </row>
    <row r="64" spans="1:20" ht="15.75" customHeight="1" x14ac:dyDescent="0.25">
      <c r="A64" s="1"/>
      <c r="B64" s="116" t="s">
        <v>89</v>
      </c>
      <c r="C64" s="104">
        <f t="shared" ref="C64:C65" si="58">+E64*$B$3</f>
        <v>37.520000000000003</v>
      </c>
      <c r="D64" s="205" t="e">
        <f>ABS('Preço SFCR-REFUSOL BYD 335Wp'!$G$43-C64)</f>
        <v>#DIV/0!</v>
      </c>
      <c r="E64" s="181">
        <v>112</v>
      </c>
      <c r="F64" s="112" t="e">
        <f>+IF(L64=0,"",ROUND(N64/(1-'Tabela de BDI'!$C$3),0))</f>
        <v>#VALUE!</v>
      </c>
      <c r="G64" s="112"/>
      <c r="H64" s="147" t="s">
        <v>214</v>
      </c>
      <c r="I64" s="106"/>
      <c r="J64" s="163" t="e">
        <f>4*J23+J25</f>
        <v>#VALUE!</v>
      </c>
      <c r="K64" s="146" t="e">
        <f t="shared" si="6"/>
        <v>#VALUE!</v>
      </c>
      <c r="L64" s="106" t="e">
        <f t="shared" ref="L64:L65" si="59">+I64+K64</f>
        <v>#VALUE!</v>
      </c>
      <c r="M64" s="106">
        <f t="shared" si="57"/>
        <v>17750</v>
      </c>
      <c r="N64" s="106" t="e">
        <f t="shared" ref="N64:N65" si="60">+L64+M64</f>
        <v>#VALUE!</v>
      </c>
      <c r="O64" s="106" t="e">
        <f>+IF(F64="","",F64*'Tabela de BDI'!$C$7)</f>
        <v>#VALUE!</v>
      </c>
      <c r="P64" s="106" t="e">
        <f>IF(F64="","",F64*'Tabela de BDI'!$C$8)</f>
        <v>#VALUE!</v>
      </c>
      <c r="Q64" s="109" t="e">
        <f t="shared" ref="Q64:Q65" si="61">IF(F64="","",(F64-L64)/L64)</f>
        <v>#VALUE!</v>
      </c>
      <c r="R64" s="110" t="e">
        <f t="shared" ref="R64:R65" si="62">IF(F64="","",(F64/C64)/1000)</f>
        <v>#VALUE!</v>
      </c>
      <c r="S64" s="111">
        <f>+'Tabela de BDI'!$F$9*C64</f>
        <v>4502.4000000000005</v>
      </c>
      <c r="T64" s="114"/>
    </row>
    <row r="65" spans="1:20" ht="15.75" customHeight="1" x14ac:dyDescent="0.25">
      <c r="A65" s="1"/>
      <c r="B65" s="116" t="s">
        <v>89</v>
      </c>
      <c r="C65" s="104">
        <f t="shared" si="58"/>
        <v>43.550000000000004</v>
      </c>
      <c r="D65" s="205" t="e">
        <f>ABS('Preço SFCR-REFUSOL BYD 335Wp'!$G$43-C65)</f>
        <v>#DIV/0!</v>
      </c>
      <c r="E65" s="181">
        <v>130</v>
      </c>
      <c r="F65" s="112" t="e">
        <f>+IF(L65=0,"",ROUND(N65/(1-'Tabela de BDI'!$C$3),0))</f>
        <v>#VALUE!</v>
      </c>
      <c r="G65" s="112"/>
      <c r="H65" s="147" t="s">
        <v>214</v>
      </c>
      <c r="I65" s="106"/>
      <c r="J65" s="163" t="e">
        <f>5*J27</f>
        <v>#VALUE!</v>
      </c>
      <c r="K65" s="146" t="e">
        <f t="shared" si="6"/>
        <v>#VALUE!</v>
      </c>
      <c r="L65" s="106" t="e">
        <f t="shared" si="59"/>
        <v>#VALUE!</v>
      </c>
      <c r="M65" s="106">
        <f t="shared" si="57"/>
        <v>20000</v>
      </c>
      <c r="N65" s="106" t="e">
        <f t="shared" si="60"/>
        <v>#VALUE!</v>
      </c>
      <c r="O65" s="106" t="e">
        <f>+IF(F65="","",F65*'Tabela de BDI'!$C$7)</f>
        <v>#VALUE!</v>
      </c>
      <c r="P65" s="106" t="e">
        <f>IF(F65="","",F65*'Tabela de BDI'!$C$8)</f>
        <v>#VALUE!</v>
      </c>
      <c r="Q65" s="109" t="e">
        <f t="shared" si="61"/>
        <v>#VALUE!</v>
      </c>
      <c r="R65" s="110" t="e">
        <f t="shared" si="62"/>
        <v>#VALUE!</v>
      </c>
      <c r="S65" s="111">
        <f>+'Tabela de BDI'!$F$9*C65</f>
        <v>5226.0000000000009</v>
      </c>
      <c r="T65" s="114"/>
    </row>
    <row r="66" spans="1:20" ht="15.75" customHeight="1" x14ac:dyDescent="0.25">
      <c r="A66" s="1"/>
      <c r="B66" s="117"/>
      <c r="C66" s="104"/>
      <c r="D66" s="201"/>
      <c r="E66" s="105"/>
      <c r="F66" s="106"/>
      <c r="G66" s="143"/>
      <c r="H66" s="107"/>
      <c r="I66" s="106"/>
      <c r="J66" s="144"/>
      <c r="K66" s="106"/>
      <c r="L66" s="106"/>
      <c r="M66" s="106"/>
      <c r="N66" s="106"/>
      <c r="O66" s="106"/>
      <c r="P66" s="106"/>
      <c r="Q66" s="106"/>
      <c r="R66" s="110" t="str">
        <f>IF(F66="","",(F66/C66)/1000)</f>
        <v/>
      </c>
      <c r="S66" s="111"/>
      <c r="T66" s="114"/>
    </row>
    <row r="67" spans="1:20" ht="15.75" customHeight="1" x14ac:dyDescent="0.25">
      <c r="A67" s="1"/>
      <c r="B67" s="1"/>
      <c r="C67" s="1"/>
      <c r="D67" s="199"/>
      <c r="E67" s="1"/>
      <c r="F67" s="1"/>
      <c r="G67" s="311"/>
      <c r="H67" s="1"/>
      <c r="I67" s="1"/>
      <c r="J67" s="142"/>
      <c r="K67" s="1"/>
      <c r="L67" s="118"/>
      <c r="M67" s="118"/>
      <c r="N67" s="118"/>
      <c r="O67" s="118"/>
      <c r="P67" s="118"/>
      <c r="Q67" s="118"/>
      <c r="R67" s="118"/>
      <c r="S67" s="1"/>
      <c r="T67" s="1"/>
    </row>
    <row r="68" spans="1:20" ht="15.75" customHeight="1" x14ac:dyDescent="0.25">
      <c r="A68" s="1"/>
      <c r="B68" s="337" t="s">
        <v>79</v>
      </c>
      <c r="C68" s="338"/>
      <c r="D68" s="198"/>
      <c r="E68" s="1"/>
      <c r="F68" s="119"/>
      <c r="G68" s="119"/>
      <c r="H68" s="1"/>
      <c r="I68" s="1"/>
      <c r="J68" s="142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 x14ac:dyDescent="0.25">
      <c r="A69" s="1"/>
      <c r="B69" s="119">
        <v>44376</v>
      </c>
      <c r="C69" s="1"/>
      <c r="D69" s="199"/>
      <c r="E69" s="1"/>
      <c r="F69" s="1"/>
      <c r="G69" s="311"/>
      <c r="H69" s="1"/>
      <c r="I69" s="1"/>
      <c r="J69" s="142"/>
      <c r="K69" s="1"/>
      <c r="S69" s="1"/>
      <c r="T69" s="1"/>
    </row>
    <row r="70" spans="1:20" ht="15.75" customHeight="1" x14ac:dyDescent="0.25">
      <c r="A70" s="1"/>
      <c r="B70" s="1"/>
      <c r="C70" s="1"/>
      <c r="D70" s="199"/>
      <c r="E70" s="1"/>
      <c r="F70" s="1"/>
      <c r="G70" s="311"/>
      <c r="H70" s="1"/>
      <c r="I70" s="1"/>
      <c r="J70" s="142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 x14ac:dyDescent="0.25">
      <c r="A71" s="1"/>
      <c r="B71" s="1"/>
      <c r="C71" s="1"/>
      <c r="D71" s="199"/>
      <c r="E71" s="1"/>
      <c r="F71" s="1"/>
      <c r="G71" s="311"/>
      <c r="H71" s="1"/>
      <c r="I71" s="1"/>
      <c r="J71" s="142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 x14ac:dyDescent="0.25">
      <c r="A72" s="1"/>
      <c r="B72" s="1"/>
      <c r="C72" s="1"/>
      <c r="D72" s="199"/>
      <c r="E72" s="1"/>
      <c r="F72" s="1"/>
      <c r="G72" s="311"/>
      <c r="H72" s="1"/>
      <c r="I72" s="1"/>
      <c r="J72" s="142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 x14ac:dyDescent="0.25">
      <c r="A73" s="1"/>
      <c r="B73" s="1"/>
      <c r="C73" s="1"/>
      <c r="D73" s="199"/>
      <c r="E73" s="1"/>
      <c r="F73" s="1"/>
      <c r="G73" s="311"/>
      <c r="H73" s="1"/>
      <c r="I73" s="1"/>
      <c r="J73" s="142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 x14ac:dyDescent="0.25">
      <c r="A74" s="1"/>
      <c r="B74" s="1"/>
      <c r="C74" s="1"/>
      <c r="D74" s="199"/>
      <c r="E74" s="1"/>
      <c r="F74" s="1"/>
      <c r="G74" s="311"/>
      <c r="H74" s="1"/>
      <c r="I74" s="1"/>
      <c r="J74" s="142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 x14ac:dyDescent="0.25">
      <c r="A75" s="1"/>
      <c r="B75" s="1"/>
      <c r="C75" s="1"/>
      <c r="D75" s="199"/>
      <c r="E75" s="1"/>
      <c r="F75" s="1"/>
      <c r="G75" s="311"/>
      <c r="H75" s="1"/>
      <c r="I75" s="1"/>
      <c r="J75" s="142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 x14ac:dyDescent="0.25">
      <c r="A76" s="1"/>
      <c r="B76" s="1"/>
      <c r="C76" s="1"/>
      <c r="D76" s="199"/>
      <c r="E76" s="1"/>
      <c r="F76" s="1"/>
      <c r="G76" s="311"/>
      <c r="H76" s="1"/>
      <c r="I76" s="1"/>
      <c r="J76" s="142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 x14ac:dyDescent="0.25">
      <c r="A77" s="1"/>
      <c r="B77" s="1"/>
      <c r="C77" s="1"/>
      <c r="D77" s="199"/>
      <c r="E77" s="1"/>
      <c r="F77" s="1"/>
      <c r="G77" s="311"/>
      <c r="H77" s="1"/>
      <c r="I77" s="1"/>
      <c r="J77" s="142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 x14ac:dyDescent="0.25">
      <c r="A78" s="1"/>
      <c r="B78" s="1"/>
      <c r="C78" s="1"/>
      <c r="D78" s="199"/>
      <c r="E78" s="1"/>
      <c r="F78" s="1"/>
      <c r="G78" s="311"/>
      <c r="H78" s="1"/>
      <c r="I78" s="1"/>
      <c r="J78" s="142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 x14ac:dyDescent="0.25">
      <c r="A79" s="1"/>
      <c r="B79" s="1"/>
      <c r="C79" s="1"/>
      <c r="D79" s="199"/>
      <c r="E79" s="1"/>
      <c r="F79" s="1"/>
      <c r="G79" s="311"/>
      <c r="H79" s="1"/>
      <c r="I79" s="1"/>
      <c r="J79" s="142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 x14ac:dyDescent="0.25">
      <c r="A80" s="1"/>
      <c r="B80" s="1"/>
      <c r="C80" s="1"/>
      <c r="D80" s="199"/>
      <c r="E80" s="1"/>
      <c r="F80" s="1"/>
      <c r="G80" s="311"/>
      <c r="H80" s="1"/>
      <c r="I80" s="1"/>
      <c r="J80" s="142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 x14ac:dyDescent="0.25">
      <c r="A81" s="1"/>
      <c r="B81" s="1"/>
      <c r="C81" s="1"/>
      <c r="D81" s="199"/>
      <c r="E81" s="1"/>
      <c r="F81" s="1"/>
      <c r="G81" s="311"/>
      <c r="H81" s="1"/>
      <c r="I81" s="1"/>
      <c r="J81" s="142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 x14ac:dyDescent="0.25">
      <c r="A82" s="1"/>
      <c r="B82" s="1"/>
      <c r="C82" s="1"/>
      <c r="D82" s="199"/>
      <c r="E82" s="1"/>
      <c r="F82" s="1"/>
      <c r="G82" s="311"/>
      <c r="H82" s="1"/>
      <c r="I82" s="1"/>
      <c r="J82" s="142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 x14ac:dyDescent="0.25">
      <c r="A83" s="1"/>
      <c r="B83" s="1"/>
      <c r="C83" s="1"/>
      <c r="D83" s="199"/>
      <c r="E83" s="1"/>
      <c r="F83" s="1"/>
      <c r="G83" s="311"/>
      <c r="H83" s="1"/>
      <c r="I83" s="1"/>
      <c r="J83" s="142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 x14ac:dyDescent="0.25">
      <c r="A84" s="1"/>
      <c r="B84" s="1"/>
      <c r="C84" s="1"/>
      <c r="D84" s="199"/>
      <c r="E84" s="1"/>
      <c r="F84" s="1"/>
      <c r="G84" s="311"/>
      <c r="H84" s="1"/>
      <c r="I84" s="1"/>
      <c r="J84" s="142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 x14ac:dyDescent="0.25">
      <c r="A85" s="1"/>
      <c r="B85" s="1"/>
      <c r="C85" s="1"/>
      <c r="D85" s="199"/>
      <c r="E85" s="1"/>
      <c r="F85" s="1"/>
      <c r="G85" s="311"/>
      <c r="H85" s="1"/>
      <c r="I85" s="1"/>
      <c r="J85" s="142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 x14ac:dyDescent="0.25">
      <c r="A86" s="1"/>
      <c r="B86" s="1"/>
      <c r="C86" s="1"/>
      <c r="D86" s="199"/>
      <c r="E86" s="1"/>
      <c r="F86" s="1"/>
      <c r="G86" s="311"/>
      <c r="H86" s="1"/>
      <c r="I86" s="1"/>
      <c r="J86" s="142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 x14ac:dyDescent="0.25">
      <c r="A87" s="1"/>
      <c r="B87" s="1"/>
      <c r="C87" s="1"/>
      <c r="D87" s="199"/>
      <c r="E87" s="1"/>
      <c r="F87" s="1"/>
      <c r="G87" s="311"/>
      <c r="H87" s="1"/>
      <c r="I87" s="1"/>
      <c r="J87" s="142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 x14ac:dyDescent="0.25">
      <c r="A88" s="1"/>
      <c r="B88" s="1"/>
      <c r="C88" s="1"/>
      <c r="D88" s="199"/>
      <c r="E88" s="1"/>
      <c r="F88" s="1"/>
      <c r="G88" s="311"/>
      <c r="H88" s="1"/>
      <c r="I88" s="1"/>
      <c r="J88" s="142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 x14ac:dyDescent="0.25">
      <c r="A89" s="1"/>
      <c r="B89" s="1"/>
      <c r="C89" s="1"/>
      <c r="D89" s="199"/>
      <c r="E89" s="1"/>
      <c r="F89" s="1"/>
      <c r="G89" s="311"/>
      <c r="H89" s="1"/>
      <c r="I89" s="1"/>
      <c r="J89" s="142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 x14ac:dyDescent="0.25">
      <c r="A90" s="1"/>
      <c r="B90" s="1"/>
      <c r="C90" s="1"/>
      <c r="D90" s="199"/>
      <c r="E90" s="1"/>
      <c r="F90" s="1"/>
      <c r="G90" s="311"/>
      <c r="H90" s="1"/>
      <c r="I90" s="1"/>
      <c r="J90" s="142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 x14ac:dyDescent="0.25">
      <c r="A91" s="1"/>
      <c r="B91" s="1"/>
      <c r="C91" s="1"/>
      <c r="D91" s="199"/>
      <c r="E91" s="1"/>
      <c r="F91" s="1"/>
      <c r="G91" s="311"/>
      <c r="H91" s="1"/>
      <c r="I91" s="1"/>
      <c r="J91" s="142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 x14ac:dyDescent="0.25">
      <c r="A92" s="1"/>
      <c r="B92" s="1"/>
      <c r="C92" s="1"/>
      <c r="D92" s="199"/>
      <c r="E92" s="1"/>
      <c r="F92" s="1"/>
      <c r="G92" s="311"/>
      <c r="H92" s="1"/>
      <c r="I92" s="1"/>
      <c r="J92" s="142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 x14ac:dyDescent="0.25">
      <c r="A93" s="1"/>
      <c r="B93" s="1"/>
      <c r="C93" s="1"/>
      <c r="D93" s="199"/>
      <c r="E93" s="1"/>
      <c r="F93" s="1"/>
      <c r="G93" s="311"/>
      <c r="H93" s="1"/>
      <c r="I93" s="1"/>
      <c r="J93" s="142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 x14ac:dyDescent="0.25">
      <c r="A94" s="1"/>
      <c r="B94" s="1"/>
      <c r="C94" s="1"/>
      <c r="D94" s="199"/>
      <c r="E94" s="1"/>
      <c r="F94" s="1"/>
      <c r="G94" s="311"/>
      <c r="H94" s="1"/>
      <c r="I94" s="1"/>
      <c r="J94" s="142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 x14ac:dyDescent="0.25">
      <c r="A95" s="1"/>
      <c r="B95" s="1"/>
      <c r="C95" s="1"/>
      <c r="D95" s="199"/>
      <c r="E95" s="1"/>
      <c r="F95" s="1"/>
      <c r="G95" s="311"/>
      <c r="H95" s="1"/>
      <c r="I95" s="1"/>
      <c r="J95" s="142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 x14ac:dyDescent="0.25">
      <c r="A96" s="1"/>
      <c r="B96" s="1"/>
      <c r="C96" s="1"/>
      <c r="D96" s="199"/>
      <c r="E96" s="1"/>
      <c r="F96" s="1"/>
      <c r="G96" s="311"/>
      <c r="H96" s="1"/>
      <c r="I96" s="1"/>
      <c r="J96" s="142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 x14ac:dyDescent="0.25">
      <c r="A97" s="1"/>
      <c r="B97" s="1"/>
      <c r="C97" s="1"/>
      <c r="D97" s="199"/>
      <c r="E97" s="1"/>
      <c r="F97" s="1"/>
      <c r="G97" s="311"/>
      <c r="H97" s="1"/>
      <c r="I97" s="1"/>
      <c r="J97" s="142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 x14ac:dyDescent="0.25">
      <c r="A98" s="1"/>
      <c r="B98" s="1"/>
      <c r="C98" s="1"/>
      <c r="D98" s="199"/>
      <c r="E98" s="1"/>
      <c r="F98" s="1"/>
      <c r="G98" s="311"/>
      <c r="H98" s="1"/>
      <c r="I98" s="1"/>
      <c r="J98" s="142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 x14ac:dyDescent="0.25">
      <c r="A99" s="1"/>
      <c r="B99" s="1"/>
      <c r="C99" s="1"/>
      <c r="D99" s="199"/>
      <c r="E99" s="1"/>
      <c r="F99" s="1"/>
      <c r="G99" s="311"/>
      <c r="H99" s="1"/>
      <c r="I99" s="1"/>
      <c r="J99" s="142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 x14ac:dyDescent="0.25">
      <c r="A100" s="1"/>
      <c r="B100" s="1"/>
      <c r="C100" s="1"/>
      <c r="D100" s="199"/>
      <c r="E100" s="1"/>
      <c r="F100" s="1"/>
      <c r="G100" s="311"/>
      <c r="H100" s="1"/>
      <c r="I100" s="1"/>
      <c r="J100" s="142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 x14ac:dyDescent="0.25">
      <c r="A101" s="1"/>
      <c r="B101" s="1"/>
      <c r="C101" s="1"/>
      <c r="D101" s="199"/>
      <c r="E101" s="1"/>
      <c r="F101" s="1"/>
      <c r="G101" s="311"/>
      <c r="H101" s="1"/>
      <c r="I101" s="1"/>
      <c r="J101" s="142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 x14ac:dyDescent="0.25">
      <c r="A102" s="1"/>
      <c r="B102" s="1"/>
      <c r="C102" s="1"/>
      <c r="D102" s="199"/>
      <c r="E102" s="1"/>
      <c r="F102" s="1"/>
      <c r="G102" s="311"/>
      <c r="H102" s="1"/>
      <c r="I102" s="1"/>
      <c r="J102" s="142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 x14ac:dyDescent="0.25">
      <c r="A103" s="1"/>
      <c r="B103" s="1"/>
      <c r="C103" s="1"/>
      <c r="D103" s="199"/>
      <c r="E103" s="1"/>
      <c r="F103" s="1"/>
      <c r="G103" s="311"/>
      <c r="H103" s="1"/>
      <c r="I103" s="1"/>
      <c r="J103" s="142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 x14ac:dyDescent="0.25">
      <c r="A104" s="1"/>
      <c r="B104" s="1"/>
      <c r="C104" s="1"/>
      <c r="D104" s="199"/>
      <c r="E104" s="1"/>
      <c r="F104" s="1"/>
      <c r="G104" s="311"/>
      <c r="H104" s="1"/>
      <c r="I104" s="1"/>
      <c r="J104" s="142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 x14ac:dyDescent="0.25">
      <c r="A105" s="1"/>
      <c r="B105" s="1"/>
      <c r="C105" s="1"/>
      <c r="D105" s="199"/>
      <c r="E105" s="1"/>
      <c r="F105" s="1"/>
      <c r="G105" s="311"/>
      <c r="H105" s="1"/>
      <c r="I105" s="1"/>
      <c r="J105" s="142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 x14ac:dyDescent="0.25">
      <c r="A106" s="1"/>
      <c r="B106" s="1"/>
      <c r="C106" s="1"/>
      <c r="D106" s="199"/>
      <c r="E106" s="1"/>
      <c r="F106" s="1"/>
      <c r="G106" s="311"/>
      <c r="H106" s="1"/>
      <c r="I106" s="1"/>
      <c r="J106" s="142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 x14ac:dyDescent="0.25">
      <c r="A107" s="1"/>
      <c r="B107" s="1"/>
      <c r="C107" s="1"/>
      <c r="D107" s="199"/>
      <c r="E107" s="1"/>
      <c r="F107" s="1"/>
      <c r="G107" s="311"/>
      <c r="H107" s="1"/>
      <c r="I107" s="1"/>
      <c r="J107" s="142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 x14ac:dyDescent="0.25">
      <c r="A108" s="1"/>
      <c r="B108" s="1"/>
      <c r="C108" s="1"/>
      <c r="D108" s="199"/>
      <c r="E108" s="1"/>
      <c r="F108" s="1"/>
      <c r="G108" s="311"/>
      <c r="H108" s="1"/>
      <c r="I108" s="1"/>
      <c r="J108" s="142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 x14ac:dyDescent="0.25">
      <c r="A109" s="1"/>
      <c r="B109" s="1"/>
      <c r="C109" s="1"/>
      <c r="D109" s="199"/>
      <c r="E109" s="1"/>
      <c r="F109" s="1"/>
      <c r="G109" s="311"/>
      <c r="H109" s="1"/>
      <c r="I109" s="1"/>
      <c r="J109" s="142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 x14ac:dyDescent="0.25">
      <c r="A110" s="1"/>
      <c r="B110" s="1"/>
      <c r="C110" s="1"/>
      <c r="D110" s="199"/>
      <c r="E110" s="1"/>
      <c r="F110" s="1"/>
      <c r="G110" s="311"/>
      <c r="H110" s="1"/>
      <c r="I110" s="1"/>
      <c r="J110" s="142"/>
      <c r="K110" s="1"/>
      <c r="L110" s="1"/>
      <c r="M110" s="1"/>
      <c r="N110" s="1"/>
      <c r="O110" s="1"/>
      <c r="P110" s="1"/>
      <c r="Q110" s="1"/>
      <c r="R110" s="1"/>
      <c r="S110" s="1"/>
      <c r="T110" s="1"/>
    </row>
  </sheetData>
  <mergeCells count="21">
    <mergeCell ref="F4:G5"/>
    <mergeCell ref="B2:D2"/>
    <mergeCell ref="B3:D3"/>
    <mergeCell ref="B68:C68"/>
    <mergeCell ref="M4:M5"/>
    <mergeCell ref="K4:K5"/>
    <mergeCell ref="L4:L5"/>
    <mergeCell ref="D4:D5"/>
    <mergeCell ref="E2:S2"/>
    <mergeCell ref="S4:S5"/>
    <mergeCell ref="P4:P5"/>
    <mergeCell ref="E3:S3"/>
    <mergeCell ref="B4:B5"/>
    <mergeCell ref="C4:C5"/>
    <mergeCell ref="E4:E5"/>
    <mergeCell ref="H4:H5"/>
    <mergeCell ref="I4:I5"/>
    <mergeCell ref="Q4:Q5"/>
    <mergeCell ref="R4:R5"/>
    <mergeCell ref="N4:N5"/>
    <mergeCell ref="O4:O5"/>
  </mergeCells>
  <pageMargins left="0.51181102362204722" right="0.51181102362204722" top="0.78740157480314965" bottom="0.78740157480314965" header="0" footer="0"/>
  <pageSetup paperSize="9" orientation="portrait" r:id="rId1"/>
  <ignoredErrors>
    <ignoredError sqref="J39 J50 J33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100"/>
  <sheetViews>
    <sheetView workbookViewId="0">
      <selection activeCell="H18" sqref="H18:I18"/>
    </sheetView>
  </sheetViews>
  <sheetFormatPr defaultColWidth="14.42578125" defaultRowHeight="15" customHeight="1" x14ac:dyDescent="0.25"/>
  <cols>
    <col min="1" max="1" width="8.7109375" customWidth="1"/>
    <col min="2" max="2" width="30.85546875" customWidth="1"/>
    <col min="3" max="3" width="47.7109375" customWidth="1"/>
    <col min="4" max="5" width="13.28515625" customWidth="1"/>
    <col min="6" max="6" width="12.85546875" customWidth="1"/>
    <col min="7" max="7" width="43.7109375" customWidth="1"/>
    <col min="8" max="8" width="9.5703125" customWidth="1"/>
    <col min="9" max="11" width="8.7109375" customWidth="1"/>
  </cols>
  <sheetData>
    <row r="1" spans="2:8" x14ac:dyDescent="0.25">
      <c r="B1" s="506" t="s">
        <v>90</v>
      </c>
      <c r="C1" s="507">
        <v>43191</v>
      </c>
    </row>
    <row r="2" spans="2:8" x14ac:dyDescent="0.25">
      <c r="B2" s="327"/>
      <c r="C2" s="508"/>
    </row>
    <row r="3" spans="2:8" x14ac:dyDescent="0.25">
      <c r="B3" s="123" t="s">
        <v>91</v>
      </c>
      <c r="C3" s="123" t="s">
        <v>92</v>
      </c>
      <c r="D3" s="123" t="s">
        <v>93</v>
      </c>
      <c r="E3" s="123" t="s">
        <v>94</v>
      </c>
      <c r="F3" s="123" t="s">
        <v>95</v>
      </c>
    </row>
    <row r="4" spans="2:8" x14ac:dyDescent="0.25">
      <c r="B4" s="75" t="s">
        <v>96</v>
      </c>
      <c r="C4" s="75" t="s">
        <v>97</v>
      </c>
      <c r="D4" s="124">
        <v>500</v>
      </c>
      <c r="E4" s="125"/>
    </row>
    <row r="5" spans="2:8" x14ac:dyDescent="0.25">
      <c r="B5" s="75" t="s">
        <v>96</v>
      </c>
      <c r="C5" s="75" t="s">
        <v>98</v>
      </c>
      <c r="D5" s="124">
        <v>600</v>
      </c>
      <c r="E5" s="125"/>
      <c r="G5" t="s">
        <v>99</v>
      </c>
      <c r="H5" s="126">
        <f>+H9*H8</f>
        <v>19.14</v>
      </c>
    </row>
    <row r="6" spans="2:8" x14ac:dyDescent="0.25">
      <c r="B6" s="75" t="s">
        <v>96</v>
      </c>
      <c r="C6" s="75" t="s">
        <v>100</v>
      </c>
      <c r="D6" s="124">
        <v>5721.21</v>
      </c>
      <c r="E6" s="125"/>
      <c r="F6" t="s">
        <v>101</v>
      </c>
    </row>
    <row r="7" spans="2:8" x14ac:dyDescent="0.25">
      <c r="B7" s="75" t="s">
        <v>96</v>
      </c>
      <c r="C7" s="75" t="s">
        <v>102</v>
      </c>
      <c r="D7" s="124">
        <v>6344.91</v>
      </c>
      <c r="E7" s="125"/>
      <c r="F7" t="s">
        <v>103</v>
      </c>
      <c r="G7" t="s">
        <v>104</v>
      </c>
      <c r="H7" s="126">
        <f>+H8*H9*H10</f>
        <v>59.334000000000003</v>
      </c>
    </row>
    <row r="8" spans="2:8" x14ac:dyDescent="0.25">
      <c r="B8" s="75" t="s">
        <v>96</v>
      </c>
      <c r="C8" s="75" t="s">
        <v>105</v>
      </c>
      <c r="D8" s="124">
        <v>6920.1</v>
      </c>
      <c r="E8" s="125"/>
      <c r="F8" t="s">
        <v>106</v>
      </c>
      <c r="G8" t="s">
        <v>107</v>
      </c>
      <c r="H8" s="127">
        <v>14.5</v>
      </c>
    </row>
    <row r="9" spans="2:8" x14ac:dyDescent="0.25">
      <c r="B9" s="75" t="s">
        <v>96</v>
      </c>
      <c r="C9" s="75" t="s">
        <v>108</v>
      </c>
      <c r="D9" s="124">
        <v>8306.1</v>
      </c>
      <c r="E9" s="125"/>
      <c r="F9" t="s">
        <v>109</v>
      </c>
      <c r="G9" t="s">
        <v>110</v>
      </c>
      <c r="H9" s="127">
        <v>1.32</v>
      </c>
    </row>
    <row r="10" spans="2:8" x14ac:dyDescent="0.25">
      <c r="B10" s="75" t="s">
        <v>96</v>
      </c>
      <c r="C10" s="75" t="s">
        <v>111</v>
      </c>
      <c r="D10" s="124">
        <v>9593.1</v>
      </c>
      <c r="E10" s="125"/>
      <c r="F10" t="s">
        <v>112</v>
      </c>
      <c r="G10" t="s">
        <v>113</v>
      </c>
      <c r="H10" s="127">
        <v>3.1</v>
      </c>
    </row>
    <row r="11" spans="2:8" x14ac:dyDescent="0.25">
      <c r="B11" s="75" t="s">
        <v>96</v>
      </c>
      <c r="C11" s="75" t="s">
        <v>114</v>
      </c>
      <c r="D11" s="177" t="s">
        <v>218</v>
      </c>
      <c r="E11" s="125"/>
      <c r="F11" t="s">
        <v>115</v>
      </c>
    </row>
    <row r="12" spans="2:8" x14ac:dyDescent="0.25">
      <c r="B12" s="75" t="s">
        <v>96</v>
      </c>
      <c r="C12" s="75" t="s">
        <v>116</v>
      </c>
      <c r="D12" s="124">
        <v>14354.01</v>
      </c>
      <c r="E12" s="125"/>
      <c r="F12" t="s">
        <v>117</v>
      </c>
    </row>
    <row r="13" spans="2:8" x14ac:dyDescent="0.25">
      <c r="B13" s="75" t="s">
        <v>96</v>
      </c>
      <c r="C13" s="75" t="s">
        <v>118</v>
      </c>
      <c r="D13" s="124">
        <v>15335.1</v>
      </c>
      <c r="E13" s="125"/>
      <c r="F13" t="s">
        <v>119</v>
      </c>
      <c r="G13" t="s">
        <v>120</v>
      </c>
      <c r="H13" s="128">
        <f>+H14*H15*H16</f>
        <v>12.07</v>
      </c>
    </row>
    <row r="14" spans="2:8" x14ac:dyDescent="0.25">
      <c r="B14" s="75" t="s">
        <v>96</v>
      </c>
      <c r="C14" s="75" t="s">
        <v>121</v>
      </c>
      <c r="D14" s="124">
        <v>15830.1</v>
      </c>
      <c r="E14" s="125"/>
      <c r="F14" t="s">
        <v>122</v>
      </c>
      <c r="G14" t="s">
        <v>123</v>
      </c>
      <c r="H14" s="127">
        <v>17</v>
      </c>
    </row>
    <row r="15" spans="2:8" x14ac:dyDescent="0.25">
      <c r="B15" s="75" t="s">
        <v>96</v>
      </c>
      <c r="C15" s="75" t="s">
        <v>124</v>
      </c>
      <c r="D15" s="124">
        <v>14840.1</v>
      </c>
      <c r="E15" s="125"/>
      <c r="F15" t="s">
        <v>125</v>
      </c>
      <c r="G15" t="s">
        <v>126</v>
      </c>
      <c r="H15" s="127">
        <v>1.42</v>
      </c>
    </row>
    <row r="16" spans="2:8" x14ac:dyDescent="0.25">
      <c r="B16" s="75" t="s">
        <v>96</v>
      </c>
      <c r="C16" s="75" t="s">
        <v>127</v>
      </c>
      <c r="D16" s="124">
        <v>13355.1</v>
      </c>
      <c r="E16" s="125"/>
      <c r="G16" t="s">
        <v>113</v>
      </c>
      <c r="H16" s="127">
        <v>0.5</v>
      </c>
    </row>
    <row r="17" spans="2:8" x14ac:dyDescent="0.25">
      <c r="B17" s="75"/>
      <c r="C17" s="75"/>
      <c r="D17" s="124"/>
      <c r="E17" s="125"/>
    </row>
    <row r="18" spans="2:8" x14ac:dyDescent="0.25">
      <c r="B18" s="75"/>
      <c r="C18" s="75"/>
      <c r="D18" s="124"/>
      <c r="E18" s="125"/>
      <c r="G18" t="s">
        <v>128</v>
      </c>
      <c r="H18" s="126">
        <f>+H19/5</f>
        <v>3.2</v>
      </c>
    </row>
    <row r="19" spans="2:8" x14ac:dyDescent="0.25">
      <c r="B19" s="75" t="s">
        <v>96</v>
      </c>
      <c r="C19" s="75" t="s">
        <v>129</v>
      </c>
      <c r="D19" s="129">
        <v>15690.51</v>
      </c>
      <c r="F19" t="s">
        <v>130</v>
      </c>
      <c r="G19" t="s">
        <v>131</v>
      </c>
      <c r="H19" s="127">
        <v>16</v>
      </c>
    </row>
    <row r="20" spans="2:8" x14ac:dyDescent="0.25">
      <c r="B20" s="75" t="s">
        <v>96</v>
      </c>
      <c r="C20" s="75" t="s">
        <v>132</v>
      </c>
      <c r="D20" s="129">
        <v>14264.91</v>
      </c>
      <c r="F20" t="s">
        <v>133</v>
      </c>
    </row>
    <row r="21" spans="2:8" ht="15.75" customHeight="1" x14ac:dyDescent="0.25">
      <c r="B21" s="75" t="s">
        <v>96</v>
      </c>
      <c r="C21" s="75" t="s">
        <v>134</v>
      </c>
      <c r="D21" s="129">
        <v>4940.1000000000004</v>
      </c>
      <c r="F21" t="s">
        <v>135</v>
      </c>
    </row>
    <row r="22" spans="2:8" ht="15.75" customHeight="1" x14ac:dyDescent="0.25">
      <c r="B22" s="75" t="s">
        <v>96</v>
      </c>
      <c r="C22" s="75" t="s">
        <v>136</v>
      </c>
      <c r="D22" s="129">
        <v>3950.1</v>
      </c>
      <c r="F22" t="s">
        <v>137</v>
      </c>
    </row>
    <row r="23" spans="2:8" ht="15.75" customHeight="1" x14ac:dyDescent="0.25">
      <c r="B23" s="75" t="s">
        <v>96</v>
      </c>
      <c r="C23" s="75" t="s">
        <v>138</v>
      </c>
      <c r="D23" s="129">
        <v>2663.1</v>
      </c>
      <c r="F23" t="s">
        <v>139</v>
      </c>
    </row>
    <row r="24" spans="2:8" ht="15.75" customHeight="1" x14ac:dyDescent="0.25">
      <c r="B24" s="75"/>
      <c r="C24" s="75"/>
      <c r="D24" s="115"/>
    </row>
    <row r="25" spans="2:8" ht="15.75" customHeight="1" x14ac:dyDescent="0.25">
      <c r="B25" s="75"/>
      <c r="C25" s="75"/>
      <c r="D25" s="115"/>
    </row>
    <row r="26" spans="2:8" ht="15.75" customHeight="1" x14ac:dyDescent="0.25">
      <c r="B26" s="75" t="s">
        <v>96</v>
      </c>
      <c r="C26" s="75" t="s">
        <v>140</v>
      </c>
      <c r="D26" s="115">
        <f>2082.86+800</f>
        <v>2882.86</v>
      </c>
      <c r="E26" s="130"/>
    </row>
    <row r="27" spans="2:8" ht="15.75" customHeight="1" x14ac:dyDescent="0.25">
      <c r="B27" s="75" t="s">
        <v>96</v>
      </c>
      <c r="C27" s="75" t="s">
        <v>141</v>
      </c>
      <c r="D27" s="115">
        <f>2435.13+800</f>
        <v>3235.13</v>
      </c>
      <c r="E27" s="130"/>
    </row>
    <row r="28" spans="2:8" ht="15.75" customHeight="1" x14ac:dyDescent="0.25">
      <c r="B28" s="75" t="s">
        <v>96</v>
      </c>
      <c r="C28" s="75" t="s">
        <v>142</v>
      </c>
      <c r="D28" s="115">
        <v>7000</v>
      </c>
      <c r="E28" s="130"/>
    </row>
    <row r="29" spans="2:8" ht="15.75" customHeight="1" x14ac:dyDescent="0.25">
      <c r="B29" s="75"/>
      <c r="C29" s="75"/>
      <c r="D29" s="115"/>
      <c r="E29" s="130"/>
    </row>
    <row r="30" spans="2:8" ht="15.75" customHeight="1" x14ac:dyDescent="0.25">
      <c r="B30" s="75"/>
      <c r="C30" s="75"/>
      <c r="D30" s="115"/>
      <c r="E30" s="130"/>
    </row>
    <row r="31" spans="2:8" ht="15.75" customHeight="1" x14ac:dyDescent="0.25">
      <c r="B31" s="75"/>
      <c r="C31" s="75"/>
      <c r="D31" s="115"/>
      <c r="E31" s="130"/>
    </row>
    <row r="32" spans="2:8" ht="15.75" customHeight="1" x14ac:dyDescent="0.25">
      <c r="B32" s="75" t="s">
        <v>143</v>
      </c>
      <c r="C32" s="75" t="s">
        <v>144</v>
      </c>
      <c r="D32" s="124">
        <v>0.16</v>
      </c>
      <c r="E32" s="125"/>
    </row>
    <row r="33" spans="2:5" ht="15.75" customHeight="1" x14ac:dyDescent="0.25">
      <c r="B33" s="75" t="s">
        <v>143</v>
      </c>
      <c r="C33" s="75" t="s">
        <v>145</v>
      </c>
      <c r="D33" s="124">
        <f>3.1*$H$5</f>
        <v>59.334000000000003</v>
      </c>
      <c r="E33" s="125"/>
    </row>
    <row r="34" spans="2:5" ht="15.75" customHeight="1" x14ac:dyDescent="0.25">
      <c r="B34" s="75" t="s">
        <v>143</v>
      </c>
      <c r="C34" s="75" t="s">
        <v>146</v>
      </c>
      <c r="D34" s="124">
        <f>4.2*H5</f>
        <v>80.388000000000005</v>
      </c>
      <c r="E34" s="125"/>
    </row>
    <row r="35" spans="2:5" ht="15.75" customHeight="1" x14ac:dyDescent="0.25">
      <c r="B35" s="75" t="s">
        <v>143</v>
      </c>
      <c r="C35" s="75" t="s">
        <v>147</v>
      </c>
      <c r="D35" s="124">
        <f>5.2*H5</f>
        <v>99.528000000000006</v>
      </c>
      <c r="E35" s="125"/>
    </row>
    <row r="36" spans="2:5" ht="15.75" customHeight="1" x14ac:dyDescent="0.25">
      <c r="B36" s="75"/>
      <c r="C36" s="75" t="s">
        <v>148</v>
      </c>
      <c r="D36" s="124">
        <f>6.2*H5</f>
        <v>118.66800000000001</v>
      </c>
      <c r="E36" s="125"/>
    </row>
    <row r="37" spans="2:5" ht="15.75" customHeight="1" x14ac:dyDescent="0.25">
      <c r="B37" s="75" t="s">
        <v>143</v>
      </c>
      <c r="C37" s="75" t="s">
        <v>149</v>
      </c>
      <c r="D37" s="124">
        <v>0.8</v>
      </c>
      <c r="E37" s="125"/>
    </row>
    <row r="38" spans="2:5" ht="15.75" customHeight="1" x14ac:dyDescent="0.25">
      <c r="B38" s="75" t="s">
        <v>143</v>
      </c>
      <c r="C38" s="75" t="s">
        <v>150</v>
      </c>
      <c r="D38" s="124">
        <v>0.92300000000000004</v>
      </c>
      <c r="E38" s="125"/>
    </row>
    <row r="39" spans="2:5" ht="15.75" customHeight="1" x14ac:dyDescent="0.25">
      <c r="B39" s="75"/>
      <c r="C39" s="75" t="s">
        <v>151</v>
      </c>
      <c r="D39" s="124">
        <v>1.335</v>
      </c>
      <c r="E39" s="125"/>
    </row>
    <row r="40" spans="2:5" ht="15.75" customHeight="1" x14ac:dyDescent="0.25">
      <c r="B40" s="75" t="s">
        <v>143</v>
      </c>
      <c r="C40" s="75" t="s">
        <v>152</v>
      </c>
      <c r="D40" s="124">
        <v>0.441</v>
      </c>
      <c r="E40" s="125"/>
    </row>
    <row r="41" spans="2:5" ht="15.75" customHeight="1" x14ac:dyDescent="0.25">
      <c r="B41" s="75" t="s">
        <v>143</v>
      </c>
      <c r="C41" s="75" t="s">
        <v>153</v>
      </c>
      <c r="D41" s="124">
        <v>0.09</v>
      </c>
      <c r="E41" s="125"/>
    </row>
    <row r="42" spans="2:5" ht="15.75" customHeight="1" x14ac:dyDescent="0.25">
      <c r="B42" s="75" t="s">
        <v>143</v>
      </c>
      <c r="C42" s="75" t="s">
        <v>154</v>
      </c>
      <c r="D42" s="124">
        <v>0.11</v>
      </c>
      <c r="E42" s="125"/>
    </row>
    <row r="43" spans="2:5" ht="15.75" customHeight="1" x14ac:dyDescent="0.25">
      <c r="B43" s="75" t="s">
        <v>143</v>
      </c>
      <c r="C43" s="75" t="s">
        <v>155</v>
      </c>
      <c r="D43" s="124">
        <v>0.30399999999999999</v>
      </c>
      <c r="E43" s="125"/>
    </row>
    <row r="44" spans="2:5" ht="15.75" customHeight="1" x14ac:dyDescent="0.25">
      <c r="B44" s="75" t="s">
        <v>143</v>
      </c>
      <c r="C44" s="75" t="s">
        <v>156</v>
      </c>
      <c r="D44" s="124">
        <v>0.17</v>
      </c>
      <c r="E44" s="125"/>
    </row>
    <row r="45" spans="2:5" ht="15.75" customHeight="1" x14ac:dyDescent="0.25">
      <c r="B45" s="75" t="s">
        <v>143</v>
      </c>
      <c r="C45" s="75" t="s">
        <v>157</v>
      </c>
      <c r="D45" s="124">
        <v>3.1</v>
      </c>
      <c r="E45" s="125"/>
    </row>
    <row r="46" spans="2:5" ht="15.75" customHeight="1" x14ac:dyDescent="0.25">
      <c r="B46" s="75" t="s">
        <v>143</v>
      </c>
      <c r="C46" s="75" t="s">
        <v>158</v>
      </c>
      <c r="D46" s="124">
        <v>2.5</v>
      </c>
      <c r="E46" s="125"/>
    </row>
    <row r="47" spans="2:5" ht="15.75" customHeight="1" x14ac:dyDescent="0.25">
      <c r="B47" s="75" t="s">
        <v>143</v>
      </c>
      <c r="C47" s="75" t="s">
        <v>159</v>
      </c>
      <c r="D47" s="124">
        <v>25</v>
      </c>
      <c r="E47" s="125"/>
    </row>
    <row r="48" spans="2:5" ht="15.75" customHeight="1" x14ac:dyDescent="0.25">
      <c r="B48" s="75" t="s">
        <v>143</v>
      </c>
      <c r="C48" s="75" t="s">
        <v>160</v>
      </c>
      <c r="D48" s="124">
        <v>0.93</v>
      </c>
      <c r="E48" s="125"/>
    </row>
    <row r="49" spans="2:5" ht="15.75" customHeight="1" x14ac:dyDescent="0.25">
      <c r="B49" s="75" t="s">
        <v>143</v>
      </c>
      <c r="C49" s="75" t="s">
        <v>161</v>
      </c>
      <c r="D49" s="124">
        <v>0.23200000000000001</v>
      </c>
      <c r="E49" s="125"/>
    </row>
    <row r="50" spans="2:5" ht="15.75" customHeight="1" x14ac:dyDescent="0.25">
      <c r="B50" s="75" t="s">
        <v>143</v>
      </c>
      <c r="C50" s="75" t="s">
        <v>162</v>
      </c>
      <c r="D50" s="124">
        <v>0.38300000000000001</v>
      </c>
      <c r="E50" s="125"/>
    </row>
    <row r="51" spans="2:5" ht="15.75" customHeight="1" x14ac:dyDescent="0.25">
      <c r="B51" s="75" t="s">
        <v>143</v>
      </c>
      <c r="C51" s="75" t="s">
        <v>163</v>
      </c>
      <c r="D51" s="124">
        <v>15</v>
      </c>
      <c r="E51" s="125"/>
    </row>
    <row r="52" spans="2:5" ht="15.75" customHeight="1" x14ac:dyDescent="0.25">
      <c r="B52" s="75" t="s">
        <v>143</v>
      </c>
      <c r="C52" s="75" t="s">
        <v>164</v>
      </c>
      <c r="D52" s="124">
        <f>+H13</f>
        <v>12.07</v>
      </c>
      <c r="E52" s="125"/>
    </row>
    <row r="53" spans="2:5" ht="15.75" customHeight="1" x14ac:dyDescent="0.25">
      <c r="B53" s="75" t="s">
        <v>143</v>
      </c>
      <c r="C53" s="75" t="s">
        <v>165</v>
      </c>
      <c r="D53" s="124">
        <f>+H7*1.5</f>
        <v>89.001000000000005</v>
      </c>
      <c r="E53" s="125"/>
    </row>
    <row r="54" spans="2:5" ht="15.75" customHeight="1" x14ac:dyDescent="0.25">
      <c r="B54" s="75" t="s">
        <v>143</v>
      </c>
      <c r="C54" s="75" t="s">
        <v>166</v>
      </c>
      <c r="D54" s="124">
        <f>+H18</f>
        <v>3.2</v>
      </c>
      <c r="E54" s="125"/>
    </row>
    <row r="55" spans="2:5" ht="15.75" customHeight="1" x14ac:dyDescent="0.25">
      <c r="B55" s="75"/>
      <c r="C55" s="75"/>
      <c r="D55" s="124"/>
      <c r="E55" s="125"/>
    </row>
    <row r="56" spans="2:5" ht="15.75" customHeight="1" x14ac:dyDescent="0.25">
      <c r="B56" s="75"/>
      <c r="C56" s="75"/>
      <c r="D56" s="124"/>
      <c r="E56" s="125"/>
    </row>
    <row r="57" spans="2:5" ht="15.75" customHeight="1" x14ac:dyDescent="0.25">
      <c r="B57" s="75"/>
      <c r="C57" s="75"/>
      <c r="D57" s="124"/>
      <c r="E57" s="125"/>
    </row>
    <row r="58" spans="2:5" ht="15.75" customHeight="1" x14ac:dyDescent="0.25">
      <c r="B58" s="75" t="s">
        <v>167</v>
      </c>
      <c r="C58" s="75" t="s">
        <v>168</v>
      </c>
      <c r="D58" s="124">
        <v>3</v>
      </c>
      <c r="E58" s="125"/>
    </row>
    <row r="59" spans="2:5" ht="15.75" customHeight="1" x14ac:dyDescent="0.25">
      <c r="B59" s="75" t="s">
        <v>167</v>
      </c>
      <c r="C59" s="75" t="s">
        <v>169</v>
      </c>
      <c r="D59" s="124">
        <v>3</v>
      </c>
      <c r="E59" s="125"/>
    </row>
    <row r="60" spans="2:5" ht="15.75" customHeight="1" x14ac:dyDescent="0.25">
      <c r="B60" s="75" t="s">
        <v>167</v>
      </c>
      <c r="C60" s="75" t="s">
        <v>170</v>
      </c>
      <c r="D60" s="124">
        <v>9.2799999999999994</v>
      </c>
      <c r="E60" s="125"/>
    </row>
    <row r="61" spans="2:5" ht="15.75" customHeight="1" x14ac:dyDescent="0.25">
      <c r="B61" s="75" t="s">
        <v>167</v>
      </c>
      <c r="C61" s="75" t="s">
        <v>171</v>
      </c>
      <c r="D61" s="124">
        <v>190</v>
      </c>
      <c r="E61" s="125"/>
    </row>
    <row r="62" spans="2:5" ht="15.75" customHeight="1" x14ac:dyDescent="0.25">
      <c r="B62" s="75" t="s">
        <v>167</v>
      </c>
      <c r="C62" s="75" t="s">
        <v>172</v>
      </c>
      <c r="D62" s="124">
        <v>190</v>
      </c>
      <c r="E62" s="125"/>
    </row>
    <row r="63" spans="2:5" ht="15.75" customHeight="1" x14ac:dyDescent="0.25">
      <c r="B63" s="75" t="s">
        <v>167</v>
      </c>
      <c r="C63" s="75" t="s">
        <v>173</v>
      </c>
      <c r="D63" s="124">
        <v>190</v>
      </c>
      <c r="E63" s="125"/>
    </row>
    <row r="64" spans="2:5" ht="15.75" customHeight="1" x14ac:dyDescent="0.25">
      <c r="B64" s="75" t="s">
        <v>167</v>
      </c>
      <c r="C64" s="75" t="s">
        <v>174</v>
      </c>
      <c r="D64" s="124">
        <v>10.93</v>
      </c>
      <c r="E64" s="125"/>
    </row>
    <row r="65" spans="2:5" ht="15.75" customHeight="1" x14ac:dyDescent="0.25">
      <c r="B65" s="75" t="s">
        <v>167</v>
      </c>
      <c r="C65" s="75" t="s">
        <v>175</v>
      </c>
      <c r="D65" s="124">
        <v>190</v>
      </c>
      <c r="E65" s="125"/>
    </row>
    <row r="66" spans="2:5" ht="15.75" customHeight="1" x14ac:dyDescent="0.25"/>
    <row r="67" spans="2:5" ht="15.75" customHeight="1" x14ac:dyDescent="0.25"/>
    <row r="68" spans="2:5" ht="15.75" customHeight="1" x14ac:dyDescent="0.25"/>
    <row r="69" spans="2:5" ht="15.75" customHeight="1" x14ac:dyDescent="0.25"/>
    <row r="70" spans="2:5" ht="15.75" customHeight="1" x14ac:dyDescent="0.25"/>
    <row r="71" spans="2:5" ht="15.75" customHeight="1" x14ac:dyDescent="0.25"/>
    <row r="72" spans="2:5" ht="15.75" customHeight="1" x14ac:dyDescent="0.25"/>
    <row r="73" spans="2:5" ht="15.75" customHeight="1" x14ac:dyDescent="0.25"/>
    <row r="74" spans="2:5" ht="15.75" customHeight="1" x14ac:dyDescent="0.25"/>
    <row r="75" spans="2:5" ht="15.75" customHeight="1" x14ac:dyDescent="0.25"/>
    <row r="76" spans="2:5" ht="15.75" customHeight="1" x14ac:dyDescent="0.25"/>
    <row r="77" spans="2:5" ht="15.75" customHeight="1" x14ac:dyDescent="0.25"/>
    <row r="78" spans="2:5" ht="15.75" customHeight="1" x14ac:dyDescent="0.25"/>
    <row r="79" spans="2:5" ht="15.75" customHeight="1" x14ac:dyDescent="0.25"/>
    <row r="80" spans="2: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autoFilter ref="B3:D52" xr:uid="{00000000-0009-0000-0000-000012000000}"/>
  <mergeCells count="2">
    <mergeCell ref="B1:B2"/>
    <mergeCell ref="C1:C2"/>
  </mergeCells>
  <pageMargins left="0.511811024" right="0.511811024" top="0.78740157499999996" bottom="0.78740157499999996" header="0" footer="0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F100"/>
  <sheetViews>
    <sheetView workbookViewId="0">
      <selection activeCell="C8" sqref="C8"/>
    </sheetView>
  </sheetViews>
  <sheetFormatPr defaultColWidth="14.42578125" defaultRowHeight="15" customHeight="1" x14ac:dyDescent="0.25"/>
  <cols>
    <col min="1" max="1" width="8.7109375" customWidth="1"/>
    <col min="2" max="2" width="27.42578125" customWidth="1"/>
    <col min="3" max="3" width="20.28515625" customWidth="1"/>
    <col min="4" max="4" width="12.140625" customWidth="1"/>
    <col min="5" max="5" width="23.42578125" customWidth="1"/>
    <col min="6" max="11" width="8.7109375" customWidth="1"/>
  </cols>
  <sheetData>
    <row r="1" spans="2:6" x14ac:dyDescent="0.25">
      <c r="C1" s="509" t="s">
        <v>176</v>
      </c>
      <c r="D1" s="510"/>
    </row>
    <row r="2" spans="2:6" x14ac:dyDescent="0.25">
      <c r="C2" s="508"/>
      <c r="D2" s="502"/>
    </row>
    <row r="3" spans="2:6" x14ac:dyDescent="0.25">
      <c r="B3" s="131" t="s">
        <v>177</v>
      </c>
      <c r="C3" s="132">
        <f>SUM(C7:C8)</f>
        <v>0.13</v>
      </c>
    </row>
    <row r="4" spans="2:6" x14ac:dyDescent="0.25">
      <c r="B4" s="131" t="s">
        <v>178</v>
      </c>
      <c r="C4" s="132">
        <f>+C3+C9</f>
        <v>0.21000000000000002</v>
      </c>
    </row>
    <row r="5" spans="2:6" x14ac:dyDescent="0.25">
      <c r="B5" s="131" t="s">
        <v>179</v>
      </c>
      <c r="C5" s="133" t="e">
        <f>+D10+D11</f>
        <v>#VALUE!</v>
      </c>
    </row>
    <row r="6" spans="2:6" x14ac:dyDescent="0.25">
      <c r="B6" s="131"/>
      <c r="C6" s="133"/>
    </row>
    <row r="7" spans="2:6" x14ac:dyDescent="0.25">
      <c r="B7" s="131" t="s">
        <v>180</v>
      </c>
      <c r="C7" s="134">
        <v>0.08</v>
      </c>
      <c r="E7" s="131" t="s">
        <v>181</v>
      </c>
      <c r="F7" s="135">
        <v>25</v>
      </c>
    </row>
    <row r="8" spans="2:6" x14ac:dyDescent="0.25">
      <c r="B8" s="131" t="s">
        <v>182</v>
      </c>
      <c r="C8" s="134">
        <v>0.05</v>
      </c>
      <c r="E8" s="131" t="s">
        <v>183</v>
      </c>
      <c r="F8" s="135">
        <v>0.27</v>
      </c>
    </row>
    <row r="9" spans="2:6" x14ac:dyDescent="0.25">
      <c r="B9" s="131" t="s">
        <v>184</v>
      </c>
      <c r="C9" s="134">
        <v>0.08</v>
      </c>
      <c r="E9" s="131" t="s">
        <v>185</v>
      </c>
      <c r="F9" s="135">
        <v>120</v>
      </c>
    </row>
    <row r="10" spans="2:6" x14ac:dyDescent="0.25">
      <c r="C10" s="131" t="s">
        <v>186</v>
      </c>
      <c r="D10" s="136">
        <v>0.1</v>
      </c>
      <c r="E10" s="131" t="s">
        <v>187</v>
      </c>
      <c r="F10" s="135">
        <v>0.85</v>
      </c>
    </row>
    <row r="11" spans="2:6" x14ac:dyDescent="0.25">
      <c r="C11" s="131" t="s">
        <v>188</v>
      </c>
      <c r="D11" s="176" t="s">
        <v>218</v>
      </c>
    </row>
    <row r="12" spans="2:6" x14ac:dyDescent="0.25">
      <c r="C12" t="s">
        <v>189</v>
      </c>
      <c r="D12" s="137">
        <v>0.02</v>
      </c>
    </row>
    <row r="13" spans="2:6" x14ac:dyDescent="0.25">
      <c r="C13" s="131" t="s">
        <v>190</v>
      </c>
      <c r="D13" s="137">
        <v>1.4999999999999999E-2</v>
      </c>
    </row>
    <row r="14" spans="2:6" x14ac:dyDescent="0.25">
      <c r="C14" s="131" t="s">
        <v>191</v>
      </c>
      <c r="D14" s="137">
        <v>0.02</v>
      </c>
    </row>
    <row r="15" spans="2:6" x14ac:dyDescent="0.25">
      <c r="C15" s="131" t="s">
        <v>192</v>
      </c>
      <c r="D15" s="137">
        <v>0.05</v>
      </c>
    </row>
    <row r="17" spans="2:4" x14ac:dyDescent="0.25">
      <c r="B17" t="s">
        <v>193</v>
      </c>
      <c r="D17" s="127">
        <v>1500</v>
      </c>
    </row>
    <row r="20" spans="2:4" x14ac:dyDescent="0.25">
      <c r="B20" s="131"/>
    </row>
    <row r="21" spans="2:4" ht="15.75" customHeight="1" x14ac:dyDescent="0.25">
      <c r="D21" s="135"/>
    </row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1">
    <mergeCell ref="C1:D2"/>
  </mergeCells>
  <pageMargins left="0.511811024" right="0.511811024" top="0.78740157499999996" bottom="0.78740157499999996" header="0" footer="0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F286-971C-48F4-B0AC-22CF69FEAD97}">
  <dimension ref="D4:H21"/>
  <sheetViews>
    <sheetView topLeftCell="A2" workbookViewId="0">
      <selection activeCell="F7" sqref="F7"/>
    </sheetView>
  </sheetViews>
  <sheetFormatPr defaultRowHeight="15" x14ac:dyDescent="0.25"/>
  <cols>
    <col min="4" max="4" width="60.85546875" bestFit="1" customWidth="1"/>
    <col min="5" max="5" width="12.140625" bestFit="1" customWidth="1"/>
    <col min="6" max="6" width="17.7109375" bestFit="1" customWidth="1"/>
    <col min="7" max="8" width="12.140625" bestFit="1" customWidth="1"/>
  </cols>
  <sheetData>
    <row r="4" spans="4:8" ht="15" customHeight="1" x14ac:dyDescent="0.25">
      <c r="D4" s="511" t="s">
        <v>273</v>
      </c>
      <c r="E4" s="512"/>
      <c r="F4" s="512"/>
      <c r="G4" s="512"/>
      <c r="H4" s="513"/>
    </row>
    <row r="5" spans="4:8" ht="15" customHeight="1" x14ac:dyDescent="0.25">
      <c r="D5" s="514"/>
      <c r="E5" s="515"/>
      <c r="F5" s="515"/>
      <c r="G5" s="515"/>
      <c r="H5" s="516"/>
    </row>
    <row r="6" spans="4:8" x14ac:dyDescent="0.25">
      <c r="D6" s="301" t="s">
        <v>285</v>
      </c>
      <c r="E6" s="301" t="s">
        <v>283</v>
      </c>
      <c r="F6" s="301" t="s">
        <v>284</v>
      </c>
      <c r="G6" s="302" t="s">
        <v>265</v>
      </c>
      <c r="H6" s="302" t="s">
        <v>286</v>
      </c>
    </row>
    <row r="7" spans="4:8" x14ac:dyDescent="0.25">
      <c r="D7" s="298" t="s">
        <v>274</v>
      </c>
      <c r="E7" s="299">
        <v>1811.42</v>
      </c>
      <c r="F7" s="299">
        <f t="shared" ref="F7:F15" si="0">ROUND(E7/(1-$E$19),0)</f>
        <v>1839</v>
      </c>
      <c r="G7" s="298"/>
      <c r="H7" s="298"/>
    </row>
    <row r="8" spans="4:8" x14ac:dyDescent="0.25">
      <c r="D8" s="298" t="s">
        <v>275</v>
      </c>
      <c r="E8" s="299">
        <v>2008.42</v>
      </c>
      <c r="F8" s="299">
        <f t="shared" si="0"/>
        <v>2039</v>
      </c>
      <c r="G8" s="266">
        <f>+F8-F7</f>
        <v>200</v>
      </c>
      <c r="H8" s="299">
        <f t="shared" ref="H8:H15" si="1">ROUND(G8/(1-$E$20),0)</f>
        <v>417</v>
      </c>
    </row>
    <row r="9" spans="4:8" x14ac:dyDescent="0.25">
      <c r="D9" s="298" t="s">
        <v>276</v>
      </c>
      <c r="E9" s="299">
        <v>2205.42</v>
      </c>
      <c r="F9" s="299">
        <f t="shared" si="0"/>
        <v>2239</v>
      </c>
      <c r="G9" s="266">
        <f t="shared" ref="G9:G15" si="2">+F9-F8</f>
        <v>200</v>
      </c>
      <c r="H9" s="299">
        <f t="shared" si="1"/>
        <v>417</v>
      </c>
    </row>
    <row r="10" spans="4:8" x14ac:dyDescent="0.25">
      <c r="D10" s="298" t="s">
        <v>277</v>
      </c>
      <c r="E10" s="299">
        <v>2402.42</v>
      </c>
      <c r="F10" s="299">
        <f t="shared" si="0"/>
        <v>2439</v>
      </c>
      <c r="G10" s="266">
        <f t="shared" si="2"/>
        <v>200</v>
      </c>
      <c r="H10" s="299">
        <f t="shared" si="1"/>
        <v>417</v>
      </c>
    </row>
    <row r="11" spans="4:8" x14ac:dyDescent="0.25">
      <c r="D11" s="300" t="s">
        <v>278</v>
      </c>
      <c r="E11" s="299">
        <v>2894.92</v>
      </c>
      <c r="F11" s="299">
        <f t="shared" si="0"/>
        <v>2939</v>
      </c>
      <c r="G11" s="266">
        <f t="shared" si="2"/>
        <v>500</v>
      </c>
      <c r="H11" s="299">
        <f t="shared" si="1"/>
        <v>1042</v>
      </c>
    </row>
    <row r="12" spans="4:8" x14ac:dyDescent="0.25">
      <c r="D12" s="300" t="s">
        <v>279</v>
      </c>
      <c r="E12" s="299">
        <v>3643.52</v>
      </c>
      <c r="F12" s="299">
        <f t="shared" si="0"/>
        <v>3699</v>
      </c>
      <c r="G12" s="266">
        <f t="shared" si="2"/>
        <v>760</v>
      </c>
      <c r="H12" s="299">
        <f t="shared" si="1"/>
        <v>1583</v>
      </c>
    </row>
    <row r="13" spans="4:8" s="290" customFormat="1" x14ac:dyDescent="0.25">
      <c r="D13" s="300" t="s">
        <v>279</v>
      </c>
      <c r="E13" s="299">
        <v>3643.52</v>
      </c>
      <c r="F13" s="299">
        <f t="shared" si="0"/>
        <v>3699</v>
      </c>
      <c r="G13" s="266">
        <f>+E13-E10+E21</f>
        <v>1241.0999999999999</v>
      </c>
      <c r="H13" s="299">
        <f t="shared" si="1"/>
        <v>2586</v>
      </c>
    </row>
    <row r="14" spans="4:8" x14ac:dyDescent="0.25">
      <c r="D14" s="300" t="s">
        <v>280</v>
      </c>
      <c r="E14" s="299">
        <v>4037.52</v>
      </c>
      <c r="F14" s="299">
        <f t="shared" si="0"/>
        <v>4099</v>
      </c>
      <c r="G14" s="266">
        <f>+F14-F12</f>
        <v>400</v>
      </c>
      <c r="H14" s="299">
        <f t="shared" si="1"/>
        <v>833</v>
      </c>
    </row>
    <row r="15" spans="4:8" x14ac:dyDescent="0.25">
      <c r="D15" s="300" t="s">
        <v>281</v>
      </c>
      <c r="E15" s="299">
        <v>4825.5200000000004</v>
      </c>
      <c r="F15" s="299">
        <f t="shared" si="0"/>
        <v>4899</v>
      </c>
      <c r="G15" s="266">
        <f t="shared" si="2"/>
        <v>800</v>
      </c>
      <c r="H15" s="299">
        <f t="shared" si="1"/>
        <v>1667</v>
      </c>
    </row>
    <row r="19" spans="4:5" x14ac:dyDescent="0.25">
      <c r="D19" s="296" t="s">
        <v>282</v>
      </c>
      <c r="E19" s="297">
        <v>1.4999999999999999E-2</v>
      </c>
    </row>
    <row r="20" spans="4:5" x14ac:dyDescent="0.25">
      <c r="D20" s="296" t="s">
        <v>179</v>
      </c>
      <c r="E20" s="303">
        <v>0.52</v>
      </c>
    </row>
    <row r="21" spans="4:5" x14ac:dyDescent="0.25">
      <c r="D21" s="296" t="s">
        <v>287</v>
      </c>
    </row>
  </sheetData>
  <mergeCells count="1">
    <mergeCell ref="D4:H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showGridLines="0" tabSelected="1" workbookViewId="0">
      <selection activeCell="D18" sqref="D18:E18"/>
    </sheetView>
  </sheetViews>
  <sheetFormatPr defaultColWidth="14.42578125" defaultRowHeight="15" customHeight="1" x14ac:dyDescent="0.25"/>
  <cols>
    <col min="1" max="1" width="8.7109375" customWidth="1"/>
    <col min="2" max="2" width="1.140625" customWidth="1"/>
    <col min="3" max="3" width="33.140625" customWidth="1"/>
    <col min="4" max="4" width="13.140625" customWidth="1"/>
    <col min="5" max="5" width="11.28515625" bestFit="1" customWidth="1"/>
    <col min="6" max="6" width="8.5703125" customWidth="1"/>
    <col min="7" max="7" width="8.7109375" customWidth="1"/>
  </cols>
  <sheetData>
    <row r="1" spans="1:11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5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33" customHeight="1" x14ac:dyDescent="0.25">
      <c r="A3" s="1"/>
      <c r="B3" s="1"/>
      <c r="C3" s="425" t="s">
        <v>0</v>
      </c>
      <c r="D3" s="426"/>
      <c r="E3" s="338"/>
      <c r="F3" s="1"/>
      <c r="G3" s="1"/>
      <c r="H3" s="1"/>
      <c r="I3" s="1"/>
      <c r="J3" s="1"/>
      <c r="K3" s="1"/>
    </row>
    <row r="4" spans="1:11" ht="14.25" customHeight="1" x14ac:dyDescent="0.25">
      <c r="A4" s="1"/>
      <c r="B4" s="1"/>
      <c r="C4" s="427" t="s">
        <v>291</v>
      </c>
      <c r="D4" s="428"/>
      <c r="E4" s="428"/>
      <c r="F4" s="1"/>
      <c r="G4" s="1"/>
      <c r="H4" s="1"/>
      <c r="I4" s="1"/>
      <c r="J4" s="1"/>
      <c r="K4" s="1"/>
    </row>
    <row r="5" spans="1:11" ht="14.25" customHeight="1" x14ac:dyDescent="0.25">
      <c r="A5" s="1"/>
      <c r="B5" s="1"/>
      <c r="C5" s="220" t="s">
        <v>290</v>
      </c>
      <c r="D5" s="2" t="s">
        <v>1</v>
      </c>
      <c r="E5" s="3" t="s">
        <v>7</v>
      </c>
      <c r="F5" s="1"/>
      <c r="G5" s="1"/>
      <c r="H5" s="1"/>
      <c r="I5" s="1"/>
      <c r="J5" s="1"/>
      <c r="K5" s="1"/>
    </row>
    <row r="6" spans="1:11" ht="25.5" customHeight="1" x14ac:dyDescent="0.25">
      <c r="A6" s="1"/>
      <c r="B6" s="1"/>
      <c r="C6" s="4" t="s">
        <v>3</v>
      </c>
      <c r="D6" s="425" t="s">
        <v>4</v>
      </c>
      <c r="E6" s="338"/>
      <c r="F6" s="1"/>
      <c r="G6" s="1"/>
      <c r="H6" s="1"/>
      <c r="I6" s="1"/>
      <c r="J6" s="1"/>
      <c r="K6" s="1"/>
    </row>
    <row r="7" spans="1:11" ht="14.25" customHeight="1" x14ac:dyDescent="0.25">
      <c r="A7" s="1"/>
      <c r="B7" s="1"/>
      <c r="C7" s="5"/>
      <c r="D7" s="423"/>
      <c r="E7" s="338"/>
      <c r="F7" s="1"/>
      <c r="G7" s="1" t="s">
        <v>5</v>
      </c>
      <c r="H7" s="1"/>
      <c r="I7" s="1"/>
      <c r="J7" s="1"/>
      <c r="K7" s="1"/>
    </row>
    <row r="8" spans="1:11" ht="14.25" customHeight="1" x14ac:dyDescent="0.25">
      <c r="A8" s="1"/>
      <c r="B8" s="1"/>
      <c r="C8" s="5" t="e">
        <f t="shared" ref="C8:C18" si="0">+EDATE(C7,-1)</f>
        <v>#NUM!</v>
      </c>
      <c r="D8" s="423"/>
      <c r="E8" s="338"/>
      <c r="F8" s="1"/>
      <c r="G8" s="1" t="s">
        <v>6</v>
      </c>
      <c r="H8" s="1"/>
      <c r="I8" s="1"/>
      <c r="J8" s="1"/>
      <c r="K8" s="1"/>
    </row>
    <row r="9" spans="1:11" ht="14.25" customHeight="1" x14ac:dyDescent="0.25">
      <c r="A9" s="1"/>
      <c r="B9" s="1"/>
      <c r="C9" s="5" t="e">
        <f t="shared" si="0"/>
        <v>#NUM!</v>
      </c>
      <c r="D9" s="423"/>
      <c r="E9" s="338"/>
      <c r="F9" s="1"/>
      <c r="G9" s="1" t="s">
        <v>7</v>
      </c>
      <c r="H9" s="1"/>
      <c r="I9" s="1"/>
      <c r="J9" s="1"/>
      <c r="K9" s="1"/>
    </row>
    <row r="10" spans="1:11" ht="14.25" customHeight="1" x14ac:dyDescent="0.25">
      <c r="A10" s="1"/>
      <c r="B10" s="1"/>
      <c r="C10" s="5" t="e">
        <f t="shared" si="0"/>
        <v>#NUM!</v>
      </c>
      <c r="D10" s="423"/>
      <c r="E10" s="338"/>
      <c r="F10" s="1"/>
      <c r="G10" s="1" t="s">
        <v>2</v>
      </c>
      <c r="H10" s="1"/>
      <c r="I10" s="194"/>
      <c r="J10" s="194"/>
      <c r="K10" s="1"/>
    </row>
    <row r="11" spans="1:11" ht="14.25" customHeight="1" x14ac:dyDescent="0.25">
      <c r="A11" s="1"/>
      <c r="B11" s="1"/>
      <c r="C11" s="5" t="e">
        <f t="shared" si="0"/>
        <v>#NUM!</v>
      </c>
      <c r="D11" s="423"/>
      <c r="E11" s="338"/>
      <c r="F11" s="1"/>
      <c r="G11" s="1"/>
      <c r="H11" s="1"/>
      <c r="I11" s="194"/>
      <c r="J11" s="194"/>
      <c r="K11" s="1"/>
    </row>
    <row r="12" spans="1:11" ht="14.25" customHeight="1" x14ac:dyDescent="0.25">
      <c r="A12" s="1"/>
      <c r="B12" s="1"/>
      <c r="C12" s="5" t="e">
        <f t="shared" si="0"/>
        <v>#NUM!</v>
      </c>
      <c r="D12" s="423"/>
      <c r="E12" s="338"/>
      <c r="F12" s="1"/>
      <c r="G12" s="1"/>
      <c r="H12" s="1"/>
      <c r="I12" s="194"/>
      <c r="J12" s="194"/>
      <c r="K12" s="1"/>
    </row>
    <row r="13" spans="1:11" ht="14.25" customHeight="1" x14ac:dyDescent="0.25">
      <c r="A13" s="1"/>
      <c r="B13" s="1"/>
      <c r="C13" s="5" t="e">
        <f t="shared" si="0"/>
        <v>#NUM!</v>
      </c>
      <c r="D13" s="423"/>
      <c r="E13" s="338"/>
      <c r="F13" s="1"/>
      <c r="G13" s="1"/>
      <c r="H13" s="1"/>
      <c r="I13" s="194"/>
      <c r="J13" s="194"/>
      <c r="K13" s="1"/>
    </row>
    <row r="14" spans="1:11" ht="14.25" customHeight="1" x14ac:dyDescent="0.25">
      <c r="A14" s="1"/>
      <c r="B14" s="1"/>
      <c r="C14" s="5" t="e">
        <f t="shared" si="0"/>
        <v>#NUM!</v>
      </c>
      <c r="D14" s="423"/>
      <c r="E14" s="338"/>
      <c r="F14" s="1"/>
      <c r="G14" s="1"/>
      <c r="H14" s="1"/>
      <c r="I14" s="194"/>
      <c r="J14" s="194"/>
      <c r="K14" s="1"/>
    </row>
    <row r="15" spans="1:11" ht="14.25" customHeight="1" x14ac:dyDescent="0.25">
      <c r="A15" s="1"/>
      <c r="B15" s="1"/>
      <c r="C15" s="5" t="e">
        <f t="shared" si="0"/>
        <v>#NUM!</v>
      </c>
      <c r="D15" s="423"/>
      <c r="E15" s="338"/>
      <c r="F15" s="1"/>
      <c r="G15" s="1"/>
      <c r="H15" s="1"/>
      <c r="I15" s="194"/>
      <c r="J15" s="194"/>
      <c r="K15" s="1"/>
    </row>
    <row r="16" spans="1:11" ht="14.25" customHeight="1" x14ac:dyDescent="0.25">
      <c r="A16" s="1"/>
      <c r="B16" s="1"/>
      <c r="C16" s="5" t="e">
        <f t="shared" si="0"/>
        <v>#NUM!</v>
      </c>
      <c r="D16" s="423"/>
      <c r="E16" s="338"/>
      <c r="F16" s="1"/>
      <c r="G16" s="1"/>
      <c r="H16" s="1"/>
      <c r="I16" s="194"/>
      <c r="J16" s="194"/>
      <c r="K16" s="1"/>
    </row>
    <row r="17" spans="1:11" ht="14.25" customHeight="1" x14ac:dyDescent="0.25">
      <c r="A17" s="1"/>
      <c r="B17" s="1"/>
      <c r="C17" s="5" t="e">
        <f t="shared" si="0"/>
        <v>#NUM!</v>
      </c>
      <c r="D17" s="423"/>
      <c r="E17" s="338"/>
      <c r="F17" s="1"/>
      <c r="G17" s="1"/>
      <c r="H17" s="1"/>
      <c r="I17" s="194"/>
      <c r="J17" s="194"/>
      <c r="K17" s="1"/>
    </row>
    <row r="18" spans="1:11" ht="14.25" customHeight="1" x14ac:dyDescent="0.25">
      <c r="A18" s="1"/>
      <c r="B18" s="1"/>
      <c r="C18" s="5" t="e">
        <f t="shared" si="0"/>
        <v>#NUM!</v>
      </c>
      <c r="D18" s="423"/>
      <c r="E18" s="338"/>
      <c r="F18" s="1"/>
      <c r="G18" s="1"/>
      <c r="H18" s="1"/>
      <c r="I18" s="194"/>
      <c r="J18" s="194"/>
      <c r="K18" s="1"/>
    </row>
    <row r="19" spans="1:11" ht="14.25" customHeight="1" x14ac:dyDescent="0.25">
      <c r="A19" s="1"/>
      <c r="B19" s="1"/>
      <c r="C19" s="6" t="s">
        <v>8</v>
      </c>
      <c r="D19" s="424" t="e">
        <f>AVERAGE(D7:D18)</f>
        <v>#DIV/0!</v>
      </c>
      <c r="E19" s="338"/>
      <c r="F19" s="1"/>
      <c r="G19" s="1"/>
      <c r="H19" s="1"/>
      <c r="I19" s="1"/>
      <c r="J19" s="1"/>
      <c r="K19" s="1"/>
    </row>
    <row r="20" spans="1:11" ht="7.5" customHeight="1" x14ac:dyDescent="0.25">
      <c r="A20" s="1"/>
      <c r="B20" s="1"/>
      <c r="C20" s="7"/>
      <c r="D20" s="8"/>
      <c r="E20" s="8"/>
      <c r="F20" s="1"/>
      <c r="G20" s="1"/>
      <c r="H20" s="1"/>
      <c r="I20" s="1"/>
      <c r="J20" s="1"/>
      <c r="K20" s="1"/>
    </row>
    <row r="21" spans="1:11" ht="14.25" customHeight="1" x14ac:dyDescent="0.25">
      <c r="A21" s="1"/>
      <c r="B21" s="1"/>
      <c r="C21" s="7"/>
      <c r="D21" s="8"/>
      <c r="E21" s="8"/>
      <c r="F21" s="1"/>
      <c r="G21" s="1"/>
      <c r="H21" s="1"/>
      <c r="I21" s="1"/>
      <c r="J21" s="1"/>
      <c r="K21" s="1"/>
    </row>
    <row r="22" spans="1:11" ht="14.25" customHeight="1" x14ac:dyDescent="0.25">
      <c r="A22" s="1"/>
      <c r="B22" s="1"/>
      <c r="C22" s="7"/>
      <c r="D22" s="8"/>
      <c r="E22" s="8"/>
      <c r="F22" s="1"/>
      <c r="G22" s="1"/>
      <c r="H22" s="1"/>
      <c r="I22" s="1"/>
      <c r="J22" s="1"/>
      <c r="K22" s="1"/>
    </row>
    <row r="23" spans="1:11" ht="14.25" customHeight="1" x14ac:dyDescent="0.25">
      <c r="A23" s="1"/>
      <c r="B23" s="1"/>
      <c r="C23" s="1" t="s">
        <v>9</v>
      </c>
      <c r="D23" s="9" t="e">
        <f>+(D19-D26)</f>
        <v>#DIV/0!</v>
      </c>
      <c r="E23" s="1"/>
      <c r="F23" s="1"/>
      <c r="G23" s="1"/>
      <c r="H23" s="1"/>
      <c r="I23" s="1"/>
      <c r="J23" s="1"/>
      <c r="K23" s="1"/>
    </row>
    <row r="24" spans="1:11" ht="14.25" customHeight="1" x14ac:dyDescent="0.25">
      <c r="A24" s="1"/>
      <c r="B24" s="1"/>
      <c r="C24" s="1"/>
      <c r="D24" s="9"/>
      <c r="E24" s="1"/>
      <c r="F24" s="1"/>
      <c r="G24" s="1"/>
      <c r="H24" s="1"/>
      <c r="I24" s="1"/>
      <c r="J24" s="1"/>
      <c r="K24" s="1"/>
    </row>
    <row r="25" spans="1:11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25" customHeight="1" x14ac:dyDescent="0.25">
      <c r="A26" s="1"/>
      <c r="B26" s="1"/>
      <c r="C26" s="1" t="s">
        <v>10</v>
      </c>
      <c r="D26" s="1"/>
      <c r="E26" s="1"/>
      <c r="F26" s="1"/>
      <c r="G26" s="1"/>
      <c r="H26" s="1"/>
      <c r="I26" s="1"/>
      <c r="J26" s="1"/>
      <c r="K26" s="1"/>
    </row>
    <row r="27" spans="1:11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16">
    <mergeCell ref="D10:E10"/>
    <mergeCell ref="D9:E9"/>
    <mergeCell ref="C3:E3"/>
    <mergeCell ref="C4:E4"/>
    <mergeCell ref="D6:E6"/>
    <mergeCell ref="D7:E7"/>
    <mergeCell ref="D8:E8"/>
    <mergeCell ref="D16:E16"/>
    <mergeCell ref="D17:E17"/>
    <mergeCell ref="D18:E18"/>
    <mergeCell ref="D19:E19"/>
    <mergeCell ref="D11:E11"/>
    <mergeCell ref="D12:E12"/>
    <mergeCell ref="D15:E15"/>
    <mergeCell ref="D13:E13"/>
    <mergeCell ref="D14:E14"/>
  </mergeCells>
  <dataValidations count="1">
    <dataValidation type="list" allowBlank="1" showErrorMessage="1" sqref="E5" xr:uid="{00000000-0002-0000-0000-000000000000}">
      <formula1>$G$8:$G$10</formula1>
    </dataValidation>
  </dataValidations>
  <pageMargins left="0.51181102362204722" right="0.51181102362204722" top="0.78740157480314965" bottom="0.78740157480314965" header="0" footer="0"/>
  <pageSetup paperSize="9" orientation="landscape" r:id="rId1"/>
  <ignoredErrors>
    <ignoredError sqref="C17 C19:E19 C18 C8 C9 C10 C11 C12 C13 C14 C15 C1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EA68-82BE-4C34-AA32-21DB05DFBB21}">
  <sheetPr>
    <pageSetUpPr fitToPage="1"/>
  </sheetPr>
  <dimension ref="A1:O101"/>
  <sheetViews>
    <sheetView showGridLines="0" zoomScale="70" zoomScaleNormal="70" workbookViewId="0">
      <pane ySplit="9" topLeftCell="A10" activePane="bottomLeft" state="frozen"/>
      <selection activeCell="H6" sqref="H6:H60"/>
      <selection pane="bottomLeft" activeCell="H45" sqref="H45"/>
    </sheetView>
  </sheetViews>
  <sheetFormatPr defaultColWidth="14.42578125" defaultRowHeight="15" customHeight="1" x14ac:dyDescent="0.25"/>
  <cols>
    <col min="1" max="1" width="8.7109375" style="286" customWidth="1"/>
    <col min="2" max="2" width="2.42578125" style="286" customWidth="1"/>
    <col min="3" max="3" width="35.140625" style="286" customWidth="1"/>
    <col min="4" max="4" width="25" style="286" customWidth="1"/>
    <col min="5" max="5" width="10" style="286" bestFit="1" customWidth="1"/>
    <col min="6" max="6" width="25.42578125" style="286" bestFit="1" customWidth="1"/>
    <col min="7" max="7" width="9.42578125" style="286" bestFit="1" customWidth="1"/>
    <col min="8" max="8" width="25.42578125" style="286" bestFit="1" customWidth="1"/>
    <col min="9" max="9" width="9.42578125" style="286" bestFit="1" customWidth="1"/>
    <col min="10" max="10" width="18.85546875" style="286" customWidth="1"/>
    <col min="11" max="11" width="10.7109375" style="286" bestFit="1" customWidth="1"/>
    <col min="12" max="12" width="25" style="286" bestFit="1" customWidth="1"/>
    <col min="13" max="13" width="9.42578125" style="286" bestFit="1" customWidth="1"/>
    <col min="14" max="14" width="26" style="286" customWidth="1"/>
    <col min="15" max="15" width="14.42578125" style="286" customWidth="1"/>
    <col min="16" max="16384" width="14.42578125" style="286"/>
  </cols>
  <sheetData>
    <row r="1" spans="1:15" x14ac:dyDescent="0.25">
      <c r="A1" s="288"/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</row>
    <row r="2" spans="1:15" ht="15" customHeight="1" x14ac:dyDescent="0.25">
      <c r="A2" s="288"/>
      <c r="B2" s="288"/>
      <c r="C2" s="10" t="str">
        <f>+'Preço SFCR-FRONIUS-BYD'!C2</f>
        <v>Versão: Maio/2020</v>
      </c>
      <c r="D2" s="7"/>
      <c r="E2" s="7"/>
      <c r="F2" s="288"/>
      <c r="G2" s="288"/>
      <c r="H2" s="288"/>
      <c r="I2" s="288"/>
      <c r="J2" s="288"/>
      <c r="K2" s="288"/>
      <c r="L2" s="288"/>
      <c r="M2" s="288"/>
      <c r="N2" s="306" t="s">
        <v>292</v>
      </c>
      <c r="O2" s="308">
        <f>+(O3/1000)*(O4/1000)</f>
        <v>2.1767050000000001</v>
      </c>
    </row>
    <row r="3" spans="1:15" ht="15" customHeight="1" x14ac:dyDescent="0.25">
      <c r="A3" s="288"/>
      <c r="B3" s="288"/>
      <c r="C3" s="10"/>
      <c r="D3" s="346" t="s">
        <v>12</v>
      </c>
      <c r="E3" s="347"/>
      <c r="F3" s="347"/>
      <c r="G3" s="347"/>
      <c r="H3" s="347"/>
      <c r="I3" s="347"/>
      <c r="J3" s="288"/>
      <c r="K3" s="288"/>
      <c r="L3" s="288"/>
      <c r="M3" s="288"/>
      <c r="N3" s="306" t="s">
        <v>293</v>
      </c>
      <c r="O3" s="306">
        <v>2095</v>
      </c>
    </row>
    <row r="4" spans="1:15" ht="15" customHeight="1" x14ac:dyDescent="0.25">
      <c r="A4" s="288"/>
      <c r="B4" s="288"/>
      <c r="C4" s="10"/>
      <c r="D4" s="347"/>
      <c r="E4" s="347"/>
      <c r="F4" s="347"/>
      <c r="G4" s="347"/>
      <c r="H4" s="347"/>
      <c r="I4" s="347"/>
      <c r="J4" s="288"/>
      <c r="K4" s="288"/>
      <c r="L4" s="288"/>
      <c r="M4" s="288"/>
      <c r="N4" s="306" t="s">
        <v>294</v>
      </c>
      <c r="O4" s="306">
        <v>1039</v>
      </c>
    </row>
    <row r="5" spans="1:15" ht="15" customHeight="1" x14ac:dyDescent="0.25">
      <c r="A5" s="288"/>
      <c r="B5" s="288"/>
      <c r="C5" s="10"/>
      <c r="D5" s="346" t="s">
        <v>246</v>
      </c>
      <c r="E5" s="347"/>
      <c r="F5" s="347"/>
      <c r="G5" s="347"/>
      <c r="H5" s="347"/>
      <c r="I5" s="347"/>
      <c r="J5" s="288"/>
      <c r="K5" s="288"/>
      <c r="L5" s="288"/>
      <c r="M5" s="288"/>
      <c r="N5" s="288"/>
      <c r="O5" s="288"/>
    </row>
    <row r="6" spans="1:15" ht="15" customHeight="1" x14ac:dyDescent="0.25">
      <c r="A6" s="288"/>
      <c r="B6" s="288"/>
      <c r="C6" s="10"/>
      <c r="D6" s="347"/>
      <c r="E6" s="347"/>
      <c r="F6" s="347"/>
      <c r="G6" s="347"/>
      <c r="H6" s="347"/>
      <c r="I6" s="347"/>
      <c r="J6" s="288"/>
      <c r="K6" s="288"/>
      <c r="L6" s="288"/>
      <c r="M6" s="288"/>
      <c r="N6" s="288"/>
      <c r="O6" s="288"/>
    </row>
    <row r="7" spans="1:15" ht="15" customHeight="1" thickBot="1" x14ac:dyDescent="0.3">
      <c r="A7" s="288"/>
      <c r="B7" s="288"/>
      <c r="C7" s="457"/>
      <c r="D7" s="347"/>
      <c r="E7" s="347"/>
      <c r="F7" s="347"/>
      <c r="G7" s="99"/>
      <c r="H7" s="288"/>
      <c r="I7" s="288"/>
      <c r="J7" s="100"/>
      <c r="K7" s="100"/>
      <c r="L7" s="100"/>
      <c r="M7" s="100"/>
      <c r="N7" s="100"/>
      <c r="O7" s="288"/>
    </row>
    <row r="8" spans="1:15" ht="19.5" thickBot="1" x14ac:dyDescent="0.35">
      <c r="A8" s="288"/>
      <c r="B8" s="288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288"/>
      <c r="O8" s="288"/>
    </row>
    <row r="9" spans="1:15" ht="21" customHeight="1" thickBot="1" x14ac:dyDescent="0.35">
      <c r="A9" s="288"/>
      <c r="B9" s="288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68.400000000000006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288"/>
    </row>
    <row r="10" spans="1:15" ht="15.75" customHeight="1" x14ac:dyDescent="0.25">
      <c r="A10" s="288"/>
      <c r="B10" s="288"/>
      <c r="C10" s="23" t="s">
        <v>17</v>
      </c>
      <c r="D10" s="382" t="e">
        <f>+D11*D13/1000</f>
        <v>#DIV/0!</v>
      </c>
      <c r="E10" s="349"/>
      <c r="F10" s="383">
        <f>+F11*F13/1000</f>
        <v>68.400000000000006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288"/>
    </row>
    <row r="11" spans="1:15" ht="15.75" customHeight="1" x14ac:dyDescent="0.25">
      <c r="A11" s="288"/>
      <c r="B11" s="288"/>
      <c r="C11" s="24" t="s">
        <v>18</v>
      </c>
      <c r="D11" s="374" t="e">
        <f>+VLOOKUP(MIN('GROWATT-PHONO 450Wp'!D:D),'GROWATT-PHONO 450Wp'!D:E,2,0)</f>
        <v>#DIV/0!</v>
      </c>
      <c r="E11" s="338"/>
      <c r="F11" s="375">
        <v>152</v>
      </c>
      <c r="G11" s="338"/>
      <c r="H11" s="376"/>
      <c r="I11" s="338"/>
      <c r="J11" s="352"/>
      <c r="K11" s="338"/>
      <c r="L11" s="353"/>
      <c r="M11" s="354"/>
      <c r="N11" s="2"/>
      <c r="O11" s="288"/>
    </row>
    <row r="12" spans="1:15" ht="15.75" customHeight="1" x14ac:dyDescent="0.25">
      <c r="A12" s="288"/>
      <c r="B12" s="288"/>
      <c r="C12" s="25" t="s">
        <v>19</v>
      </c>
      <c r="D12" s="367" t="s">
        <v>272</v>
      </c>
      <c r="E12" s="338"/>
      <c r="F12" s="368" t="str">
        <f t="shared" ref="F12:F13" si="0">+D12</f>
        <v>PHONO MONO PERC</v>
      </c>
      <c r="G12" s="338"/>
      <c r="H12" s="369" t="str">
        <f>+F12</f>
        <v>PHONO MONO PERC</v>
      </c>
      <c r="I12" s="338"/>
      <c r="J12" s="370" t="str">
        <f>+H12</f>
        <v>PHONO MONO PERC</v>
      </c>
      <c r="K12" s="338"/>
      <c r="L12" s="363" t="str">
        <f>+J12</f>
        <v>PHONO MONO PERC</v>
      </c>
      <c r="M12" s="354"/>
      <c r="N12" s="2"/>
      <c r="O12" s="288"/>
    </row>
    <row r="13" spans="1:15" ht="15.75" customHeight="1" x14ac:dyDescent="0.25">
      <c r="A13" s="288"/>
      <c r="B13" s="288"/>
      <c r="C13" s="24" t="s">
        <v>21</v>
      </c>
      <c r="D13" s="372">
        <v>450</v>
      </c>
      <c r="E13" s="338"/>
      <c r="F13" s="375">
        <f t="shared" si="0"/>
        <v>450</v>
      </c>
      <c r="G13" s="338"/>
      <c r="H13" s="376">
        <f>+D13</f>
        <v>450</v>
      </c>
      <c r="I13" s="338"/>
      <c r="J13" s="352">
        <f>+D13</f>
        <v>450</v>
      </c>
      <c r="K13" s="338"/>
      <c r="L13" s="364">
        <f>+D13</f>
        <v>450</v>
      </c>
      <c r="M13" s="354"/>
      <c r="N13" s="2"/>
      <c r="O13" s="288"/>
    </row>
    <row r="14" spans="1:15" ht="15.75" customHeight="1" x14ac:dyDescent="0.25">
      <c r="A14" s="288"/>
      <c r="B14" s="288"/>
      <c r="C14" s="25" t="s">
        <v>48</v>
      </c>
      <c r="D14" s="26" t="e">
        <f>+IF(D11="","",VLOOKUP(D11,'GROWATT-PHONO 450Wp'!$E$6:$H$73,4,0))</f>
        <v>#DIV/0!</v>
      </c>
      <c r="E14" s="27">
        <v>1</v>
      </c>
      <c r="F14" s="28" t="str">
        <f>+IF(F11="","",VLOOKUP(F11,'GROWATT-PHONO 450Wp'!$E$6:$H$73,4,0))</f>
        <v>2XMAC30KW</v>
      </c>
      <c r="G14" s="29">
        <v>1</v>
      </c>
      <c r="H14" s="30" t="str">
        <f>+IF(H11="","",VLOOKUP(H11,'GROWATT-PHONO 450Wp'!$E$6:$H$73,4,0))</f>
        <v/>
      </c>
      <c r="I14" s="31">
        <v>1</v>
      </c>
      <c r="J14" s="32" t="str">
        <f>+IF(J11="","",VLOOKUP(J11,'GROWATT-PHONO 450Wp'!$E$6:$H$73,4,0))</f>
        <v/>
      </c>
      <c r="K14" s="33">
        <v>1</v>
      </c>
      <c r="L14" s="34" t="str">
        <f>+IF(L11="","",VLOOKUP(L11,'GROWATT-PHONO 450Wp'!$E$6:$H$73,4,0))</f>
        <v/>
      </c>
      <c r="M14" s="35">
        <v>1</v>
      </c>
      <c r="N14" s="2"/>
      <c r="O14" s="288"/>
    </row>
    <row r="15" spans="1:15" ht="15.75" hidden="1" customHeight="1" x14ac:dyDescent="0.25">
      <c r="A15" s="288"/>
      <c r="B15" s="288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288"/>
    </row>
    <row r="16" spans="1:15" ht="15.75" customHeight="1" x14ac:dyDescent="0.25">
      <c r="A16" s="288"/>
      <c r="B16" s="288"/>
      <c r="C16" s="24" t="s">
        <v>25</v>
      </c>
      <c r="D16" s="373" t="e">
        <f>+D11*$O$2</f>
        <v>#DIV/0!</v>
      </c>
      <c r="E16" s="338"/>
      <c r="F16" s="355">
        <f>+F11*$O$2</f>
        <v>330.85916000000003</v>
      </c>
      <c r="G16" s="338"/>
      <c r="H16" s="356">
        <f>+H11*$O$2</f>
        <v>0</v>
      </c>
      <c r="I16" s="338"/>
      <c r="J16" s="365">
        <f>+J11*$O$2</f>
        <v>0</v>
      </c>
      <c r="K16" s="338"/>
      <c r="L16" s="366">
        <f>+L11*$O$2</f>
        <v>0</v>
      </c>
      <c r="M16" s="354"/>
      <c r="N16" s="2"/>
      <c r="O16" s="288"/>
    </row>
    <row r="17" spans="1:15" ht="15.75" customHeight="1" x14ac:dyDescent="0.25">
      <c r="A17" s="288"/>
      <c r="B17" s="288"/>
      <c r="C17" s="48" t="s">
        <v>26</v>
      </c>
      <c r="D17" s="371" t="e">
        <f>IF(E9=4.1,IF(D14="MIC 3.0KW",D11*400*$D$45/1000,D11*D13*$D$45/1000),D11*D13*$D$45/1000)</f>
        <v>#DIV/0!</v>
      </c>
      <c r="E17" s="349"/>
      <c r="F17" s="357">
        <f>IF(G9=4.1,IF(F14="MIC 3.0KW",F11*400*$D$45/1000,F11*F13*$D$45/1000),F11*F13*$D$45/1000)</f>
        <v>8208</v>
      </c>
      <c r="G17" s="349"/>
      <c r="H17" s="358">
        <f>IF(I9=4.1,IF(H14="MIC 3.0KW",H11*400*$D$45/1000,H11*H13*$D$45/1000),H11*H13*$D$45/1000)</f>
        <v>0</v>
      </c>
      <c r="I17" s="349"/>
      <c r="J17" s="359">
        <f>IF(K9=4.1,IF(J14="MIC 3.0KW",J11*400*$D$45/1000,J11*J13*$D$45/1000),J11*J13*$D$45/1000)</f>
        <v>0</v>
      </c>
      <c r="K17" s="360"/>
      <c r="L17" s="361">
        <f>IF(M9=4.1,IF(L14="MIC 3.0KW",L11*400*$D$45/1000,L11*L13*$D$45/1000),L11*L13*$D$45/1000)</f>
        <v>0</v>
      </c>
      <c r="M17" s="454"/>
      <c r="N17" s="2"/>
      <c r="O17" s="288"/>
    </row>
    <row r="18" spans="1:15" ht="15.75" customHeight="1" x14ac:dyDescent="0.25">
      <c r="A18" s="288"/>
      <c r="B18" s="288"/>
      <c r="C18" s="24" t="s">
        <v>27</v>
      </c>
      <c r="D18" s="373" t="e">
        <f>+D17*12</f>
        <v>#DIV/0!</v>
      </c>
      <c r="E18" s="338"/>
      <c r="F18" s="355">
        <f>+F17*12</f>
        <v>98496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288"/>
    </row>
    <row r="19" spans="1:15" ht="15.75" customHeight="1" thickBot="1" x14ac:dyDescent="0.3">
      <c r="A19" s="288"/>
      <c r="B19" s="288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288"/>
    </row>
    <row r="20" spans="1:15" ht="18.75" customHeight="1" thickBot="1" x14ac:dyDescent="0.4">
      <c r="A20" s="288"/>
      <c r="B20" s="288"/>
      <c r="C20" s="51"/>
      <c r="D20" s="52"/>
      <c r="E20" s="53"/>
      <c r="F20" s="287"/>
      <c r="G20" s="2"/>
      <c r="H20" s="287"/>
      <c r="I20" s="2"/>
      <c r="J20" s="55"/>
      <c r="K20" s="288"/>
      <c r="L20" s="287"/>
      <c r="M20" s="2"/>
      <c r="N20" s="2"/>
      <c r="O20" s="288"/>
    </row>
    <row r="21" spans="1:15" ht="43.5" hidden="1" customHeight="1" thickBot="1" x14ac:dyDescent="0.3">
      <c r="A21" s="288"/>
      <c r="B21" s="288"/>
      <c r="C21" s="188" t="s">
        <v>220</v>
      </c>
      <c r="D21" s="452" t="e">
        <f>+IF(D11="","",VLOOKUP(D11,'GROWATT-PHONO 450Wp'!$E$6:$F$73,2,0))</f>
        <v>#DIV/0!</v>
      </c>
      <c r="E21" s="398"/>
      <c r="F21" s="397">
        <f>+IF(F11="","",VLOOKUP(F11,'GROWATT-PHONO 450Wp'!$E$6:$F$73,2,0))</f>
        <v>236768</v>
      </c>
      <c r="G21" s="398"/>
      <c r="H21" s="399" t="str">
        <f>+IF(H11="","",VLOOKUP(H11,'GROWATT-PHONO 450Wp'!$E$6:$F$73,2,0))</f>
        <v/>
      </c>
      <c r="I21" s="398"/>
      <c r="J21" s="400" t="str">
        <f>+IF(J11="","",VLOOKUP(J11,'GROWATT-PHONO 450Wp'!$E$6:$F$73,2,0))</f>
        <v/>
      </c>
      <c r="K21" s="398"/>
      <c r="L21" s="401" t="str">
        <f>+IF(L11="","",VLOOKUP(L11,'GROWATT-PHONO 450Wp'!$E$6:$F$73,2,0))</f>
        <v/>
      </c>
      <c r="M21" s="381"/>
      <c r="N21" s="2"/>
      <c r="O21" s="288"/>
    </row>
    <row r="22" spans="1:15" ht="43.5" customHeight="1" thickBot="1" x14ac:dyDescent="0.3">
      <c r="A22" s="288"/>
      <c r="B22" s="288"/>
      <c r="C22" s="189" t="s">
        <v>29</v>
      </c>
      <c r="D22" s="452" t="e">
        <f>+ROUND(D21+(D21*$H$44),0)</f>
        <v>#DIV/0!</v>
      </c>
      <c r="E22" s="398"/>
      <c r="F22" s="397">
        <f>+ROUND(F21+(F21*$H$44),0)</f>
        <v>253342</v>
      </c>
      <c r="G22" s="398"/>
      <c r="H22" s="399" t="e">
        <f>+ROUND(H21+(H21*$H$44),0)</f>
        <v>#VALUE!</v>
      </c>
      <c r="I22" s="398"/>
      <c r="J22" s="400" t="e">
        <f>+ROUND(J21+(J21*$H$44),0)</f>
        <v>#VALUE!</v>
      </c>
      <c r="K22" s="398"/>
      <c r="L22" s="401" t="e">
        <f>+ROUND(L21+(L21*$H$44),0)</f>
        <v>#VALUE!</v>
      </c>
      <c r="M22" s="381"/>
      <c r="N22" s="2"/>
      <c r="O22" s="288"/>
    </row>
    <row r="23" spans="1:15" ht="12.75" customHeight="1" x14ac:dyDescent="0.35">
      <c r="A23" s="288"/>
      <c r="B23" s="288"/>
      <c r="C23" s="51"/>
      <c r="D23" s="56"/>
      <c r="E23" s="57"/>
      <c r="F23" s="56"/>
      <c r="G23" s="57"/>
      <c r="H23" s="56"/>
      <c r="I23" s="57"/>
      <c r="J23" s="287"/>
      <c r="K23" s="58"/>
      <c r="L23" s="287"/>
      <c r="M23" s="58"/>
      <c r="N23" s="2"/>
      <c r="O23" s="288"/>
    </row>
    <row r="24" spans="1:15" ht="15.75" customHeight="1" thickBot="1" x14ac:dyDescent="0.4">
      <c r="A24" s="288"/>
      <c r="B24" s="288"/>
      <c r="C24" s="444" t="s">
        <v>30</v>
      </c>
      <c r="D24" s="347"/>
      <c r="E24" s="347"/>
      <c r="F24" s="347"/>
      <c r="G24" s="347"/>
      <c r="H24" s="347"/>
      <c r="I24" s="57"/>
      <c r="J24" s="287"/>
      <c r="K24" s="58"/>
      <c r="L24" s="287"/>
      <c r="M24" s="58"/>
      <c r="N24" s="2"/>
      <c r="O24" s="288"/>
    </row>
    <row r="25" spans="1:15" ht="15" customHeight="1" x14ac:dyDescent="0.25">
      <c r="A25" s="288"/>
      <c r="B25" s="288"/>
      <c r="C25" s="232" t="s">
        <v>31</v>
      </c>
      <c r="D25" s="445" t="e">
        <f>+$D$42*D22</f>
        <v>#DIV/0!</v>
      </c>
      <c r="E25" s="446"/>
      <c r="F25" s="447">
        <f t="shared" ref="F25" si="1">+$D$42*F22</f>
        <v>0</v>
      </c>
      <c r="G25" s="446"/>
      <c r="H25" s="448" t="e">
        <f t="shared" ref="H25" si="2">+$D$42*H22</f>
        <v>#VALUE!</v>
      </c>
      <c r="I25" s="446"/>
      <c r="J25" s="449" t="e">
        <f t="shared" ref="J25" si="3">+$D$42*J22</f>
        <v>#VALUE!</v>
      </c>
      <c r="K25" s="446"/>
      <c r="L25" s="450" t="e">
        <f t="shared" ref="L25" si="4">+$D$42*L22</f>
        <v>#VALUE!</v>
      </c>
      <c r="M25" s="451"/>
      <c r="N25" s="60" t="s">
        <v>32</v>
      </c>
      <c r="O25" s="288"/>
    </row>
    <row r="26" spans="1:15" ht="15" hidden="1" customHeight="1" x14ac:dyDescent="0.25">
      <c r="A26" s="288"/>
      <c r="B26" s="288"/>
      <c r="C26" s="233"/>
      <c r="D26" s="430" t="e">
        <f>+D22-D25</f>
        <v>#DIV/0!</v>
      </c>
      <c r="E26" s="431"/>
      <c r="F26" s="432">
        <f t="shared" ref="F26" si="5">+F22-F25</f>
        <v>253342</v>
      </c>
      <c r="G26" s="431"/>
      <c r="H26" s="433" t="e">
        <f t="shared" ref="H26" si="6">+H22-H25</f>
        <v>#VALUE!</v>
      </c>
      <c r="I26" s="431"/>
      <c r="J26" s="434" t="e">
        <f t="shared" ref="J26" si="7">+J22-J25</f>
        <v>#VALUE!</v>
      </c>
      <c r="K26" s="431"/>
      <c r="L26" s="435" t="e">
        <f t="shared" ref="L26" si="8">+L22-L25</f>
        <v>#VALUE!</v>
      </c>
      <c r="M26" s="436"/>
      <c r="N26" s="62"/>
      <c r="O26" s="288"/>
    </row>
    <row r="27" spans="1:15" ht="15" customHeight="1" x14ac:dyDescent="0.25">
      <c r="A27" s="288"/>
      <c r="B27" s="288"/>
      <c r="C27" s="234">
        <f>+'Preço SFCR-FRONIUS-BYD'!C27</f>
        <v>12</v>
      </c>
      <c r="D27" s="430" t="e">
        <f>+PMT(N27,C27,-$D$26)</f>
        <v>#DIV/0!</v>
      </c>
      <c r="E27" s="431"/>
      <c r="F27" s="432">
        <f>+PMT(N27,C27,-$F$26)</f>
        <v>23487.615179759447</v>
      </c>
      <c r="G27" s="431"/>
      <c r="H27" s="433" t="e">
        <f>+PMT(N27,C27,-$H$26)</f>
        <v>#VALUE!</v>
      </c>
      <c r="I27" s="431"/>
      <c r="J27" s="434" t="e">
        <f>+PMT(N27,C27,-$J$26)</f>
        <v>#VALUE!</v>
      </c>
      <c r="K27" s="431"/>
      <c r="L27" s="435" t="e">
        <f>+PMT(N27,C27,-$L$26)</f>
        <v>#VALUE!</v>
      </c>
      <c r="M27" s="436"/>
      <c r="N27" s="90">
        <f>+'Preço SFCR-FRONIUS-BYD'!N27</f>
        <v>1.6799999999999999E-2</v>
      </c>
      <c r="O27" s="288"/>
    </row>
    <row r="28" spans="1:15" ht="15" customHeight="1" x14ac:dyDescent="0.25">
      <c r="A28" s="288"/>
      <c r="B28" s="288"/>
      <c r="C28" s="235">
        <f>+'Preço SFCR-FRONIUS-BYD'!C28</f>
        <v>24</v>
      </c>
      <c r="D28" s="430" t="e">
        <f t="shared" ref="D28:D31" si="9">+PMT(N28,C28,-$D$26)</f>
        <v>#DIV/0!</v>
      </c>
      <c r="E28" s="431"/>
      <c r="F28" s="432">
        <f t="shared" ref="F28:F31" si="10">+PMT(N28,C28,-$F$26)</f>
        <v>12721.439396953996</v>
      </c>
      <c r="G28" s="431"/>
      <c r="H28" s="433" t="e">
        <f t="shared" ref="H28:H31" si="11">+PMT(N28,C28,-$H$26)</f>
        <v>#VALUE!</v>
      </c>
      <c r="I28" s="431"/>
      <c r="J28" s="434" t="e">
        <f t="shared" ref="J28:J31" si="12">+PMT(N28,C28,-$J$26)</f>
        <v>#VALUE!</v>
      </c>
      <c r="K28" s="431"/>
      <c r="L28" s="435" t="e">
        <f t="shared" ref="L28:L31" si="13">+PMT(N28,C28,-$L$26)</f>
        <v>#VALUE!</v>
      </c>
      <c r="M28" s="436"/>
      <c r="N28" s="90">
        <f>+'Preço SFCR-FRONIUS-BYD'!N28</f>
        <v>1.55E-2</v>
      </c>
      <c r="O28" s="288"/>
    </row>
    <row r="29" spans="1:15" ht="15" customHeight="1" x14ac:dyDescent="0.25">
      <c r="A29" s="288"/>
      <c r="B29" s="288"/>
      <c r="C29" s="234">
        <f>+'Preço SFCR-FRONIUS-BYD'!C29</f>
        <v>36</v>
      </c>
      <c r="D29" s="430" t="e">
        <f t="shared" si="9"/>
        <v>#DIV/0!</v>
      </c>
      <c r="E29" s="431"/>
      <c r="F29" s="432">
        <f t="shared" si="10"/>
        <v>9281.3866659891301</v>
      </c>
      <c r="G29" s="431"/>
      <c r="H29" s="433" t="e">
        <f t="shared" si="11"/>
        <v>#VALUE!</v>
      </c>
      <c r="I29" s="431"/>
      <c r="J29" s="434" t="e">
        <f t="shared" si="12"/>
        <v>#VALUE!</v>
      </c>
      <c r="K29" s="431"/>
      <c r="L29" s="435" t="e">
        <f t="shared" si="13"/>
        <v>#VALUE!</v>
      </c>
      <c r="M29" s="436"/>
      <c r="N29" s="90">
        <f>+'Preço SFCR-FRONIUS-BYD'!N29</f>
        <v>1.5800000000000002E-2</v>
      </c>
      <c r="O29" s="288"/>
    </row>
    <row r="30" spans="1:15" ht="15" customHeight="1" x14ac:dyDescent="0.25">
      <c r="A30" s="288"/>
      <c r="B30" s="288"/>
      <c r="C30" s="235">
        <f>+'Preço SFCR-FRONIUS-BYD'!C30</f>
        <v>48</v>
      </c>
      <c r="D30" s="430" t="e">
        <f t="shared" si="9"/>
        <v>#DIV/0!</v>
      </c>
      <c r="E30" s="431"/>
      <c r="F30" s="432">
        <f t="shared" si="10"/>
        <v>7617.8015081954436</v>
      </c>
      <c r="G30" s="431"/>
      <c r="H30" s="433" t="e">
        <f t="shared" si="11"/>
        <v>#VALUE!</v>
      </c>
      <c r="I30" s="431"/>
      <c r="J30" s="434" t="e">
        <f t="shared" si="12"/>
        <v>#VALUE!</v>
      </c>
      <c r="K30" s="431"/>
      <c r="L30" s="435" t="e">
        <f t="shared" si="13"/>
        <v>#VALUE!</v>
      </c>
      <c r="M30" s="436"/>
      <c r="N30" s="90">
        <f>+'Preço SFCR-FRONIUS-BYD'!N30</f>
        <v>1.61E-2</v>
      </c>
      <c r="O30" s="288"/>
    </row>
    <row r="31" spans="1:15" ht="15" customHeight="1" thickBot="1" x14ac:dyDescent="0.3">
      <c r="A31" s="288"/>
      <c r="B31" s="288"/>
      <c r="C31" s="236">
        <f>+'Preço SFCR-FRONIUS-BYD'!C31</f>
        <v>60</v>
      </c>
      <c r="D31" s="437" t="e">
        <f t="shared" si="9"/>
        <v>#DIV/0!</v>
      </c>
      <c r="E31" s="438"/>
      <c r="F31" s="439">
        <f t="shared" si="10"/>
        <v>6666.984985711365</v>
      </c>
      <c r="G31" s="438"/>
      <c r="H31" s="440" t="e">
        <f t="shared" si="11"/>
        <v>#VALUE!</v>
      </c>
      <c r="I31" s="438"/>
      <c r="J31" s="441" t="e">
        <f t="shared" si="12"/>
        <v>#VALUE!</v>
      </c>
      <c r="K31" s="438"/>
      <c r="L31" s="442" t="e">
        <f t="shared" si="13"/>
        <v>#VALUE!</v>
      </c>
      <c r="M31" s="443"/>
      <c r="N31" s="90">
        <f>+'Preço SFCR-FRONIUS-BYD'!N31</f>
        <v>1.6400000000000001E-2</v>
      </c>
      <c r="O31" s="288"/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288"/>
    </row>
    <row r="33" spans="1:15" ht="14.25" customHeight="1" x14ac:dyDescent="0.25">
      <c r="A33" s="65"/>
      <c r="B33" s="65"/>
      <c r="C33" s="65" t="str">
        <f>+'Preço SFCR-FRONIUS-BYD'!$C$33</f>
        <v>Observação: Proposta apenas orientativa, caso tenha interesse formalizamos uma proposta.</v>
      </c>
      <c r="D33" s="65"/>
      <c r="E33" s="65"/>
      <c r="F33" s="65"/>
      <c r="G33" s="65"/>
      <c r="H33" s="287"/>
      <c r="I33" s="287"/>
      <c r="J33" s="65"/>
      <c r="K33" s="65"/>
      <c r="L33" s="65"/>
      <c r="M33" s="65"/>
      <c r="N33" s="65"/>
      <c r="O33" s="288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287"/>
      <c r="I34" s="287"/>
      <c r="J34" s="65"/>
      <c r="K34" s="65"/>
      <c r="L34" s="65"/>
      <c r="M34" s="65"/>
      <c r="N34" s="65"/>
      <c r="O34" s="288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288"/>
    </row>
    <row r="36" spans="1:15" ht="14.25" customHeight="1" x14ac:dyDescent="0.25">
      <c r="A36" s="288"/>
      <c r="B36" s="288"/>
      <c r="C36" s="73" t="s">
        <v>34</v>
      </c>
      <c r="D36" s="416" t="e">
        <f>+D22/(D10*1000)</f>
        <v>#DIV/0!</v>
      </c>
      <c r="E36" s="417"/>
      <c r="F36" s="416">
        <f>+F22/(F10*1000)</f>
        <v>3.7038304093567254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288"/>
    </row>
    <row r="37" spans="1:15" ht="14.25" customHeight="1" x14ac:dyDescent="0.25">
      <c r="A37" s="288"/>
      <c r="B37" s="288"/>
      <c r="C37" s="75" t="s">
        <v>35</v>
      </c>
      <c r="D37" s="413" t="e">
        <f>+D17*$D$44</f>
        <v>#DIV/0!</v>
      </c>
      <c r="E37" s="338"/>
      <c r="F37" s="413">
        <f>+F17*$D$44</f>
        <v>6976.8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288"/>
    </row>
    <row r="38" spans="1:15" ht="14.25" customHeight="1" x14ac:dyDescent="0.25">
      <c r="A38" s="288"/>
      <c r="B38" s="288"/>
      <c r="C38" s="75" t="s">
        <v>36</v>
      </c>
      <c r="D38" s="413" t="e">
        <f>+D22/D37</f>
        <v>#DIV/0!</v>
      </c>
      <c r="E38" s="338"/>
      <c r="F38" s="413">
        <f>+F22/F37</f>
        <v>36.312062836830641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288"/>
    </row>
    <row r="39" spans="1:15" ht="14.25" customHeight="1" x14ac:dyDescent="0.25">
      <c r="A39" s="288"/>
      <c r="B39" s="288"/>
      <c r="C39" s="75" t="s">
        <v>37</v>
      </c>
      <c r="D39" s="413" t="e">
        <f>+D22/D11</f>
        <v>#DIV/0!</v>
      </c>
      <c r="E39" s="338"/>
      <c r="F39" s="413">
        <f>+F22/F11</f>
        <v>1666.7236842105262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288"/>
      <c r="O39" s="288"/>
    </row>
    <row r="40" spans="1:15" ht="14.25" customHeight="1" x14ac:dyDescent="0.25">
      <c r="A40" s="288"/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</row>
    <row r="41" spans="1:15" ht="14.25" customHeight="1" x14ac:dyDescent="0.25">
      <c r="A41" s="288"/>
      <c r="B41" s="288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</row>
    <row r="42" spans="1:15" ht="14.25" customHeight="1" x14ac:dyDescent="0.25">
      <c r="A42" s="288"/>
      <c r="B42" s="288"/>
      <c r="C42" s="77" t="s">
        <v>38</v>
      </c>
      <c r="D42" s="91">
        <f>+'Preço SFCR-FRONIUS-BYD'!D42</f>
        <v>0</v>
      </c>
      <c r="E42" s="65"/>
      <c r="F42" s="79"/>
      <c r="G42" s="79"/>
      <c r="H42" s="288"/>
      <c r="I42" s="288"/>
      <c r="J42" s="288"/>
      <c r="K42" s="288"/>
      <c r="L42" s="288"/>
      <c r="M42" s="288"/>
      <c r="N42" s="288"/>
      <c r="O42" s="288"/>
    </row>
    <row r="43" spans="1:15" ht="14.25" customHeight="1" x14ac:dyDescent="0.25">
      <c r="A43" s="288"/>
      <c r="B43" s="288"/>
      <c r="C43" s="80" t="s">
        <v>39</v>
      </c>
      <c r="D43" s="81" t="e">
        <f>+'Preço SFCR-FRONIUS-BYD'!D43</f>
        <v>#DIV/0!</v>
      </c>
      <c r="E43" s="82"/>
      <c r="F43" s="83" t="s">
        <v>40</v>
      </c>
      <c r="G43" s="71" t="e">
        <f>+D43/D45</f>
        <v>#DIV/0!</v>
      </c>
      <c r="H43" s="288"/>
      <c r="I43" s="288"/>
      <c r="J43" s="288"/>
      <c r="K43" s="288"/>
      <c r="L43" s="288"/>
      <c r="M43" s="288"/>
      <c r="N43" s="288"/>
      <c r="O43" s="288"/>
    </row>
    <row r="44" spans="1:15" ht="14.25" customHeight="1" x14ac:dyDescent="0.25">
      <c r="A44" s="288"/>
      <c r="B44" s="288"/>
      <c r="C44" s="84" t="s">
        <v>41</v>
      </c>
      <c r="D44" s="97">
        <f>+'Preço SFCR-FRONIUS-BYD'!D44</f>
        <v>0.85</v>
      </c>
      <c r="E44" s="70"/>
      <c r="F44" s="429" t="s">
        <v>42</v>
      </c>
      <c r="G44" s="412"/>
      <c r="H44" s="98">
        <v>7.0000000000000007E-2</v>
      </c>
      <c r="I44" s="288"/>
      <c r="J44" s="288"/>
      <c r="K44" s="288"/>
      <c r="L44" s="288"/>
      <c r="M44" s="288"/>
      <c r="N44" s="288"/>
      <c r="O44" s="288"/>
    </row>
    <row r="45" spans="1:15" ht="14.25" customHeight="1" x14ac:dyDescent="0.25">
      <c r="A45" s="288"/>
      <c r="B45" s="288"/>
      <c r="C45" s="87" t="s">
        <v>43</v>
      </c>
      <c r="D45" s="97">
        <f>+'Preço SFCR-FRONIUS-BYD'!D45</f>
        <v>120</v>
      </c>
      <c r="E45" s="70"/>
      <c r="F45" s="288"/>
      <c r="G45" s="288"/>
      <c r="H45" s="288"/>
      <c r="I45" s="288"/>
      <c r="J45" s="288"/>
      <c r="K45" s="288"/>
      <c r="L45" s="288"/>
      <c r="M45" s="288"/>
      <c r="N45" s="288"/>
      <c r="O45" s="288"/>
    </row>
    <row r="46" spans="1:15" ht="14.25" customHeight="1" x14ac:dyDescent="0.25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</row>
    <row r="47" spans="1:15" ht="14.25" customHeight="1" x14ac:dyDescent="0.25">
      <c r="A47" s="288"/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</row>
    <row r="48" spans="1:15" ht="14.25" customHeight="1" x14ac:dyDescent="0.25">
      <c r="A48" s="288"/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</row>
    <row r="49" spans="1:15" ht="14.25" customHeight="1" x14ac:dyDescent="0.25">
      <c r="A49" s="288"/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</row>
    <row r="50" spans="1:15" ht="14.25" customHeight="1" x14ac:dyDescent="0.25">
      <c r="A50" s="288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</row>
    <row r="51" spans="1:15" ht="14.25" customHeight="1" x14ac:dyDescent="0.25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</row>
    <row r="52" spans="1:15" ht="14.25" customHeight="1" x14ac:dyDescent="0.25">
      <c r="A52" s="288"/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</row>
    <row r="53" spans="1:15" ht="14.25" customHeight="1" x14ac:dyDescent="0.25">
      <c r="A53" s="288"/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</row>
    <row r="54" spans="1:15" ht="14.25" customHeight="1" x14ac:dyDescent="0.25">
      <c r="A54" s="288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</row>
    <row r="55" spans="1:15" ht="14.25" customHeight="1" x14ac:dyDescent="0.25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</row>
    <row r="56" spans="1:15" ht="14.25" customHeight="1" x14ac:dyDescent="0.25">
      <c r="A56" s="288"/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</row>
    <row r="57" spans="1:15" ht="14.25" customHeight="1" x14ac:dyDescent="0.25">
      <c r="A57" s="288"/>
      <c r="B57" s="28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</row>
    <row r="58" spans="1:15" ht="14.25" customHeight="1" x14ac:dyDescent="0.25">
      <c r="A58" s="288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</row>
    <row r="59" spans="1:15" ht="14.25" customHeight="1" x14ac:dyDescent="0.25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</row>
    <row r="60" spans="1:15" ht="14.25" customHeight="1" x14ac:dyDescent="0.25">
      <c r="A60" s="288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</row>
    <row r="61" spans="1:15" ht="14.25" customHeight="1" x14ac:dyDescent="0.25">
      <c r="A61" s="288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</row>
    <row r="62" spans="1:15" ht="14.25" customHeight="1" x14ac:dyDescent="0.25">
      <c r="A62" s="288"/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</row>
    <row r="63" spans="1:15" ht="14.25" customHeight="1" x14ac:dyDescent="0.25">
      <c r="A63" s="288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</row>
    <row r="64" spans="1:15" ht="14.25" customHeight="1" x14ac:dyDescent="0.25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</row>
    <row r="65" spans="1:15" ht="14.25" customHeight="1" x14ac:dyDescent="0.25">
      <c r="A65" s="288"/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</row>
    <row r="66" spans="1:15" ht="14.25" customHeight="1" x14ac:dyDescent="0.25">
      <c r="A66" s="288"/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</row>
    <row r="67" spans="1:15" ht="14.25" customHeight="1" x14ac:dyDescent="0.25">
      <c r="A67" s="288"/>
      <c r="B67" s="288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</row>
    <row r="68" spans="1:15" ht="14.25" customHeight="1" x14ac:dyDescent="0.25">
      <c r="A68" s="288"/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</row>
    <row r="69" spans="1:15" ht="14.25" customHeight="1" x14ac:dyDescent="0.25">
      <c r="A69" s="288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</row>
    <row r="70" spans="1:15" ht="14.25" customHeight="1" x14ac:dyDescent="0.25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</row>
    <row r="71" spans="1:15" ht="14.25" customHeight="1" x14ac:dyDescent="0.25">
      <c r="A71" s="288"/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</row>
    <row r="72" spans="1:15" ht="14.25" customHeight="1" x14ac:dyDescent="0.25">
      <c r="A72" s="288"/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</row>
    <row r="73" spans="1:15" ht="14.25" customHeight="1" x14ac:dyDescent="0.25">
      <c r="A73" s="288"/>
      <c r="B73" s="288"/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</row>
    <row r="74" spans="1:15" ht="14.25" customHeight="1" x14ac:dyDescent="0.25">
      <c r="A74" s="288"/>
      <c r="B74" s="288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  <c r="N74" s="288"/>
      <c r="O74" s="288"/>
    </row>
    <row r="75" spans="1:15" ht="14.25" customHeight="1" x14ac:dyDescent="0.25">
      <c r="A75" s="288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88"/>
    </row>
    <row r="76" spans="1:15" ht="14.25" customHeight="1" x14ac:dyDescent="0.25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</row>
    <row r="77" spans="1:15" ht="14.25" customHeight="1" x14ac:dyDescent="0.25">
      <c r="A77" s="288"/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</row>
    <row r="78" spans="1:15" ht="14.25" customHeight="1" x14ac:dyDescent="0.25">
      <c r="A78" s="288"/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</row>
    <row r="79" spans="1:15" ht="14.25" customHeight="1" x14ac:dyDescent="0.25">
      <c r="A79" s="288"/>
      <c r="B79" s="288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</row>
    <row r="80" spans="1:15" ht="14.25" customHeight="1" x14ac:dyDescent="0.25">
      <c r="A80" s="288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</row>
    <row r="81" spans="1:15" ht="14.25" customHeight="1" x14ac:dyDescent="0.25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8"/>
    </row>
    <row r="82" spans="1:15" ht="14.25" customHeight="1" x14ac:dyDescent="0.25">
      <c r="A82" s="288"/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</row>
    <row r="83" spans="1:15" ht="14.25" customHeight="1" x14ac:dyDescent="0.25">
      <c r="A83" s="288"/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</row>
    <row r="84" spans="1:15" ht="14.25" customHeight="1" x14ac:dyDescent="0.25">
      <c r="A84" s="288"/>
      <c r="B84" s="288"/>
      <c r="C84" s="288"/>
      <c r="D84" s="288"/>
      <c r="E84" s="288"/>
      <c r="F84" s="288"/>
      <c r="G84" s="288"/>
      <c r="H84" s="288"/>
      <c r="I84" s="288"/>
      <c r="J84" s="288"/>
      <c r="K84" s="288"/>
      <c r="L84" s="288"/>
      <c r="M84" s="288"/>
      <c r="N84" s="288"/>
      <c r="O84" s="288"/>
    </row>
    <row r="85" spans="1:15" ht="14.25" customHeight="1" x14ac:dyDescent="0.25">
      <c r="A85" s="288"/>
      <c r="B85" s="288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  <c r="N85" s="288"/>
      <c r="O85" s="288"/>
    </row>
    <row r="86" spans="1:15" ht="14.25" customHeight="1" x14ac:dyDescent="0.25">
      <c r="A86" s="288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88"/>
    </row>
    <row r="87" spans="1:15" ht="14.25" customHeight="1" x14ac:dyDescent="0.25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88"/>
    </row>
    <row r="88" spans="1:15" ht="14.25" customHeight="1" x14ac:dyDescent="0.25">
      <c r="A88" s="288"/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</row>
    <row r="89" spans="1:15" ht="14.25" customHeight="1" x14ac:dyDescent="0.25">
      <c r="A89" s="288"/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</row>
    <row r="90" spans="1:15" ht="14.25" customHeight="1" x14ac:dyDescent="0.25">
      <c r="A90" s="288"/>
      <c r="B90" s="288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  <c r="N90" s="288"/>
      <c r="O90" s="288"/>
    </row>
    <row r="91" spans="1:15" ht="14.25" customHeight="1" x14ac:dyDescent="0.25">
      <c r="A91" s="288"/>
      <c r="B91" s="288"/>
      <c r="C91" s="288"/>
      <c r="D91" s="288"/>
      <c r="E91" s="288"/>
      <c r="F91" s="288"/>
      <c r="G91" s="288"/>
      <c r="H91" s="288"/>
      <c r="I91" s="288"/>
      <c r="J91" s="288"/>
      <c r="K91" s="288"/>
      <c r="L91" s="288"/>
      <c r="M91" s="288"/>
      <c r="N91" s="288"/>
      <c r="O91" s="288"/>
    </row>
    <row r="92" spans="1:15" ht="14.25" customHeight="1" x14ac:dyDescent="0.25">
      <c r="A92" s="288"/>
      <c r="B92" s="288"/>
      <c r="C92" s="288"/>
      <c r="D92" s="288"/>
      <c r="E92" s="288"/>
      <c r="F92" s="288"/>
      <c r="G92" s="288"/>
      <c r="H92" s="288"/>
      <c r="I92" s="288"/>
      <c r="J92" s="288"/>
      <c r="K92" s="288"/>
      <c r="L92" s="288"/>
      <c r="M92" s="288"/>
      <c r="N92" s="288"/>
      <c r="O92" s="288"/>
    </row>
    <row r="93" spans="1:15" ht="14.25" customHeight="1" x14ac:dyDescent="0.25">
      <c r="A93" s="288"/>
      <c r="B93" s="288"/>
      <c r="C93" s="288"/>
      <c r="D93" s="288"/>
      <c r="E93" s="288"/>
      <c r="F93" s="288"/>
      <c r="G93" s="288"/>
      <c r="H93" s="288"/>
      <c r="I93" s="288"/>
      <c r="J93" s="288"/>
      <c r="K93" s="288"/>
      <c r="L93" s="288"/>
      <c r="M93" s="288"/>
      <c r="N93" s="288"/>
      <c r="O93" s="288"/>
    </row>
    <row r="94" spans="1:15" ht="14.25" customHeight="1" x14ac:dyDescent="0.25">
      <c r="A94" s="288"/>
      <c r="B94" s="288"/>
      <c r="C94" s="288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288"/>
    </row>
    <row r="95" spans="1:15" ht="15.75" customHeight="1" x14ac:dyDescent="0.25">
      <c r="A95" s="288"/>
      <c r="B95" s="288"/>
      <c r="C95" s="288"/>
      <c r="D95" s="288"/>
      <c r="E95" s="288"/>
      <c r="F95" s="288"/>
      <c r="G95" s="288"/>
      <c r="H95" s="288"/>
      <c r="I95" s="288"/>
      <c r="J95" s="288"/>
      <c r="K95" s="288"/>
      <c r="L95" s="288"/>
      <c r="M95" s="288"/>
      <c r="N95" s="288"/>
      <c r="O95" s="288"/>
    </row>
    <row r="96" spans="1:15" ht="15.75" customHeight="1" x14ac:dyDescent="0.25">
      <c r="A96" s="288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88"/>
    </row>
    <row r="97" spans="1:15" ht="15.75" customHeight="1" x14ac:dyDescent="0.25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88"/>
    </row>
    <row r="98" spans="1:15" ht="15.75" customHeight="1" x14ac:dyDescent="0.25">
      <c r="A98" s="288"/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</row>
    <row r="99" spans="1:15" ht="15.75" customHeight="1" x14ac:dyDescent="0.25">
      <c r="A99" s="288"/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</row>
    <row r="100" spans="1:15" ht="15.75" customHeight="1" x14ac:dyDescent="0.25">
      <c r="A100" s="288"/>
      <c r="B100" s="288"/>
      <c r="C100" s="288"/>
      <c r="D100" s="288"/>
      <c r="E100" s="288"/>
      <c r="F100" s="288"/>
      <c r="G100" s="288"/>
      <c r="H100" s="288"/>
      <c r="I100" s="288"/>
      <c r="J100" s="288"/>
      <c r="K100" s="288"/>
      <c r="L100" s="288"/>
      <c r="M100" s="288"/>
      <c r="N100" s="288"/>
      <c r="O100" s="288"/>
    </row>
    <row r="101" spans="1:15" ht="15.75" customHeight="1" x14ac:dyDescent="0.25">
      <c r="A101" s="288"/>
      <c r="B101" s="288"/>
      <c r="C101" s="288"/>
      <c r="D101" s="288"/>
      <c r="E101" s="288"/>
      <c r="F101" s="288"/>
      <c r="G101" s="288"/>
      <c r="H101" s="288"/>
      <c r="I101" s="288"/>
      <c r="J101" s="288"/>
      <c r="K101" s="288"/>
      <c r="L101" s="288"/>
      <c r="M101" s="288"/>
      <c r="N101" s="288"/>
      <c r="O101" s="288"/>
    </row>
  </sheetData>
  <mergeCells count="113">
    <mergeCell ref="J10:K10"/>
    <mergeCell ref="L10:M10"/>
    <mergeCell ref="D11:E11"/>
    <mergeCell ref="F11:G11"/>
    <mergeCell ref="H11:I11"/>
    <mergeCell ref="J11:K11"/>
    <mergeCell ref="L11:M11"/>
    <mergeCell ref="D3:I4"/>
    <mergeCell ref="D5:I6"/>
    <mergeCell ref="C7:F7"/>
    <mergeCell ref="C8:C9"/>
    <mergeCell ref="D8:I8"/>
    <mergeCell ref="D10:E10"/>
    <mergeCell ref="F10:G10"/>
    <mergeCell ref="H10:I10"/>
    <mergeCell ref="D12:E12"/>
    <mergeCell ref="F12:G12"/>
    <mergeCell ref="H12:I12"/>
    <mergeCell ref="J12:K12"/>
    <mergeCell ref="L12:M12"/>
    <mergeCell ref="D13:E13"/>
    <mergeCell ref="F13:G13"/>
    <mergeCell ref="H13:I13"/>
    <mergeCell ref="J13:K13"/>
    <mergeCell ref="L13:M13"/>
    <mergeCell ref="D16:E16"/>
    <mergeCell ref="F16:G16"/>
    <mergeCell ref="H16:I16"/>
    <mergeCell ref="J16:K16"/>
    <mergeCell ref="L16:M16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9:E19"/>
    <mergeCell ref="F19:G19"/>
    <mergeCell ref="H19:I19"/>
    <mergeCell ref="J19:K19"/>
    <mergeCell ref="L19:M19"/>
    <mergeCell ref="C24:H24"/>
    <mergeCell ref="D25:E25"/>
    <mergeCell ref="F25:G25"/>
    <mergeCell ref="H25:I25"/>
    <mergeCell ref="J25:K25"/>
    <mergeCell ref="L25:M25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26:E26"/>
    <mergeCell ref="F26:G26"/>
    <mergeCell ref="H26:I26"/>
    <mergeCell ref="J26:K26"/>
    <mergeCell ref="L26:M26"/>
    <mergeCell ref="D27:E27"/>
    <mergeCell ref="F27:G27"/>
    <mergeCell ref="H27:I27"/>
    <mergeCell ref="J27:K27"/>
    <mergeCell ref="L27:M27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H32:I32"/>
    <mergeCell ref="D36:E36"/>
    <mergeCell ref="F36:G36"/>
    <mergeCell ref="H36:I36"/>
    <mergeCell ref="J36:K36"/>
    <mergeCell ref="L36:M36"/>
    <mergeCell ref="D30:E30"/>
    <mergeCell ref="F30:G30"/>
    <mergeCell ref="H30:I30"/>
    <mergeCell ref="J30:K30"/>
    <mergeCell ref="L30:M30"/>
    <mergeCell ref="D31:E31"/>
    <mergeCell ref="F31:G31"/>
    <mergeCell ref="H31:I31"/>
    <mergeCell ref="J31:K31"/>
    <mergeCell ref="L31:M31"/>
    <mergeCell ref="D39:E39"/>
    <mergeCell ref="F39:G39"/>
    <mergeCell ref="H39:I39"/>
    <mergeCell ref="J39:K39"/>
    <mergeCell ref="L39:M39"/>
    <mergeCell ref="F44:G44"/>
    <mergeCell ref="D37:E37"/>
    <mergeCell ref="F37:G37"/>
    <mergeCell ref="H37:I37"/>
    <mergeCell ref="J37:K37"/>
    <mergeCell ref="L37:M37"/>
    <mergeCell ref="D38:E38"/>
    <mergeCell ref="F38:G38"/>
    <mergeCell ref="H38:I38"/>
    <mergeCell ref="J38:K38"/>
    <mergeCell ref="L38:M38"/>
  </mergeCells>
  <dataValidations disablePrompts="1" count="2">
    <dataValidation type="list" allowBlank="1" showErrorMessage="1" sqref="D15" xr:uid="{DEFCBA81-8588-404C-B343-48817F3FA6B8}">
      <formula1>#REF!</formula1>
    </dataValidation>
    <dataValidation type="list" allowBlank="1" showErrorMessage="1" sqref="F15 L15 J15 H15" xr:uid="{4B32D20E-CE06-49B7-81EE-419EA36B19FC}">
      <formula1>$C$8:$C$26</formula1>
    </dataValidation>
  </dataValidations>
  <pageMargins left="0.511811024" right="0.511811024" top="0.78740157499999996" bottom="0.78740157499999996" header="0" footer="0"/>
  <pageSetup paperSize="9" scale="59" fitToHeight="0"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C87D-A9D5-439C-A934-A3C18F0E77ED}">
  <sheetPr>
    <pageSetUpPr fitToPage="1"/>
  </sheetPr>
  <dimension ref="A1:AB114"/>
  <sheetViews>
    <sheetView showGridLines="0" zoomScale="85" zoomScaleNormal="85" workbookViewId="0">
      <selection activeCell="J34" sqref="J34"/>
    </sheetView>
  </sheetViews>
  <sheetFormatPr defaultColWidth="14.42578125" defaultRowHeight="15" customHeight="1" x14ac:dyDescent="0.25"/>
  <cols>
    <col min="1" max="1" width="4" style="282" customWidth="1"/>
    <col min="2" max="2" width="12.85546875" style="282" customWidth="1"/>
    <col min="3" max="4" width="6.85546875" style="282" customWidth="1"/>
    <col min="5" max="5" width="9" style="282" customWidth="1"/>
    <col min="6" max="6" width="14.42578125" style="282" customWidth="1"/>
    <col min="7" max="7" width="14.42578125" style="304" customWidth="1"/>
    <col min="8" max="8" width="26" style="282" bestFit="1" customWidth="1"/>
    <col min="9" max="10" width="15.140625" style="282" customWidth="1"/>
    <col min="11" max="11" width="15" style="282" customWidth="1"/>
    <col min="12" max="18" width="15.7109375" style="282" customWidth="1"/>
    <col min="19" max="19" width="15" style="282" customWidth="1"/>
    <col min="20" max="20" width="1.42578125" style="282" customWidth="1"/>
    <col min="21" max="16384" width="14.42578125" style="282"/>
  </cols>
  <sheetData>
    <row r="1" spans="1:28" ht="15.75" thickBot="1" x14ac:dyDescent="0.3">
      <c r="A1" s="285"/>
      <c r="B1" s="285"/>
      <c r="C1" s="285"/>
      <c r="D1" s="285"/>
      <c r="E1" s="285"/>
      <c r="F1" s="285"/>
      <c r="G1" s="306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</row>
    <row r="2" spans="1:28" ht="18.75" customHeight="1" x14ac:dyDescent="0.25">
      <c r="A2" s="285"/>
      <c r="B2" s="340" t="s">
        <v>49</v>
      </c>
      <c r="C2" s="341"/>
      <c r="D2" s="342"/>
      <c r="E2" s="328" t="s">
        <v>50</v>
      </c>
      <c r="F2" s="329"/>
      <c r="G2" s="330"/>
      <c r="H2" s="329"/>
      <c r="I2" s="329"/>
      <c r="J2" s="330"/>
      <c r="K2" s="329"/>
      <c r="L2" s="329"/>
      <c r="M2" s="329"/>
      <c r="N2" s="329"/>
      <c r="O2" s="329"/>
      <c r="P2" s="329"/>
      <c r="Q2" s="329"/>
      <c r="R2" s="329"/>
      <c r="S2" s="330"/>
      <c r="T2" s="285"/>
      <c r="V2" s="462" t="s">
        <v>263</v>
      </c>
      <c r="W2" s="463"/>
      <c r="X2" s="463"/>
      <c r="Y2" s="463"/>
      <c r="Z2" s="464"/>
    </row>
    <row r="3" spans="1:28" ht="18.75" customHeight="1" thickBot="1" x14ac:dyDescent="0.3">
      <c r="A3" s="285"/>
      <c r="B3" s="343">
        <v>0.45</v>
      </c>
      <c r="C3" s="344"/>
      <c r="D3" s="345"/>
      <c r="E3" s="331" t="s">
        <v>295</v>
      </c>
      <c r="F3" s="332"/>
      <c r="G3" s="333"/>
      <c r="H3" s="332"/>
      <c r="I3" s="332"/>
      <c r="J3" s="333"/>
      <c r="K3" s="332"/>
      <c r="L3" s="332"/>
      <c r="M3" s="332"/>
      <c r="N3" s="332"/>
      <c r="O3" s="332"/>
      <c r="P3" s="332"/>
      <c r="Q3" s="332"/>
      <c r="R3" s="332"/>
      <c r="S3" s="333"/>
      <c r="T3" s="101"/>
      <c r="V3" s="465"/>
      <c r="W3" s="466"/>
      <c r="X3" s="466"/>
      <c r="Y3" s="466"/>
      <c r="Z3" s="467"/>
    </row>
    <row r="4" spans="1:28" ht="30" customHeight="1" x14ac:dyDescent="0.25">
      <c r="A4" s="285"/>
      <c r="B4" s="339" t="s">
        <v>52</v>
      </c>
      <c r="C4" s="326" t="s">
        <v>53</v>
      </c>
      <c r="D4" s="326" t="s">
        <v>225</v>
      </c>
      <c r="E4" s="326" t="s">
        <v>54</v>
      </c>
      <c r="F4" s="458" t="s">
        <v>55</v>
      </c>
      <c r="G4" s="459"/>
      <c r="H4" s="326" t="s">
        <v>56</v>
      </c>
      <c r="I4" s="326" t="s">
        <v>57</v>
      </c>
      <c r="J4" s="284" t="s">
        <v>233</v>
      </c>
      <c r="K4" s="326" t="s">
        <v>58</v>
      </c>
      <c r="L4" s="326" t="s">
        <v>59</v>
      </c>
      <c r="M4" s="326" t="s">
        <v>60</v>
      </c>
      <c r="N4" s="326" t="s">
        <v>61</v>
      </c>
      <c r="O4" s="326" t="s">
        <v>62</v>
      </c>
      <c r="P4" s="326" t="s">
        <v>63</v>
      </c>
      <c r="Q4" s="326" t="s">
        <v>64</v>
      </c>
      <c r="R4" s="326" t="s">
        <v>65</v>
      </c>
      <c r="S4" s="326" t="s">
        <v>66</v>
      </c>
      <c r="T4" s="102"/>
      <c r="V4" s="274" t="s">
        <v>264</v>
      </c>
      <c r="W4" s="468" t="s">
        <v>259</v>
      </c>
      <c r="X4" s="275" t="s">
        <v>260</v>
      </c>
      <c r="Y4" s="468" t="s">
        <v>261</v>
      </c>
      <c r="Z4" s="468" t="s">
        <v>262</v>
      </c>
      <c r="AB4" s="468" t="s">
        <v>265</v>
      </c>
    </row>
    <row r="5" spans="1:28" ht="15.75" thickBot="1" x14ac:dyDescent="0.3">
      <c r="A5" s="285"/>
      <c r="B5" s="327"/>
      <c r="C5" s="327"/>
      <c r="D5" s="336"/>
      <c r="E5" s="327"/>
      <c r="F5" s="460"/>
      <c r="G5" s="461"/>
      <c r="H5" s="327"/>
      <c r="I5" s="327"/>
      <c r="J5" s="226">
        <v>1.4999999999999999E-2</v>
      </c>
      <c r="K5" s="327"/>
      <c r="L5" s="327"/>
      <c r="M5" s="335"/>
      <c r="N5" s="335"/>
      <c r="O5" s="335"/>
      <c r="P5" s="335"/>
      <c r="Q5" s="327"/>
      <c r="R5" s="327"/>
      <c r="S5" s="327"/>
      <c r="T5" s="102"/>
      <c r="V5" s="276">
        <v>0.05</v>
      </c>
      <c r="W5" s="469"/>
      <c r="X5" s="277">
        <v>0.23</v>
      </c>
      <c r="Y5" s="469"/>
      <c r="Z5" s="469"/>
      <c r="AB5" s="469"/>
    </row>
    <row r="6" spans="1:28" x14ac:dyDescent="0.25">
      <c r="A6" s="285"/>
      <c r="B6" s="103" t="s">
        <v>85</v>
      </c>
      <c r="C6" s="202">
        <f t="shared" ref="C6:C67" si="0">+E6*$B$3</f>
        <v>1.35</v>
      </c>
      <c r="D6" s="204" t="e">
        <f>ABS('Preço SFCR-GROWATT PHONO 450Wp'!$G$43-C6)</f>
        <v>#DIV/0!</v>
      </c>
      <c r="E6" s="105">
        <f>+'FRONIUS-BYD 335Wp'!E6</f>
        <v>3</v>
      </c>
      <c r="F6" s="112">
        <f>+IF(L6=0,"",ROUND(N6/(1-'Tabela de BDI'!$C$3),0))</f>
        <v>8803</v>
      </c>
      <c r="G6" s="112">
        <f>+ROUND(F6+(F6*'Preço SFCR-GROWATT PHONO 450Wp'!$H$44),0)</f>
        <v>9419</v>
      </c>
      <c r="H6" s="107" t="s">
        <v>196</v>
      </c>
      <c r="I6" s="106"/>
      <c r="J6" s="146">
        <v>5081.62</v>
      </c>
      <c r="K6" s="149">
        <f>+J6/(1-$J$5)</f>
        <v>5159.0050761421317</v>
      </c>
      <c r="L6" s="106">
        <f t="shared" ref="L6:L67" si="1">+I6+K6</f>
        <v>5159.0050761421317</v>
      </c>
      <c r="M6" s="106">
        <f>+'FRONIUS-BYD 335Wp'!L6</f>
        <v>2500</v>
      </c>
      <c r="N6" s="106">
        <f t="shared" ref="N6:N67" si="2">+L6+M6</f>
        <v>7659.0050761421317</v>
      </c>
      <c r="O6" s="106">
        <f>+IF(F6="","",F6*'Tabela de BDI'!$C$7)</f>
        <v>704.24</v>
      </c>
      <c r="P6" s="106">
        <f>IF(F6="","",F6*'Tabela de BDI'!$C$8)</f>
        <v>440.15000000000003</v>
      </c>
      <c r="Q6" s="109">
        <f t="shared" ref="Q6:Q67" si="3">IF(F6="","",(F6-L6)/L6)</f>
        <v>0.70633675875016244</v>
      </c>
      <c r="R6" s="110">
        <f t="shared" ref="R6:R39" si="4">IF(F6="","",(F6/C6)/1000)</f>
        <v>6.5207407407407398</v>
      </c>
      <c r="S6" s="111">
        <f>+'Tabela de BDI'!$F$9*C6</f>
        <v>162</v>
      </c>
      <c r="T6" s="102"/>
      <c r="V6" s="273">
        <f>+$V$5*L6</f>
        <v>257.95025380710661</v>
      </c>
      <c r="W6" s="273">
        <f>+M6+V6</f>
        <v>2757.9502538071065</v>
      </c>
      <c r="X6" s="273">
        <f>+(W6/(1-$X$5))-W6</f>
        <v>823.80332256575912</v>
      </c>
      <c r="Y6" s="273">
        <f>+W6+X6</f>
        <v>3581.7535763728656</v>
      </c>
      <c r="Z6" s="273">
        <f>IF(L6=0,"",Y6+L6)</f>
        <v>8740.7586525149964</v>
      </c>
      <c r="AB6" s="278">
        <f>+IF(F6="","",(F6-Z6)/F6)</f>
        <v>7.0704700085202363E-3</v>
      </c>
    </row>
    <row r="7" spans="1:28" x14ac:dyDescent="0.25">
      <c r="A7" s="285"/>
      <c r="B7" s="103" t="s">
        <v>85</v>
      </c>
      <c r="C7" s="202">
        <f t="shared" si="0"/>
        <v>1.8</v>
      </c>
      <c r="D7" s="204" t="e">
        <f>ABS('Preço SFCR-GROWATT PHONO 450Wp'!$G$43-C7)</f>
        <v>#DIV/0!</v>
      </c>
      <c r="E7" s="105">
        <f>+'FRONIUS-BYD 335Wp'!E7</f>
        <v>4</v>
      </c>
      <c r="F7" s="112">
        <f>+IF(L7=0,"",ROUND(N7/(1-'Tabela de BDI'!$C$3),0))</f>
        <v>10005</v>
      </c>
      <c r="G7" s="112">
        <f>+ROUND(F7+(F7*'Preço SFCR-GROWATT PHONO 450Wp'!$H$44),0)</f>
        <v>10705</v>
      </c>
      <c r="H7" s="147" t="s">
        <v>196</v>
      </c>
      <c r="I7" s="106"/>
      <c r="J7" s="146">
        <v>5987.82</v>
      </c>
      <c r="K7" s="149">
        <f t="shared" ref="K7:K67" si="5">+J7/(1-$J$5)</f>
        <v>6079.0050761421317</v>
      </c>
      <c r="L7" s="106">
        <f t="shared" si="1"/>
        <v>6079.0050761421317</v>
      </c>
      <c r="M7" s="106">
        <f>+'FRONIUS-BYD 335Wp'!L7</f>
        <v>2625</v>
      </c>
      <c r="N7" s="106">
        <f t="shared" si="2"/>
        <v>8704.0050761421317</v>
      </c>
      <c r="O7" s="106">
        <f>+IF(F7="","",F7*'Tabela de BDI'!$C$7)</f>
        <v>800.4</v>
      </c>
      <c r="P7" s="106">
        <f>IF(F7="","",F7*'Tabela de BDI'!$C$8)</f>
        <v>500.25</v>
      </c>
      <c r="Q7" s="109">
        <f t="shared" si="3"/>
        <v>0.64582853191979728</v>
      </c>
      <c r="R7" s="110">
        <f t="shared" si="4"/>
        <v>5.5583333333333327</v>
      </c>
      <c r="S7" s="111">
        <f>+'Tabela de BDI'!$F$9*C7</f>
        <v>216</v>
      </c>
      <c r="T7" s="102"/>
      <c r="V7" s="273">
        <f>+$V$5*L7</f>
        <v>303.95025380710661</v>
      </c>
      <c r="W7" s="273">
        <f>+M7+V7</f>
        <v>2928.9502538071065</v>
      </c>
      <c r="X7" s="273">
        <f>+(W7/(1-$X$5))-W7</f>
        <v>874.88124464368093</v>
      </c>
      <c r="Y7" s="273">
        <f>+W7+X7</f>
        <v>3803.8314984507874</v>
      </c>
      <c r="Z7" s="273">
        <f t="shared" ref="Z7:Z69" si="6">IF(L7=0,"",Y7+L7)</f>
        <v>9882.8365745929186</v>
      </c>
      <c r="AB7" s="278">
        <f t="shared" ref="AB7:AB69" si="7">+IF(F7="","",(F7-Z7)/F7)</f>
        <v>1.2210237421997139E-2</v>
      </c>
    </row>
    <row r="8" spans="1:28" x14ac:dyDescent="0.25">
      <c r="A8" s="285"/>
      <c r="B8" s="103" t="s">
        <v>85</v>
      </c>
      <c r="C8" s="202">
        <f t="shared" si="0"/>
        <v>2.25</v>
      </c>
      <c r="D8" s="204" t="e">
        <f>ABS('Preço SFCR-GROWATT PHONO 450Wp'!$G$43-C8)</f>
        <v>#DIV/0!</v>
      </c>
      <c r="E8" s="105">
        <f>+'FRONIUS-BYD 335Wp'!E8</f>
        <v>5</v>
      </c>
      <c r="F8" s="112">
        <f>+IF(L8=0,"",ROUND(N8/(1-'Tabela de BDI'!$C$3),0))</f>
        <v>11734</v>
      </c>
      <c r="G8" s="112">
        <f>+ROUND(F8+(F8*'Preço SFCR-GROWATT PHONO 450Wp'!$H$44),0)</f>
        <v>12555</v>
      </c>
      <c r="H8" s="107" t="s">
        <v>197</v>
      </c>
      <c r="I8" s="106"/>
      <c r="J8" s="146">
        <v>7347.12</v>
      </c>
      <c r="K8" s="149">
        <f t="shared" si="5"/>
        <v>7459.0050761421317</v>
      </c>
      <c r="L8" s="106">
        <f t="shared" si="1"/>
        <v>7459.0050761421317</v>
      </c>
      <c r="M8" s="106">
        <f>+'FRONIUS-BYD 335Wp'!L8</f>
        <v>2750</v>
      </c>
      <c r="N8" s="106">
        <f t="shared" si="2"/>
        <v>10209.005076142132</v>
      </c>
      <c r="O8" s="106">
        <f>+IF(F8="","",F8*'Tabela de BDI'!$C$7)</f>
        <v>938.72</v>
      </c>
      <c r="P8" s="106">
        <f>IF(F8="","",F8*'Tabela de BDI'!$C$8)</f>
        <v>586.70000000000005</v>
      </c>
      <c r="Q8" s="109">
        <f t="shared" si="3"/>
        <v>0.57313205718703386</v>
      </c>
      <c r="R8" s="110">
        <f t="shared" si="4"/>
        <v>5.2151111111111117</v>
      </c>
      <c r="S8" s="111">
        <f>+'Tabela de BDI'!$F$9*C8</f>
        <v>270</v>
      </c>
      <c r="T8" s="102"/>
      <c r="V8" s="273">
        <f t="shared" ref="V8:V69" si="8">+$V$5*L8</f>
        <v>372.95025380710661</v>
      </c>
      <c r="W8" s="273">
        <f t="shared" ref="W8:W69" si="9">+M8+V8</f>
        <v>3122.9502538071065</v>
      </c>
      <c r="X8" s="273">
        <f t="shared" ref="X8:X69" si="10">+(W8/(1-$X$5))-W8</f>
        <v>932.82929659173305</v>
      </c>
      <c r="Y8" s="273">
        <f t="shared" ref="Y8:Y69" si="11">+W8+X8</f>
        <v>4055.7795503988395</v>
      </c>
      <c r="Z8" s="273">
        <f t="shared" si="6"/>
        <v>11514.784626540972</v>
      </c>
      <c r="AB8" s="278">
        <f t="shared" si="7"/>
        <v>1.8682066938727489E-2</v>
      </c>
    </row>
    <row r="9" spans="1:28" x14ac:dyDescent="0.25">
      <c r="A9" s="285"/>
      <c r="B9" s="103" t="s">
        <v>85</v>
      </c>
      <c r="C9" s="202">
        <f t="shared" si="0"/>
        <v>2.7</v>
      </c>
      <c r="D9" s="204" t="e">
        <f>ABS('Preço SFCR-GROWATT PHONO 450Wp'!$G$43-C9)</f>
        <v>#DIV/0!</v>
      </c>
      <c r="E9" s="105">
        <f>+'FRONIUS-BYD 335Wp'!E9</f>
        <v>6</v>
      </c>
      <c r="F9" s="112">
        <f>+IF(L9=0,"",ROUND(N9/(1-'Tabela de BDI'!$C$3),0))</f>
        <v>13028</v>
      </c>
      <c r="G9" s="112">
        <f>+ROUND(F9+(F9*'Preço SFCR-GROWATT PHONO 450Wp'!$H$44),0)</f>
        <v>13940</v>
      </c>
      <c r="H9" s="156" t="s">
        <v>216</v>
      </c>
      <c r="I9" s="106"/>
      <c r="J9" s="146">
        <v>8332.1200000000008</v>
      </c>
      <c r="K9" s="149">
        <f t="shared" si="5"/>
        <v>8459.0050761421335</v>
      </c>
      <c r="L9" s="106">
        <f t="shared" si="1"/>
        <v>8459.0050761421335</v>
      </c>
      <c r="M9" s="106">
        <f>+'FRONIUS-BYD 335Wp'!L9</f>
        <v>2875</v>
      </c>
      <c r="N9" s="106">
        <f t="shared" si="2"/>
        <v>11334.005076142133</v>
      </c>
      <c r="O9" s="106">
        <f>+IF(F9="","",F9*'Tabela de BDI'!$C$7)</f>
        <v>1042.24</v>
      </c>
      <c r="P9" s="106">
        <f>IF(F9="","",F9*'Tabela de BDI'!$C$8)</f>
        <v>651.40000000000009</v>
      </c>
      <c r="Q9" s="109">
        <f t="shared" si="3"/>
        <v>0.54013384348761151</v>
      </c>
      <c r="R9" s="110">
        <f t="shared" si="4"/>
        <v>4.8251851851851848</v>
      </c>
      <c r="S9" s="111">
        <f>+'Tabela de BDI'!$F$9*C9</f>
        <v>324</v>
      </c>
      <c r="T9" s="102"/>
      <c r="V9" s="273">
        <f t="shared" si="8"/>
        <v>422.95025380710672</v>
      </c>
      <c r="W9" s="273">
        <f t="shared" si="9"/>
        <v>3297.9502538071065</v>
      </c>
      <c r="X9" s="273">
        <f t="shared" si="10"/>
        <v>985.10202386446053</v>
      </c>
      <c r="Y9" s="273">
        <f t="shared" si="11"/>
        <v>4283.052277671567</v>
      </c>
      <c r="Z9" s="273">
        <f t="shared" si="6"/>
        <v>12742.0573538137</v>
      </c>
      <c r="AB9" s="278">
        <f t="shared" si="7"/>
        <v>2.1948314874600892E-2</v>
      </c>
    </row>
    <row r="10" spans="1:28" x14ac:dyDescent="0.25">
      <c r="A10" s="285"/>
      <c r="B10" s="103" t="s">
        <v>85</v>
      </c>
      <c r="C10" s="202">
        <f t="shared" si="0"/>
        <v>3.15</v>
      </c>
      <c r="D10" s="204" t="e">
        <f>ABS('Preço SFCR-GROWATT PHONO 450Wp'!$G$43-C10)</f>
        <v>#DIV/0!</v>
      </c>
      <c r="E10" s="105">
        <f>+'FRONIUS-BYD 335Wp'!E10</f>
        <v>7</v>
      </c>
      <c r="F10" s="112">
        <f>+IF(L10=0,"",ROUND(N10/(1-'Tabela de BDI'!$C$3),0))</f>
        <v>14229</v>
      </c>
      <c r="G10" s="112">
        <f>+ROUND(F10+(F10*'Preço SFCR-GROWATT PHONO 450Wp'!$H$44),0)</f>
        <v>15225</v>
      </c>
      <c r="H10" s="156" t="s">
        <v>216</v>
      </c>
      <c r="I10" s="106"/>
      <c r="J10" s="146">
        <v>9238.32</v>
      </c>
      <c r="K10" s="149">
        <f t="shared" si="5"/>
        <v>9379.0050761421317</v>
      </c>
      <c r="L10" s="106">
        <f t="shared" si="1"/>
        <v>9379.0050761421317</v>
      </c>
      <c r="M10" s="106">
        <f>+'FRONIUS-BYD 335Wp'!L10</f>
        <v>3000</v>
      </c>
      <c r="N10" s="106">
        <f t="shared" si="2"/>
        <v>12379.005076142132</v>
      </c>
      <c r="O10" s="106">
        <f>+IF(F10="","",F10*'Tabela de BDI'!$C$7)</f>
        <v>1138.32</v>
      </c>
      <c r="P10" s="106">
        <f>IF(F10="","",F10*'Tabela de BDI'!$C$8)</f>
        <v>711.45</v>
      </c>
      <c r="Q10" s="109">
        <f t="shared" si="3"/>
        <v>0.51711187748421794</v>
      </c>
      <c r="R10" s="110">
        <f t="shared" si="4"/>
        <v>4.5171428571428569</v>
      </c>
      <c r="S10" s="111">
        <f>+'Tabela de BDI'!$F$9*C10</f>
        <v>378</v>
      </c>
      <c r="T10" s="102"/>
      <c r="V10" s="273">
        <f t="shared" si="8"/>
        <v>468.95025380710661</v>
      </c>
      <c r="W10" s="273">
        <f t="shared" si="9"/>
        <v>3468.9502538071065</v>
      </c>
      <c r="X10" s="273">
        <f t="shared" si="10"/>
        <v>1036.1799459423828</v>
      </c>
      <c r="Y10" s="273">
        <f t="shared" si="11"/>
        <v>4505.1301997494893</v>
      </c>
      <c r="Z10" s="273">
        <f t="shared" si="6"/>
        <v>13884.135275891622</v>
      </c>
      <c r="AB10" s="278">
        <f t="shared" si="7"/>
        <v>2.4236750587418521E-2</v>
      </c>
    </row>
    <row r="11" spans="1:28" x14ac:dyDescent="0.25">
      <c r="A11" s="285"/>
      <c r="B11" s="103" t="s">
        <v>85</v>
      </c>
      <c r="C11" s="202">
        <f t="shared" si="0"/>
        <v>3.6</v>
      </c>
      <c r="D11" s="204" t="e">
        <f>ABS('Preço SFCR-GROWATT PHONO 450Wp'!$G$43-C11)</f>
        <v>#DIV/0!</v>
      </c>
      <c r="E11" s="105">
        <f>+'FRONIUS-BYD 335Wp'!E11</f>
        <v>8</v>
      </c>
      <c r="F11" s="112">
        <f>+IF(L11=0,"",ROUND(N11/(1-'Tabela de BDI'!$C$3),0))</f>
        <v>15614</v>
      </c>
      <c r="G11" s="112">
        <f>+ROUND(F11+(F11*'Preço SFCR-GROWATT PHONO 450Wp'!$H$44),0)</f>
        <v>16707</v>
      </c>
      <c r="H11" s="156" t="s">
        <v>217</v>
      </c>
      <c r="I11" s="106"/>
      <c r="J11" s="169">
        <v>10302.120000000001</v>
      </c>
      <c r="K11" s="149">
        <f t="shared" si="5"/>
        <v>10459.005076142133</v>
      </c>
      <c r="L11" s="106">
        <f t="shared" si="1"/>
        <v>10459.005076142133</v>
      </c>
      <c r="M11" s="106">
        <f>+'FRONIUS-BYD 335Wp'!L11</f>
        <v>3125</v>
      </c>
      <c r="N11" s="106">
        <f t="shared" si="2"/>
        <v>13584.005076142133</v>
      </c>
      <c r="O11" s="106">
        <f>+IF(F11="","",F11*'Tabela de BDI'!$C$7)</f>
        <v>1249.1200000000001</v>
      </c>
      <c r="P11" s="106">
        <f>IF(F11="","",F11*'Tabela de BDI'!$C$8)</f>
        <v>780.7</v>
      </c>
      <c r="Q11" s="109">
        <f t="shared" si="3"/>
        <v>0.49287622353457328</v>
      </c>
      <c r="R11" s="110">
        <f t="shared" si="4"/>
        <v>4.3372222222222216</v>
      </c>
      <c r="S11" s="111">
        <f>+'Tabela de BDI'!$F$9*C11</f>
        <v>432</v>
      </c>
      <c r="T11" s="102"/>
      <c r="V11" s="273">
        <f t="shared" si="8"/>
        <v>522.95025380710672</v>
      </c>
      <c r="W11" s="273">
        <f t="shared" si="9"/>
        <v>3647.9502538071065</v>
      </c>
      <c r="X11" s="273">
        <f t="shared" si="10"/>
        <v>1089.6474784099146</v>
      </c>
      <c r="Y11" s="273">
        <f t="shared" si="11"/>
        <v>4737.5977322170211</v>
      </c>
      <c r="Z11" s="273">
        <f t="shared" si="6"/>
        <v>15196.602808359155</v>
      </c>
      <c r="AB11" s="278">
        <f t="shared" si="7"/>
        <v>2.6732239761806362E-2</v>
      </c>
    </row>
    <row r="12" spans="1:28" x14ac:dyDescent="0.25">
      <c r="A12" s="285"/>
      <c r="B12" s="103" t="s">
        <v>85</v>
      </c>
      <c r="C12" s="202">
        <f t="shared" si="0"/>
        <v>4.05</v>
      </c>
      <c r="D12" s="204" t="e">
        <f>ABS('Preço SFCR-GROWATT PHONO 450Wp'!$G$43-C12)</f>
        <v>#DIV/0!</v>
      </c>
      <c r="E12" s="105">
        <f>+'FRONIUS-BYD 335Wp'!E12</f>
        <v>9</v>
      </c>
      <c r="F12" s="112">
        <f>+IF(L12=0,"",ROUND(N12/(1-'Tabela de BDI'!$C$3),0))</f>
        <v>17206</v>
      </c>
      <c r="G12" s="112">
        <f>+ROUND(F12+(F12*'Preço SFCR-GROWATT PHONO 450Wp'!$H$44),0)</f>
        <v>18410</v>
      </c>
      <c r="H12" s="156" t="s">
        <v>217</v>
      </c>
      <c r="I12" s="106"/>
      <c r="J12" s="146">
        <v>11543.22</v>
      </c>
      <c r="K12" s="149">
        <f t="shared" si="5"/>
        <v>11719.005076142132</v>
      </c>
      <c r="L12" s="106">
        <f t="shared" si="1"/>
        <v>11719.005076142132</v>
      </c>
      <c r="M12" s="106">
        <f>+'FRONIUS-BYD 335Wp'!L12</f>
        <v>3250</v>
      </c>
      <c r="N12" s="106">
        <f t="shared" si="2"/>
        <v>14969.005076142132</v>
      </c>
      <c r="O12" s="106">
        <f>+IF(F12="","",F12*'Tabela de BDI'!$C$7)</f>
        <v>1376.48</v>
      </c>
      <c r="P12" s="106">
        <f>IF(F12="","",F12*'Tabela de BDI'!$C$8)</f>
        <v>860.30000000000007</v>
      </c>
      <c r="Q12" s="109">
        <f t="shared" si="3"/>
        <v>0.46821337547062264</v>
      </c>
      <c r="R12" s="110">
        <f t="shared" si="4"/>
        <v>4.2483950617283952</v>
      </c>
      <c r="S12" s="111">
        <f>+'Tabela de BDI'!$F$9*C12</f>
        <v>486</v>
      </c>
      <c r="T12" s="102"/>
      <c r="V12" s="273">
        <f t="shared" si="8"/>
        <v>585.95025380710661</v>
      </c>
      <c r="W12" s="273">
        <f t="shared" si="9"/>
        <v>3835.9502538071065</v>
      </c>
      <c r="X12" s="273">
        <f t="shared" si="10"/>
        <v>1145.8033225657591</v>
      </c>
      <c r="Y12" s="273">
        <f t="shared" si="11"/>
        <v>4981.7535763728656</v>
      </c>
      <c r="Z12" s="273">
        <f t="shared" si="6"/>
        <v>16700.758652514996</v>
      </c>
      <c r="AB12" s="278">
        <f t="shared" si="7"/>
        <v>2.9364253602522587E-2</v>
      </c>
    </row>
    <row r="13" spans="1:28" x14ac:dyDescent="0.25">
      <c r="A13" s="285"/>
      <c r="B13" s="103" t="s">
        <v>85</v>
      </c>
      <c r="C13" s="202">
        <f t="shared" si="0"/>
        <v>4.5</v>
      </c>
      <c r="D13" s="204" t="e">
        <f>ABS('Preço SFCR-GROWATT PHONO 450Wp'!$G$43-C13)</f>
        <v>#DIV/0!</v>
      </c>
      <c r="E13" s="105">
        <f>+'FRONIUS-BYD 335Wp'!E13</f>
        <v>10</v>
      </c>
      <c r="F13" s="112">
        <f>+IF(L13=0,"",ROUND(N13/(1-'Tabela de BDI'!$C$3),0))</f>
        <v>20533</v>
      </c>
      <c r="G13" s="112">
        <f>+ROUND(F13+(F13*'Preço SFCR-GROWATT PHONO 450Wp'!$H$44),0)</f>
        <v>21970</v>
      </c>
      <c r="H13" s="107" t="s">
        <v>80</v>
      </c>
      <c r="I13" s="157"/>
      <c r="J13" s="170">
        <v>14271.67</v>
      </c>
      <c r="K13" s="149">
        <f t="shared" si="5"/>
        <v>14489.005076142132</v>
      </c>
      <c r="L13" s="106">
        <f t="shared" si="1"/>
        <v>14489.005076142132</v>
      </c>
      <c r="M13" s="106">
        <f>+'FRONIUS-BYD 335Wp'!L13</f>
        <v>3375</v>
      </c>
      <c r="N13" s="106">
        <f t="shared" si="2"/>
        <v>17864.00507614213</v>
      </c>
      <c r="O13" s="106">
        <f>+IF(F13="","",F13*'Tabela de BDI'!$C$7)</f>
        <v>1642.64</v>
      </c>
      <c r="P13" s="106">
        <f>IF(F13="","",F13*'Tabela de BDI'!$C$8)</f>
        <v>1026.6500000000001</v>
      </c>
      <c r="Q13" s="109">
        <f t="shared" si="3"/>
        <v>0.41714354381792745</v>
      </c>
      <c r="R13" s="110">
        <f t="shared" si="4"/>
        <v>4.5628888888888888</v>
      </c>
      <c r="S13" s="111">
        <f>+'Tabela de BDI'!$F$9*C13</f>
        <v>540</v>
      </c>
      <c r="T13" s="114"/>
      <c r="V13" s="273">
        <f t="shared" si="8"/>
        <v>724.45025380710661</v>
      </c>
      <c r="W13" s="273">
        <f t="shared" si="9"/>
        <v>4099.4502538071065</v>
      </c>
      <c r="X13" s="273">
        <f t="shared" si="10"/>
        <v>1224.5111147735515</v>
      </c>
      <c r="Y13" s="273">
        <f t="shared" si="11"/>
        <v>5323.961368580658</v>
      </c>
      <c r="Z13" s="273">
        <f t="shared" si="6"/>
        <v>19812.966444722791</v>
      </c>
      <c r="AB13" s="278">
        <f t="shared" si="7"/>
        <v>3.5067138522242657E-2</v>
      </c>
    </row>
    <row r="14" spans="1:28" x14ac:dyDescent="0.25">
      <c r="A14" s="285"/>
      <c r="B14" s="103" t="s">
        <v>85</v>
      </c>
      <c r="C14" s="202">
        <f t="shared" si="0"/>
        <v>4.95</v>
      </c>
      <c r="D14" s="204" t="e">
        <f>ABS('Preço SFCR-GROWATT PHONO 450Wp'!$G$43-C14)</f>
        <v>#DIV/0!</v>
      </c>
      <c r="E14" s="105">
        <f>+'FRONIUS-BYD 335Wp'!E14</f>
        <v>11</v>
      </c>
      <c r="F14" s="112">
        <f>+IF(L14=0,"",ROUND(N14/(1-'Tabela de BDI'!$C$3),0))</f>
        <v>21826</v>
      </c>
      <c r="G14" s="112">
        <f>+ROUND(F14+(F14*'Preço SFCR-GROWATT PHONO 450Wp'!$H$44),0)</f>
        <v>23354</v>
      </c>
      <c r="H14" s="107" t="s">
        <v>80</v>
      </c>
      <c r="I14" s="106"/>
      <c r="J14" s="317">
        <v>15256.67</v>
      </c>
      <c r="K14" s="149">
        <f t="shared" si="5"/>
        <v>15489.005076142132</v>
      </c>
      <c r="L14" s="106">
        <f t="shared" si="1"/>
        <v>15489.005076142132</v>
      </c>
      <c r="M14" s="106">
        <f>+'FRONIUS-BYD 335Wp'!L14</f>
        <v>3500</v>
      </c>
      <c r="N14" s="106">
        <f t="shared" si="2"/>
        <v>18989.00507614213</v>
      </c>
      <c r="O14" s="106">
        <f>+IF(F14="","",F14*'Tabela de BDI'!$C$7)</f>
        <v>1746.08</v>
      </c>
      <c r="P14" s="106">
        <f>IF(F14="","",F14*'Tabela de BDI'!$C$8)</f>
        <v>1091.3</v>
      </c>
      <c r="Q14" s="109">
        <f t="shared" si="3"/>
        <v>0.40912859752488584</v>
      </c>
      <c r="R14" s="110">
        <f t="shared" si="4"/>
        <v>4.4092929292929295</v>
      </c>
      <c r="S14" s="111">
        <f>+'Tabela de BDI'!$F$9*C14</f>
        <v>594</v>
      </c>
      <c r="T14" s="114"/>
      <c r="V14" s="273">
        <f t="shared" si="8"/>
        <v>774.45025380710661</v>
      </c>
      <c r="W14" s="273">
        <f t="shared" si="9"/>
        <v>4274.4502538071065</v>
      </c>
      <c r="X14" s="273">
        <f t="shared" si="10"/>
        <v>1276.7838420462786</v>
      </c>
      <c r="Y14" s="273">
        <f t="shared" si="11"/>
        <v>5551.234095853385</v>
      </c>
      <c r="Z14" s="273">
        <f t="shared" si="6"/>
        <v>21040.239171995516</v>
      </c>
      <c r="AB14" s="278">
        <f t="shared" si="7"/>
        <v>3.6001137542586097E-2</v>
      </c>
    </row>
    <row r="15" spans="1:28" x14ac:dyDescent="0.25">
      <c r="A15" s="285"/>
      <c r="B15" s="103" t="s">
        <v>85</v>
      </c>
      <c r="C15" s="202">
        <f t="shared" si="0"/>
        <v>5.4</v>
      </c>
      <c r="D15" s="204" t="e">
        <f>ABS('Preço SFCR-GROWATT PHONO 450Wp'!$G$43-C15)</f>
        <v>#DIV/0!</v>
      </c>
      <c r="E15" s="105">
        <f>+'FRONIUS-BYD 335Wp'!E15</f>
        <v>12</v>
      </c>
      <c r="F15" s="112">
        <f>+IF(L15=0,"",ROUND(N15/(1-'Tabela de BDI'!$C$3),0))</f>
        <v>23039</v>
      </c>
      <c r="G15" s="112">
        <f>+ROUND(F15+(F15*'Preço SFCR-GROWATT PHONO 450Wp'!$H$44),0)</f>
        <v>24652</v>
      </c>
      <c r="H15" s="107" t="s">
        <v>80</v>
      </c>
      <c r="I15" s="106"/>
      <c r="J15" s="148">
        <v>16172.72</v>
      </c>
      <c r="K15" s="149">
        <f t="shared" si="5"/>
        <v>16419.00507614213</v>
      </c>
      <c r="L15" s="106">
        <f t="shared" si="1"/>
        <v>16419.00507614213</v>
      </c>
      <c r="M15" s="106">
        <f>+'FRONIUS-BYD 335Wp'!L15</f>
        <v>3625</v>
      </c>
      <c r="N15" s="106">
        <f t="shared" si="2"/>
        <v>20044.00507614213</v>
      </c>
      <c r="O15" s="106">
        <f>+IF(F15="","",F15*'Tabela de BDI'!$C$7)</f>
        <v>1843.1200000000001</v>
      </c>
      <c r="P15" s="106">
        <f>IF(F15="","",F15*'Tabela de BDI'!$C$8)</f>
        <v>1151.95</v>
      </c>
      <c r="Q15" s="109">
        <f t="shared" si="3"/>
        <v>0.40319099075480208</v>
      </c>
      <c r="R15" s="110">
        <f t="shared" si="4"/>
        <v>4.2664814814814811</v>
      </c>
      <c r="S15" s="111">
        <f>+'Tabela de BDI'!$F$9*C15</f>
        <v>648</v>
      </c>
      <c r="T15" s="114"/>
      <c r="V15" s="273">
        <f t="shared" si="8"/>
        <v>820.95025380710649</v>
      </c>
      <c r="W15" s="273">
        <f t="shared" si="9"/>
        <v>4445.9502538071065</v>
      </c>
      <c r="X15" s="273">
        <f t="shared" si="10"/>
        <v>1328.0111147735515</v>
      </c>
      <c r="Y15" s="273">
        <f t="shared" si="11"/>
        <v>5773.961368580658</v>
      </c>
      <c r="Z15" s="273">
        <f t="shared" si="6"/>
        <v>22192.966444722788</v>
      </c>
      <c r="AB15" s="278">
        <f t="shared" si="7"/>
        <v>3.6721800220374676E-2</v>
      </c>
    </row>
    <row r="16" spans="1:28" x14ac:dyDescent="0.25">
      <c r="A16" s="285"/>
      <c r="B16" s="103" t="s">
        <v>85</v>
      </c>
      <c r="C16" s="202">
        <f t="shared" ref="C16" si="12">+E16*$B$3</f>
        <v>5.8500000000000005</v>
      </c>
      <c r="D16" s="204" t="e">
        <f>ABS('Preço SFCR-GROWATT PHONO 450Wp'!$G$43-C16)</f>
        <v>#DIV/0!</v>
      </c>
      <c r="E16" s="105">
        <f>+'FRONIUS-BYD 335Wp'!E16</f>
        <v>13</v>
      </c>
      <c r="F16" s="112">
        <f>+IF(L16=0,"",ROUND(N16/(1-'Tabela de BDI'!$C$3),0))</f>
        <v>24643</v>
      </c>
      <c r="G16" s="112">
        <f>+ROUND(F16+(F16*'Preço SFCR-GROWATT PHONO 450Wp'!$H$44),0)</f>
        <v>26368</v>
      </c>
      <c r="H16" s="107" t="s">
        <v>80</v>
      </c>
      <c r="I16" s="106"/>
      <c r="J16" s="148">
        <v>17423.669999999998</v>
      </c>
      <c r="K16" s="149">
        <f t="shared" ref="K16" si="13">+J16/(1-$J$5)</f>
        <v>17689.00507614213</v>
      </c>
      <c r="L16" s="106">
        <f t="shared" ref="L16" si="14">+I16+K16</f>
        <v>17689.00507614213</v>
      </c>
      <c r="M16" s="106">
        <f>+'FRONIUS-BYD 335Wp'!L16</f>
        <v>3750</v>
      </c>
      <c r="N16" s="106">
        <f t="shared" ref="N16" si="15">+L16+M16</f>
        <v>21439.00507614213</v>
      </c>
      <c r="O16" s="106">
        <f>+IF(F16="","",F16*'Tabela de BDI'!$C$7)</f>
        <v>1971.44</v>
      </c>
      <c r="P16" s="106">
        <f>IF(F16="","",F16*'Tabela de BDI'!$C$8)</f>
        <v>1232.1500000000001</v>
      </c>
      <c r="Q16" s="109">
        <f t="shared" ref="Q16" si="16">IF(F16="","",(F16-L16)/L16)</f>
        <v>0.3931252715415296</v>
      </c>
      <c r="R16" s="110">
        <f t="shared" si="4"/>
        <v>4.2124786324786321</v>
      </c>
      <c r="S16" s="111">
        <f>+'Tabela de BDI'!$F$9*C16</f>
        <v>702.00000000000011</v>
      </c>
      <c r="T16" s="114"/>
      <c r="V16" s="273"/>
      <c r="W16" s="273"/>
      <c r="X16" s="273"/>
      <c r="Y16" s="273"/>
      <c r="Z16" s="273"/>
      <c r="AB16" s="278"/>
    </row>
    <row r="17" spans="1:28" x14ac:dyDescent="0.25">
      <c r="A17" s="285"/>
      <c r="B17" s="103" t="s">
        <v>85</v>
      </c>
      <c r="C17" s="202">
        <f t="shared" si="0"/>
        <v>6.3</v>
      </c>
      <c r="D17" s="204" t="e">
        <f>ABS('Preço SFCR-GROWATT PHONO 450Wp'!$G$43-C17)</f>
        <v>#DIV/0!</v>
      </c>
      <c r="E17" s="105">
        <f>+'FRONIUS-BYD 335Wp'!E17</f>
        <v>14</v>
      </c>
      <c r="F17" s="112">
        <f>+IF(L17=0,"",ROUND(N17/(1-'Tabela de BDI'!$C$3),0))</f>
        <v>25867</v>
      </c>
      <c r="G17" s="112">
        <f>+ROUND(F17+(F17*'Preço SFCR-GROWATT PHONO 450Wp'!$H$44),0)</f>
        <v>27678</v>
      </c>
      <c r="H17" s="107" t="s">
        <v>80</v>
      </c>
      <c r="I17" s="106"/>
      <c r="J17" s="148">
        <v>18349.57</v>
      </c>
      <c r="K17" s="149">
        <f t="shared" si="5"/>
        <v>18629.005076142133</v>
      </c>
      <c r="L17" s="106">
        <f t="shared" si="1"/>
        <v>18629.005076142133</v>
      </c>
      <c r="M17" s="106">
        <f>+'FRONIUS-BYD 335Wp'!L17</f>
        <v>3875</v>
      </c>
      <c r="N17" s="106">
        <f t="shared" si="2"/>
        <v>22504.005076142133</v>
      </c>
      <c r="O17" s="106">
        <f>+IF(F17="","",F17*'Tabela de BDI'!$C$7)</f>
        <v>2069.36</v>
      </c>
      <c r="P17" s="106">
        <f>IF(F17="","",F17*'Tabela de BDI'!$C$8)</f>
        <v>1293.3500000000001</v>
      </c>
      <c r="Q17" s="109">
        <f t="shared" si="3"/>
        <v>0.38853362776348427</v>
      </c>
      <c r="R17" s="110">
        <f t="shared" si="4"/>
        <v>4.1058730158730157</v>
      </c>
      <c r="S17" s="111">
        <f>+'Tabela de BDI'!$F$9*C17</f>
        <v>756</v>
      </c>
      <c r="T17" s="114"/>
      <c r="V17" s="273">
        <f t="shared" si="8"/>
        <v>931.45025380710672</v>
      </c>
      <c r="W17" s="273">
        <f t="shared" si="9"/>
        <v>4806.4502538071065</v>
      </c>
      <c r="X17" s="273">
        <f t="shared" si="10"/>
        <v>1435.6929329553695</v>
      </c>
      <c r="Y17" s="273">
        <f t="shared" si="11"/>
        <v>6242.143186762476</v>
      </c>
      <c r="Z17" s="273">
        <f t="shared" si="6"/>
        <v>24871.148262904608</v>
      </c>
      <c r="AB17" s="278">
        <f t="shared" si="7"/>
        <v>3.8498926705663288E-2</v>
      </c>
    </row>
    <row r="18" spans="1:28" x14ac:dyDescent="0.25">
      <c r="A18" s="285"/>
      <c r="B18" s="103" t="s">
        <v>85</v>
      </c>
      <c r="C18" s="202">
        <f t="shared" si="0"/>
        <v>6.75</v>
      </c>
      <c r="D18" s="204" t="e">
        <f>ABS('Preço SFCR-GROWATT PHONO 450Wp'!$G$43-C18)</f>
        <v>#DIV/0!</v>
      </c>
      <c r="E18" s="105">
        <f>+'FRONIUS-BYD 335Wp'!E18</f>
        <v>15</v>
      </c>
      <c r="F18" s="112">
        <f>+IF(L18=0,"",ROUND(N18/(1-'Tabela de BDI'!$C$3),0))</f>
        <v>27470</v>
      </c>
      <c r="G18" s="112">
        <f>+ROUND(F18+(F18*'Preço SFCR-GROWATT PHONO 450Wp'!$H$44),0)</f>
        <v>29393</v>
      </c>
      <c r="H18" s="230" t="s">
        <v>81</v>
      </c>
      <c r="I18" s="106"/>
      <c r="J18" s="148">
        <v>19600.52</v>
      </c>
      <c r="K18" s="149">
        <f t="shared" si="5"/>
        <v>19899.005076142133</v>
      </c>
      <c r="L18" s="106">
        <f t="shared" si="1"/>
        <v>19899.005076142133</v>
      </c>
      <c r="M18" s="106">
        <f>+'FRONIUS-BYD 335Wp'!L18</f>
        <v>4000</v>
      </c>
      <c r="N18" s="106">
        <f t="shared" si="2"/>
        <v>23899.005076142133</v>
      </c>
      <c r="O18" s="106">
        <f>+IF(F18="","",F18*'Tabela de BDI'!$C$7)</f>
        <v>2197.6</v>
      </c>
      <c r="P18" s="106">
        <f>IF(F18="","",F18*'Tabela de BDI'!$C$8)</f>
        <v>1373.5</v>
      </c>
      <c r="Q18" s="109">
        <f t="shared" si="3"/>
        <v>0.38047102831965673</v>
      </c>
      <c r="R18" s="110">
        <f t="shared" si="4"/>
        <v>4.0696296296296293</v>
      </c>
      <c r="S18" s="111">
        <f>+'Tabela de BDI'!$F$9*C18</f>
        <v>810</v>
      </c>
      <c r="T18" s="114"/>
      <c r="V18" s="273">
        <f t="shared" si="8"/>
        <v>994.95025380710672</v>
      </c>
      <c r="W18" s="273">
        <f t="shared" si="9"/>
        <v>4994.9502538071065</v>
      </c>
      <c r="X18" s="273">
        <f t="shared" si="10"/>
        <v>1491.9981277605639</v>
      </c>
      <c r="Y18" s="273">
        <f t="shared" si="11"/>
        <v>6486.9483815676704</v>
      </c>
      <c r="Z18" s="273">
        <f t="shared" si="6"/>
        <v>26385.953457709802</v>
      </c>
      <c r="AB18" s="278">
        <f t="shared" si="7"/>
        <v>3.9462924728438223E-2</v>
      </c>
    </row>
    <row r="19" spans="1:28" x14ac:dyDescent="0.25">
      <c r="A19" s="285"/>
      <c r="B19" s="103" t="s">
        <v>85</v>
      </c>
      <c r="C19" s="202">
        <f t="shared" si="0"/>
        <v>7.2</v>
      </c>
      <c r="D19" s="204" t="e">
        <f>ABS('Preço SFCR-GROWATT PHONO 450Wp'!$G$43-C19)</f>
        <v>#DIV/0!</v>
      </c>
      <c r="E19" s="105">
        <f>+'FRONIUS-BYD 335Wp'!E19</f>
        <v>16</v>
      </c>
      <c r="F19" s="112">
        <f>+IF(L19=0,"",ROUND(N19/(1-'Tabela de BDI'!$C$3),0))</f>
        <v>28694</v>
      </c>
      <c r="G19" s="112">
        <f>+ROUND(F19+(F19*'Preço SFCR-GROWATT PHONO 450Wp'!$H$44),0)</f>
        <v>30703</v>
      </c>
      <c r="H19" s="230" t="s">
        <v>81</v>
      </c>
      <c r="I19" s="106"/>
      <c r="J19" s="148">
        <v>20526.419999999998</v>
      </c>
      <c r="K19" s="149">
        <f t="shared" si="5"/>
        <v>20839.00507614213</v>
      </c>
      <c r="L19" s="106">
        <f t="shared" si="1"/>
        <v>20839.00507614213</v>
      </c>
      <c r="M19" s="106">
        <f>+'FRONIUS-BYD 335Wp'!L19</f>
        <v>4125</v>
      </c>
      <c r="N19" s="106">
        <f t="shared" si="2"/>
        <v>24964.00507614213</v>
      </c>
      <c r="O19" s="106">
        <f>+IF(F19="","",F19*'Tabela de BDI'!$C$7)</f>
        <v>2295.52</v>
      </c>
      <c r="P19" s="106">
        <f>IF(F19="","",F19*'Tabela de BDI'!$C$8)</f>
        <v>1434.7</v>
      </c>
      <c r="Q19" s="109">
        <f t="shared" si="3"/>
        <v>0.37693713760119901</v>
      </c>
      <c r="R19" s="110">
        <f t="shared" si="4"/>
        <v>3.9852777777777777</v>
      </c>
      <c r="S19" s="111">
        <f>+'Tabela de BDI'!$F$9*C19</f>
        <v>864</v>
      </c>
      <c r="T19" s="114"/>
      <c r="V19" s="273">
        <f t="shared" si="8"/>
        <v>1041.9502538071065</v>
      </c>
      <c r="W19" s="273">
        <f t="shared" si="9"/>
        <v>5166.9502538071065</v>
      </c>
      <c r="X19" s="273">
        <f t="shared" si="10"/>
        <v>1543.3747511371876</v>
      </c>
      <c r="Y19" s="273">
        <f t="shared" si="11"/>
        <v>6710.3250049442941</v>
      </c>
      <c r="Z19" s="273">
        <f t="shared" si="6"/>
        <v>27549.330081086424</v>
      </c>
      <c r="AB19" s="278">
        <f t="shared" si="7"/>
        <v>3.989230915569722E-2</v>
      </c>
    </row>
    <row r="20" spans="1:28" s="313" customFormat="1" x14ac:dyDescent="0.25">
      <c r="A20" s="314"/>
      <c r="B20" s="103" t="s">
        <v>85</v>
      </c>
      <c r="C20" s="202">
        <f t="shared" ref="C20" si="17">+E20*$B$3</f>
        <v>7.65</v>
      </c>
      <c r="D20" s="204" t="e">
        <f>ABS('Preço SFCR-GROWATT PHONO 450Wp'!$G$43-C20)</f>
        <v>#DIV/0!</v>
      </c>
      <c r="E20" s="105">
        <f>+'FRONIUS-BYD 335Wp'!E20</f>
        <v>17</v>
      </c>
      <c r="F20" s="112">
        <f>+IF(L20=0,"",ROUND(N20/(1-'Tabela de BDI'!$C$3),0))</f>
        <v>30298</v>
      </c>
      <c r="G20" s="112">
        <f>+ROUND(F20+(F20*'Preço SFCR-GROWATT PHONO 450Wp'!$H$44),0)</f>
        <v>32419</v>
      </c>
      <c r="H20" s="230" t="s">
        <v>81</v>
      </c>
      <c r="I20" s="106"/>
      <c r="J20" s="148">
        <v>21777.37</v>
      </c>
      <c r="K20" s="149">
        <f t="shared" ref="K20" si="18">+J20/(1-$J$5)</f>
        <v>22109.00507614213</v>
      </c>
      <c r="L20" s="106">
        <f t="shared" ref="L20" si="19">+I20+K20</f>
        <v>22109.00507614213</v>
      </c>
      <c r="M20" s="106">
        <f>+'FRONIUS-BYD 335Wp'!L20</f>
        <v>4250</v>
      </c>
      <c r="N20" s="106">
        <f t="shared" ref="N20" si="20">+L20+M20</f>
        <v>26359.00507614213</v>
      </c>
      <c r="O20" s="106">
        <f>+IF(F20="","",F20*'Tabela de BDI'!$C$7)</f>
        <v>2423.84</v>
      </c>
      <c r="P20" s="106">
        <f>IF(F20="","",F20*'Tabela de BDI'!$C$8)</f>
        <v>1514.9</v>
      </c>
      <c r="Q20" s="109">
        <f t="shared" ref="Q20" si="21">IF(F20="","",(F20-L20)/L20)</f>
        <v>0.37039183335728798</v>
      </c>
      <c r="R20" s="110">
        <f t="shared" ref="R20" si="22">IF(F20="","",(F20/C20)/1000)</f>
        <v>3.9605228758169932</v>
      </c>
      <c r="S20" s="111">
        <f>+'Tabela de BDI'!$F$9*C20</f>
        <v>918</v>
      </c>
      <c r="T20" s="114"/>
      <c r="V20" s="273"/>
      <c r="W20" s="273"/>
      <c r="X20" s="273"/>
      <c r="Y20" s="273"/>
      <c r="Z20" s="273"/>
      <c r="AB20" s="278"/>
    </row>
    <row r="21" spans="1:28" x14ac:dyDescent="0.25">
      <c r="A21" s="285"/>
      <c r="B21" s="103" t="s">
        <v>85</v>
      </c>
      <c r="C21" s="202">
        <f t="shared" si="0"/>
        <v>8.1</v>
      </c>
      <c r="D21" s="204" t="e">
        <f>ABS('Preço SFCR-GROWATT PHONO 450Wp'!$G$43-C21)</f>
        <v>#DIV/0!</v>
      </c>
      <c r="E21" s="105">
        <f>+'FRONIUS-BYD 335Wp'!E21</f>
        <v>18</v>
      </c>
      <c r="F21" s="112">
        <f>+IF(L21=0,"",ROUND(N21/(1-'Tabela de BDI'!$C$3),0))</f>
        <v>32326</v>
      </c>
      <c r="G21" s="112">
        <f>+ROUND(F21+(F21*'Preço SFCR-GROWATT PHONO 450Wp'!$H$44),0)</f>
        <v>34589</v>
      </c>
      <c r="H21" s="107" t="s">
        <v>304</v>
      </c>
      <c r="I21" s="106"/>
      <c r="J21" s="148">
        <v>23392.77</v>
      </c>
      <c r="K21" s="149">
        <f t="shared" si="5"/>
        <v>23749.005076142133</v>
      </c>
      <c r="L21" s="106">
        <f t="shared" si="1"/>
        <v>23749.005076142133</v>
      </c>
      <c r="M21" s="106">
        <f>+'FRONIUS-BYD 335Wp'!L21</f>
        <v>4375</v>
      </c>
      <c r="N21" s="106">
        <f t="shared" si="2"/>
        <v>28124.005076142133</v>
      </c>
      <c r="O21" s="106">
        <f>+IF(F21="","",F21*'Tabela de BDI'!$C$7)</f>
        <v>2586.08</v>
      </c>
      <c r="P21" s="106">
        <f>IF(F21="","",F21*'Tabela de BDI'!$C$8)</f>
        <v>1616.3000000000002</v>
      </c>
      <c r="Q21" s="109">
        <f t="shared" si="3"/>
        <v>0.36115175757295942</v>
      </c>
      <c r="R21" s="110">
        <f t="shared" si="4"/>
        <v>3.9908641975308643</v>
      </c>
      <c r="S21" s="111">
        <f>+'Tabela de BDI'!$F$9*C21</f>
        <v>972</v>
      </c>
      <c r="T21" s="114"/>
      <c r="V21" s="273">
        <f t="shared" si="8"/>
        <v>1187.4502538071067</v>
      </c>
      <c r="W21" s="273">
        <f t="shared" si="9"/>
        <v>5562.4502538071065</v>
      </c>
      <c r="X21" s="273">
        <f t="shared" si="10"/>
        <v>1661.5111147735515</v>
      </c>
      <c r="Y21" s="273">
        <f t="shared" si="11"/>
        <v>7223.961368580658</v>
      </c>
      <c r="Z21" s="273">
        <f t="shared" si="6"/>
        <v>30972.966444722791</v>
      </c>
      <c r="AB21" s="278">
        <f t="shared" si="7"/>
        <v>4.1855891705661341E-2</v>
      </c>
    </row>
    <row r="22" spans="1:28" x14ac:dyDescent="0.25">
      <c r="A22" s="285"/>
      <c r="B22" s="103" t="s">
        <v>85</v>
      </c>
      <c r="C22" s="202">
        <f t="shared" si="0"/>
        <v>8.5500000000000007</v>
      </c>
      <c r="D22" s="204" t="e">
        <f>ABS('Preço SFCR-GROWATT PHONO 450Wp'!$G$43-C22)</f>
        <v>#DIV/0!</v>
      </c>
      <c r="E22" s="105">
        <f>+'FRONIUS-BYD 335Wp'!E22</f>
        <v>19</v>
      </c>
      <c r="F22" s="112">
        <f>+IF(L22=0,"",ROUND(N22/(1-'Tabela de BDI'!$C$3),0))</f>
        <v>33551</v>
      </c>
      <c r="G22" s="112">
        <f>+ROUND(F22+(F22*'Preço SFCR-GROWATT PHONO 450Wp'!$H$44),0)</f>
        <v>35900</v>
      </c>
      <c r="H22" s="107" t="s">
        <v>304</v>
      </c>
      <c r="I22" s="106"/>
      <c r="J22" s="148">
        <v>24318.67</v>
      </c>
      <c r="K22" s="149">
        <f t="shared" si="5"/>
        <v>24689.00507614213</v>
      </c>
      <c r="L22" s="106">
        <f t="shared" si="1"/>
        <v>24689.00507614213</v>
      </c>
      <c r="M22" s="106">
        <f>+'FRONIUS-BYD 335Wp'!L22</f>
        <v>4500</v>
      </c>
      <c r="N22" s="106">
        <f t="shared" si="2"/>
        <v>29189.00507614213</v>
      </c>
      <c r="O22" s="106">
        <f>+IF(F22="","",F22*'Tabela de BDI'!$C$7)</f>
        <v>2684.08</v>
      </c>
      <c r="P22" s="106">
        <f>IF(F22="","",F22*'Tabela de BDI'!$C$8)</f>
        <v>1677.5500000000002</v>
      </c>
      <c r="Q22" s="109">
        <f t="shared" si="3"/>
        <v>0.35894499987047002</v>
      </c>
      <c r="R22" s="110">
        <f t="shared" si="4"/>
        <v>3.9240935672514614</v>
      </c>
      <c r="S22" s="111">
        <f>+'Tabela de BDI'!$F$9*C22</f>
        <v>1026</v>
      </c>
      <c r="T22" s="114"/>
      <c r="V22" s="273">
        <f t="shared" si="8"/>
        <v>1234.4502538071065</v>
      </c>
      <c r="W22" s="273">
        <f t="shared" si="9"/>
        <v>5734.4502538071065</v>
      </c>
      <c r="X22" s="273">
        <f t="shared" si="10"/>
        <v>1712.8877381501743</v>
      </c>
      <c r="Y22" s="273">
        <f t="shared" si="11"/>
        <v>7447.3379919572808</v>
      </c>
      <c r="Z22" s="273">
        <f t="shared" si="6"/>
        <v>32136.34306809941</v>
      </c>
      <c r="AB22" s="278">
        <f t="shared" si="7"/>
        <v>4.2164374590938879E-2</v>
      </c>
    </row>
    <row r="23" spans="1:28" x14ac:dyDescent="0.25">
      <c r="A23" s="285"/>
      <c r="B23" s="103" t="s">
        <v>85</v>
      </c>
      <c r="C23" s="202">
        <f t="shared" si="0"/>
        <v>9</v>
      </c>
      <c r="D23" s="204" t="e">
        <f>ABS('Preço SFCR-GROWATT PHONO 450Wp'!$G$43-C23)</f>
        <v>#DIV/0!</v>
      </c>
      <c r="E23" s="105">
        <f>+'FRONIUS-BYD 335Wp'!E23</f>
        <v>20</v>
      </c>
      <c r="F23" s="112">
        <f>+IF(L23=0,"",ROUND(N23/(1-'Tabela de BDI'!$C$3),0))</f>
        <v>34775</v>
      </c>
      <c r="G23" s="112">
        <f>+ROUND(F23+(F23*'Preço SFCR-GROWATT PHONO 450Wp'!$H$44),0)</f>
        <v>37209</v>
      </c>
      <c r="H23" s="107" t="s">
        <v>304</v>
      </c>
      <c r="I23" s="106"/>
      <c r="J23" s="148">
        <v>25244.57</v>
      </c>
      <c r="K23" s="149">
        <f t="shared" si="5"/>
        <v>25629.005076142133</v>
      </c>
      <c r="L23" s="106">
        <f t="shared" si="1"/>
        <v>25629.005076142133</v>
      </c>
      <c r="M23" s="106">
        <f>+'FRONIUS-BYD 335Wp'!L23</f>
        <v>4625</v>
      </c>
      <c r="N23" s="106">
        <f t="shared" si="2"/>
        <v>30254.005076142133</v>
      </c>
      <c r="O23" s="106">
        <f>+IF(F23="","",F23*'Tabela de BDI'!$C$7)</f>
        <v>2782</v>
      </c>
      <c r="P23" s="106">
        <f>IF(F23="","",F23*'Tabela de BDI'!$C$8)</f>
        <v>1738.75</v>
      </c>
      <c r="Q23" s="109">
        <f t="shared" si="3"/>
        <v>0.35686109923837078</v>
      </c>
      <c r="R23" s="110">
        <f t="shared" si="4"/>
        <v>3.8638888888888885</v>
      </c>
      <c r="S23" s="111">
        <f>+'Tabela de BDI'!$F$9*C23</f>
        <v>1080</v>
      </c>
      <c r="T23" s="114"/>
      <c r="V23" s="273">
        <f t="shared" si="8"/>
        <v>1281.4502538071067</v>
      </c>
      <c r="W23" s="273">
        <f t="shared" si="9"/>
        <v>5906.4502538071065</v>
      </c>
      <c r="X23" s="273">
        <f t="shared" si="10"/>
        <v>1764.264361526798</v>
      </c>
      <c r="Y23" s="273">
        <f t="shared" si="11"/>
        <v>7670.7146153339045</v>
      </c>
      <c r="Z23" s="273">
        <f t="shared" si="6"/>
        <v>33299.719691476035</v>
      </c>
      <c r="AB23" s="278">
        <f t="shared" si="7"/>
        <v>4.2423589030164334E-2</v>
      </c>
    </row>
    <row r="24" spans="1:28" s="313" customFormat="1" x14ac:dyDescent="0.25">
      <c r="A24" s="314"/>
      <c r="B24" s="103" t="s">
        <v>85</v>
      </c>
      <c r="C24" s="202">
        <f t="shared" ref="C24" si="23">+E24*$B$3</f>
        <v>9.4500000000000011</v>
      </c>
      <c r="D24" s="204" t="e">
        <f>ABS('Preço SFCR-GROWATT PHONO 450Wp'!$G$43-C24)</f>
        <v>#DIV/0!</v>
      </c>
      <c r="E24" s="105">
        <f>+'FRONIUS-BYD 335Wp'!E24</f>
        <v>21</v>
      </c>
      <c r="F24" s="112">
        <f>+IF(L24=0,"",ROUND(N24/(1-'Tabela de BDI'!$C$3),0))</f>
        <v>36378</v>
      </c>
      <c r="G24" s="112">
        <f>+ROUND(F24+(F24*'Preço SFCR-GROWATT PHONO 450Wp'!$H$44),0)</f>
        <v>38924</v>
      </c>
      <c r="H24" s="107" t="s">
        <v>304</v>
      </c>
      <c r="I24" s="106"/>
      <c r="J24" s="148">
        <v>26495.52</v>
      </c>
      <c r="K24" s="149">
        <f t="shared" ref="K24" si="24">+J24/(1-$J$5)</f>
        <v>26899.005076142133</v>
      </c>
      <c r="L24" s="106">
        <f t="shared" ref="L24" si="25">+I24+K24</f>
        <v>26899.005076142133</v>
      </c>
      <c r="M24" s="106">
        <f>+'FRONIUS-BYD 335Wp'!L24</f>
        <v>4750</v>
      </c>
      <c r="N24" s="106">
        <f t="shared" ref="N24" si="26">+L24+M24</f>
        <v>31649.005076142133</v>
      </c>
      <c r="O24" s="106">
        <f>+IF(F24="","",F24*'Tabela de BDI'!$C$7)</f>
        <v>2910.2400000000002</v>
      </c>
      <c r="P24" s="106">
        <f>IF(F24="","",F24*'Tabela de BDI'!$C$8)</f>
        <v>1818.9</v>
      </c>
      <c r="Q24" s="109">
        <f t="shared" ref="Q24" si="27">IF(F24="","",(F24-L24)/L24)</f>
        <v>0.35239202702947509</v>
      </c>
      <c r="R24" s="110">
        <f t="shared" ref="R24" si="28">IF(F24="","",(F24/C24)/1000)</f>
        <v>3.8495238095238093</v>
      </c>
      <c r="S24" s="111">
        <f>+'Tabela de BDI'!$F$9*C24</f>
        <v>1134.0000000000002</v>
      </c>
      <c r="T24" s="114"/>
      <c r="V24" s="273"/>
      <c r="W24" s="273"/>
      <c r="X24" s="273"/>
      <c r="Y24" s="273"/>
      <c r="Z24" s="273"/>
      <c r="AB24" s="278"/>
    </row>
    <row r="25" spans="1:28" x14ac:dyDescent="0.25">
      <c r="A25" s="285"/>
      <c r="B25" s="103" t="s">
        <v>85</v>
      </c>
      <c r="C25" s="202">
        <f t="shared" si="0"/>
        <v>9.9</v>
      </c>
      <c r="D25" s="204" t="e">
        <f>ABS('Preço SFCR-GROWATT PHONO 450Wp'!$G$43-C25)</f>
        <v>#DIV/0!</v>
      </c>
      <c r="E25" s="105">
        <f>+'FRONIUS-BYD 335Wp'!E25</f>
        <v>22</v>
      </c>
      <c r="F25" s="112">
        <f>+IF(L25=0,"",ROUND(N25/(1-'Tabela de BDI'!$C$3),0))</f>
        <v>37591</v>
      </c>
      <c r="G25" s="112">
        <f>+ROUND(F25+(F25*'Preço SFCR-GROWATT PHONO 450Wp'!$H$44),0)</f>
        <v>40222</v>
      </c>
      <c r="H25" s="107" t="s">
        <v>304</v>
      </c>
      <c r="I25" s="106"/>
      <c r="J25" s="148">
        <v>27411.57</v>
      </c>
      <c r="K25" s="149">
        <f t="shared" si="5"/>
        <v>27829.005076142133</v>
      </c>
      <c r="L25" s="106">
        <f t="shared" si="1"/>
        <v>27829.005076142133</v>
      </c>
      <c r="M25" s="106">
        <f>+'FRONIUS-BYD 335Wp'!L25</f>
        <v>4875</v>
      </c>
      <c r="N25" s="106">
        <f t="shared" si="2"/>
        <v>32704.005076142133</v>
      </c>
      <c r="O25" s="106">
        <f>+IF(F25="","",F25*'Tabela de BDI'!$C$7)</f>
        <v>3007.28</v>
      </c>
      <c r="P25" s="106">
        <f>IF(F25="","",F25*'Tabela de BDI'!$C$8)</f>
        <v>1879.5500000000002</v>
      </c>
      <c r="Q25" s="109">
        <f t="shared" si="3"/>
        <v>0.35078490578978139</v>
      </c>
      <c r="R25" s="110">
        <f t="shared" si="4"/>
        <v>3.797070707070707</v>
      </c>
      <c r="S25" s="111">
        <f>+'Tabela de BDI'!$F$9*C25</f>
        <v>1188</v>
      </c>
      <c r="T25" s="114"/>
      <c r="V25" s="273">
        <f t="shared" si="8"/>
        <v>1391.4502538071067</v>
      </c>
      <c r="W25" s="273">
        <f t="shared" si="9"/>
        <v>6266.4502538071065</v>
      </c>
      <c r="X25" s="273">
        <f t="shared" si="10"/>
        <v>1871.7968290592653</v>
      </c>
      <c r="Y25" s="273">
        <f t="shared" si="11"/>
        <v>8138.2470828663718</v>
      </c>
      <c r="Z25" s="273">
        <f t="shared" si="6"/>
        <v>35967.252159008509</v>
      </c>
      <c r="AB25" s="278">
        <f t="shared" si="7"/>
        <v>4.3195122263081351E-2</v>
      </c>
    </row>
    <row r="26" spans="1:28" x14ac:dyDescent="0.25">
      <c r="A26" s="285"/>
      <c r="B26" s="103" t="s">
        <v>85</v>
      </c>
      <c r="C26" s="202">
        <f t="shared" si="0"/>
        <v>10.35</v>
      </c>
      <c r="D26" s="204" t="e">
        <f>ABS('Preço SFCR-GROWATT PHONO 450Wp'!$G$43-C26)</f>
        <v>#DIV/0!</v>
      </c>
      <c r="E26" s="105">
        <f>+'FRONIUS-BYD 335Wp'!E26</f>
        <v>23</v>
      </c>
      <c r="F26" s="112">
        <f>+IF(L26=0,"",ROUND(N26/(1-'Tabela de BDI'!$C$3),0))</f>
        <v>38815</v>
      </c>
      <c r="G26" s="112">
        <f>+ROUND(F26+(F26*'Preço SFCR-GROWATT PHONO 450Wp'!$H$44),0)</f>
        <v>41532</v>
      </c>
      <c r="H26" s="107" t="s">
        <v>304</v>
      </c>
      <c r="I26" s="106"/>
      <c r="J26" s="148">
        <v>28337.47</v>
      </c>
      <c r="K26" s="149">
        <f t="shared" si="5"/>
        <v>28769.005076142133</v>
      </c>
      <c r="L26" s="106">
        <f t="shared" si="1"/>
        <v>28769.005076142133</v>
      </c>
      <c r="M26" s="106">
        <f>+'FRONIUS-BYD 335Wp'!L26</f>
        <v>5000</v>
      </c>
      <c r="N26" s="106">
        <f t="shared" si="2"/>
        <v>33769.00507614213</v>
      </c>
      <c r="O26" s="106">
        <f>+IF(F26="","",F26*'Tabela de BDI'!$C$7)</f>
        <v>3105.2000000000003</v>
      </c>
      <c r="P26" s="106">
        <f>IF(F26="","",F26*'Tabela de BDI'!$C$8)</f>
        <v>1940.75</v>
      </c>
      <c r="Q26" s="109">
        <f t="shared" si="3"/>
        <v>0.34919507634238334</v>
      </c>
      <c r="R26" s="110">
        <f t="shared" si="4"/>
        <v>3.7502415458937199</v>
      </c>
      <c r="S26" s="111">
        <f>+'Tabela de BDI'!$F$9*C26</f>
        <v>1242</v>
      </c>
      <c r="T26" s="114"/>
      <c r="V26" s="273">
        <f t="shared" si="8"/>
        <v>1438.4502538071067</v>
      </c>
      <c r="W26" s="273">
        <f t="shared" si="9"/>
        <v>6438.4502538071065</v>
      </c>
      <c r="X26" s="273">
        <f t="shared" si="10"/>
        <v>1923.173452435889</v>
      </c>
      <c r="Y26" s="273">
        <f t="shared" si="11"/>
        <v>8361.6237062429955</v>
      </c>
      <c r="Z26" s="273">
        <f t="shared" si="6"/>
        <v>37130.628782385131</v>
      </c>
      <c r="AB26" s="278">
        <f t="shared" si="7"/>
        <v>4.3394852959290721E-2</v>
      </c>
    </row>
    <row r="27" spans="1:28" x14ac:dyDescent="0.25">
      <c r="A27" s="285"/>
      <c r="B27" s="103" t="s">
        <v>85</v>
      </c>
      <c r="C27" s="202">
        <f t="shared" si="0"/>
        <v>10.8</v>
      </c>
      <c r="D27" s="204" t="e">
        <f>ABS('Preço SFCR-GROWATT PHONO 450Wp'!$G$43-C27)</f>
        <v>#DIV/0!</v>
      </c>
      <c r="E27" s="105">
        <f>+'FRONIUS-BYD 335Wp'!E27</f>
        <v>24</v>
      </c>
      <c r="F27" s="112">
        <f>+IF(L27=0,"",ROUND(N27/(1-'Tabela de BDI'!$C$3),0))</f>
        <v>42706</v>
      </c>
      <c r="G27" s="112">
        <f>+ROUND(F27+(F27*'Preço SFCR-GROWATT PHONO 450Wp'!$H$44),0)</f>
        <v>45695</v>
      </c>
      <c r="H27" s="230" t="s">
        <v>255</v>
      </c>
      <c r="I27" s="106"/>
      <c r="J27" s="148">
        <v>31548.57</v>
      </c>
      <c r="K27" s="149">
        <f t="shared" si="5"/>
        <v>32029.005076142133</v>
      </c>
      <c r="L27" s="106">
        <f t="shared" si="1"/>
        <v>32029.005076142133</v>
      </c>
      <c r="M27" s="106">
        <f>+'FRONIUS-BYD 335Wp'!L27</f>
        <v>5125</v>
      </c>
      <c r="N27" s="106">
        <f t="shared" si="2"/>
        <v>37154.00507614213</v>
      </c>
      <c r="O27" s="106">
        <f>+IF(F27="","",F27*'Tabela de BDI'!$C$7)</f>
        <v>3416.48</v>
      </c>
      <c r="P27" s="106">
        <f>IF(F27="","",F27*'Tabela de BDI'!$C$8)</f>
        <v>2135.3000000000002</v>
      </c>
      <c r="Q27" s="109">
        <f t="shared" si="3"/>
        <v>0.3333539364858692</v>
      </c>
      <c r="R27" s="110">
        <f t="shared" si="4"/>
        <v>3.9542592592592589</v>
      </c>
      <c r="S27" s="111">
        <f>+'Tabela de BDI'!$F$9*C27</f>
        <v>1296</v>
      </c>
      <c r="T27" s="114"/>
      <c r="V27" s="273">
        <f t="shared" si="8"/>
        <v>1601.4502538071067</v>
      </c>
      <c r="W27" s="273">
        <f t="shared" si="9"/>
        <v>6726.4502538071065</v>
      </c>
      <c r="X27" s="273">
        <f t="shared" si="10"/>
        <v>2009.1994264618625</v>
      </c>
      <c r="Y27" s="273">
        <f t="shared" si="11"/>
        <v>8735.649680268969</v>
      </c>
      <c r="Z27" s="273">
        <f t="shared" si="6"/>
        <v>40764.654756411102</v>
      </c>
      <c r="AB27" s="278">
        <f t="shared" si="7"/>
        <v>4.5458372209733935E-2</v>
      </c>
    </row>
    <row r="28" spans="1:28" x14ac:dyDescent="0.25">
      <c r="A28" s="285"/>
      <c r="B28" s="103" t="s">
        <v>85</v>
      </c>
      <c r="C28" s="202">
        <f t="shared" si="0"/>
        <v>11.25</v>
      </c>
      <c r="D28" s="204" t="e">
        <f>ABS('Preço SFCR-GROWATT PHONO 450Wp'!$G$43-C28)</f>
        <v>#DIV/0!</v>
      </c>
      <c r="E28" s="105">
        <f>+'FRONIUS-BYD 335Wp'!E28</f>
        <v>25</v>
      </c>
      <c r="F28" s="112" t="str">
        <f>+IF(L28=0,"",ROUND(N28/(1-'Tabela de BDI'!$C$3),0))</f>
        <v/>
      </c>
      <c r="G28" s="112"/>
      <c r="H28" s="230"/>
      <c r="I28" s="106"/>
      <c r="J28" s="146"/>
      <c r="K28" s="149">
        <f t="shared" si="5"/>
        <v>0</v>
      </c>
      <c r="L28" s="106">
        <f t="shared" si="1"/>
        <v>0</v>
      </c>
      <c r="M28" s="106">
        <f>+'FRONIUS-BYD 335Wp'!L28</f>
        <v>5250</v>
      </c>
      <c r="N28" s="106">
        <f t="shared" si="2"/>
        <v>5250</v>
      </c>
      <c r="O28" s="106" t="str">
        <f>+IF(F28="","",F28*'Tabela de BDI'!$C$7)</f>
        <v/>
      </c>
      <c r="P28" s="106" t="str">
        <f>IF(F28="","",F28*'Tabela de BDI'!$C$8)</f>
        <v/>
      </c>
      <c r="Q28" s="109" t="str">
        <f t="shared" si="3"/>
        <v/>
      </c>
      <c r="R28" s="110" t="str">
        <f t="shared" si="4"/>
        <v/>
      </c>
      <c r="S28" s="111">
        <f>+'Tabela de BDI'!$F$9*C28</f>
        <v>1350</v>
      </c>
      <c r="T28" s="114"/>
      <c r="V28" s="273">
        <f t="shared" si="8"/>
        <v>0</v>
      </c>
      <c r="W28" s="273">
        <f t="shared" si="9"/>
        <v>5250</v>
      </c>
      <c r="X28" s="273">
        <f t="shared" si="10"/>
        <v>1568.181818181818</v>
      </c>
      <c r="Y28" s="273">
        <f t="shared" si="11"/>
        <v>6818.181818181818</v>
      </c>
      <c r="Z28" s="273" t="str">
        <f t="shared" si="6"/>
        <v/>
      </c>
      <c r="AB28" s="278" t="str">
        <f t="shared" si="7"/>
        <v/>
      </c>
    </row>
    <row r="29" spans="1:28" x14ac:dyDescent="0.25">
      <c r="A29" s="285"/>
      <c r="B29" s="103" t="s">
        <v>85</v>
      </c>
      <c r="C29" s="202">
        <f t="shared" si="0"/>
        <v>11.700000000000001</v>
      </c>
      <c r="D29" s="204" t="e">
        <f>ABS('Preço SFCR-GROWATT PHONO 450Wp'!$G$43-C29)</f>
        <v>#DIV/0!</v>
      </c>
      <c r="E29" s="105">
        <f>+'FRONIUS-BYD 335Wp'!E29</f>
        <v>26</v>
      </c>
      <c r="F29" s="112">
        <f>+IF(L29=0,"",ROUND(N29/(1-'Tabela de BDI'!$C$3),0))</f>
        <v>45533</v>
      </c>
      <c r="G29" s="112">
        <f>+ROUND(F29+(F29*'Preço SFCR-GROWATT PHONO 450Wp'!$H$44),0)</f>
        <v>48720</v>
      </c>
      <c r="H29" s="230" t="s">
        <v>255</v>
      </c>
      <c r="I29" s="106"/>
      <c r="J29" s="317">
        <v>33725.42</v>
      </c>
      <c r="K29" s="149">
        <f t="shared" si="5"/>
        <v>34239.00507614213</v>
      </c>
      <c r="L29" s="106">
        <f t="shared" si="1"/>
        <v>34239.00507614213</v>
      </c>
      <c r="M29" s="106">
        <f>+'FRONIUS-BYD 335Wp'!L29</f>
        <v>5375</v>
      </c>
      <c r="N29" s="106">
        <f t="shared" si="2"/>
        <v>39614.00507614213</v>
      </c>
      <c r="O29" s="106">
        <f>+IF(F29="","",F29*'Tabela de BDI'!$C$7)</f>
        <v>3642.64</v>
      </c>
      <c r="P29" s="106">
        <f>IF(F29="","",F29*'Tabela de BDI'!$C$8)</f>
        <v>2276.65</v>
      </c>
      <c r="Q29" s="109">
        <f t="shared" si="3"/>
        <v>0.32985756737796007</v>
      </c>
      <c r="R29" s="110">
        <f t="shared" si="4"/>
        <v>3.8917094017094014</v>
      </c>
      <c r="S29" s="111">
        <f>+'Tabela de BDI'!$F$9*C29</f>
        <v>1404.0000000000002</v>
      </c>
      <c r="T29" s="114"/>
      <c r="V29" s="273">
        <f t="shared" si="8"/>
        <v>1711.9502538071065</v>
      </c>
      <c r="W29" s="273">
        <f t="shared" si="9"/>
        <v>7086.9502538071065</v>
      </c>
      <c r="X29" s="273">
        <f t="shared" si="10"/>
        <v>2116.8812446436805</v>
      </c>
      <c r="Y29" s="273">
        <f t="shared" si="11"/>
        <v>9203.831498450787</v>
      </c>
      <c r="Z29" s="273">
        <f t="shared" si="6"/>
        <v>43442.836574592919</v>
      </c>
      <c r="AB29" s="278">
        <f t="shared" si="7"/>
        <v>4.5904364425956592E-2</v>
      </c>
    </row>
    <row r="30" spans="1:28" x14ac:dyDescent="0.25">
      <c r="A30" s="285"/>
      <c r="B30" s="103" t="s">
        <v>85</v>
      </c>
      <c r="C30" s="202">
        <f t="shared" si="0"/>
        <v>12.6</v>
      </c>
      <c r="D30" s="204" t="e">
        <f>ABS('Preço SFCR-GROWATT PHONO 450Wp'!$G$43-C30)</f>
        <v>#DIV/0!</v>
      </c>
      <c r="E30" s="105">
        <f>+'FRONIUS-BYD 335Wp'!E30</f>
        <v>28</v>
      </c>
      <c r="F30" s="112">
        <f>+IF(L30=0,"",ROUND(N30/(1-'Tabela de BDI'!$C$3),0))</f>
        <v>46510</v>
      </c>
      <c r="G30" s="112">
        <f>+ROUND(F30+(F30*'Preço SFCR-GROWATT PHONO 450Wp'!$H$44),0)</f>
        <v>49766</v>
      </c>
      <c r="H30" s="230" t="s">
        <v>255</v>
      </c>
      <c r="I30" s="106"/>
      <c r="J30" s="318">
        <v>34316.42</v>
      </c>
      <c r="K30" s="149">
        <f t="shared" si="5"/>
        <v>34839.00507614213</v>
      </c>
      <c r="L30" s="106">
        <f t="shared" si="1"/>
        <v>34839.00507614213</v>
      </c>
      <c r="M30" s="106">
        <f>+'FRONIUS-BYD 335Wp'!L30</f>
        <v>5625</v>
      </c>
      <c r="N30" s="106">
        <f t="shared" si="2"/>
        <v>40464.00507614213</v>
      </c>
      <c r="O30" s="106">
        <f>+IF(F30="","",F30*'Tabela de BDI'!$C$7)</f>
        <v>3720.8</v>
      </c>
      <c r="P30" s="106">
        <f>IF(F30="","",F30*'Tabela de BDI'!$C$8)</f>
        <v>2325.5</v>
      </c>
      <c r="Q30" s="109">
        <f t="shared" si="3"/>
        <v>0.33499793976178177</v>
      </c>
      <c r="R30" s="110">
        <f t="shared" si="4"/>
        <v>3.6912698412698415</v>
      </c>
      <c r="S30" s="111">
        <f>+'Tabela de BDI'!$F$9*C30</f>
        <v>1512</v>
      </c>
      <c r="T30" s="114"/>
      <c r="V30" s="273">
        <f t="shared" si="8"/>
        <v>1741.9502538071065</v>
      </c>
      <c r="W30" s="273">
        <f t="shared" si="9"/>
        <v>7366.9502538071065</v>
      </c>
      <c r="X30" s="273">
        <f t="shared" si="10"/>
        <v>2200.5176082800444</v>
      </c>
      <c r="Y30" s="273">
        <f t="shared" si="11"/>
        <v>9567.4678620871509</v>
      </c>
      <c r="Z30" s="273">
        <f t="shared" si="6"/>
        <v>44406.472938229279</v>
      </c>
      <c r="AB30" s="278">
        <f t="shared" si="7"/>
        <v>4.5227414787588065E-2</v>
      </c>
    </row>
    <row r="31" spans="1:28" x14ac:dyDescent="0.25">
      <c r="A31" s="285"/>
      <c r="B31" s="103" t="s">
        <v>85</v>
      </c>
      <c r="C31" s="202">
        <f t="shared" si="0"/>
        <v>13.5</v>
      </c>
      <c r="D31" s="204" t="e">
        <f>ABS('Preço SFCR-GROWATT PHONO 450Wp'!$G$43-C31)</f>
        <v>#DIV/0!</v>
      </c>
      <c r="E31" s="105">
        <f>+'FRONIUS-BYD 335Wp'!E31</f>
        <v>30</v>
      </c>
      <c r="F31" s="112">
        <f>+IF(L31=0,"",ROUND(N31/(1-'Tabela de BDI'!$C$3),0))</f>
        <v>49246</v>
      </c>
      <c r="G31" s="112">
        <f>+ROUND(F31+(F31*'Preço SFCR-GROWATT PHONO 450Wp'!$H$44),0)</f>
        <v>52693</v>
      </c>
      <c r="H31" s="230" t="s">
        <v>255</v>
      </c>
      <c r="I31" s="106"/>
      <c r="J31" s="318">
        <v>36414.47</v>
      </c>
      <c r="K31" s="149">
        <f t="shared" si="5"/>
        <v>36969.005076142137</v>
      </c>
      <c r="L31" s="106">
        <f t="shared" si="1"/>
        <v>36969.005076142137</v>
      </c>
      <c r="M31" s="106">
        <f>+'FRONIUS-BYD 335Wp'!L31</f>
        <v>5875</v>
      </c>
      <c r="N31" s="106">
        <f t="shared" si="2"/>
        <v>42844.005076142137</v>
      </c>
      <c r="O31" s="106">
        <f>+IF(F31="","",F31*'Tabela de BDI'!$C$7)</f>
        <v>3939.6800000000003</v>
      </c>
      <c r="P31" s="106">
        <f>IF(F31="","",F31*'Tabela de BDI'!$C$8)</f>
        <v>2462.3000000000002</v>
      </c>
      <c r="Q31" s="109">
        <f t="shared" si="3"/>
        <v>0.33208886467385063</v>
      </c>
      <c r="R31" s="110">
        <f t="shared" si="4"/>
        <v>3.6478518518518519</v>
      </c>
      <c r="S31" s="111">
        <f>+'Tabela de BDI'!$F$9*C31</f>
        <v>1620</v>
      </c>
      <c r="T31" s="114"/>
      <c r="V31" s="273">
        <f t="shared" si="8"/>
        <v>1848.4502538071069</v>
      </c>
      <c r="W31" s="273">
        <f t="shared" si="9"/>
        <v>7723.4502538071065</v>
      </c>
      <c r="X31" s="273">
        <f t="shared" si="10"/>
        <v>2307.0046212670568</v>
      </c>
      <c r="Y31" s="273">
        <f t="shared" si="11"/>
        <v>10030.454875074163</v>
      </c>
      <c r="Z31" s="273">
        <f t="shared" si="6"/>
        <v>46999.459951216297</v>
      </c>
      <c r="AB31" s="278">
        <f t="shared" si="7"/>
        <v>4.5618731445877907E-2</v>
      </c>
    </row>
    <row r="32" spans="1:28" x14ac:dyDescent="0.25">
      <c r="A32" s="285"/>
      <c r="B32" s="103" t="s">
        <v>85</v>
      </c>
      <c r="C32" s="202">
        <f t="shared" si="0"/>
        <v>14.4</v>
      </c>
      <c r="D32" s="204" t="e">
        <f>ABS('Preço SFCR-GROWATT PHONO 450Wp'!$G$43-C32)</f>
        <v>#DIV/0!</v>
      </c>
      <c r="E32" s="105">
        <f>+'FRONIUS-BYD 335Wp'!E32</f>
        <v>32</v>
      </c>
      <c r="F32" s="112">
        <f>+IF(L32=0,"",ROUND(N32/(1-'Tabela de BDI'!$C$3),0))</f>
        <v>54946</v>
      </c>
      <c r="G32" s="112">
        <f>+ROUND(F32+(F32*'Preço SFCR-GROWATT PHONO 450Wp'!$H$44),0)</f>
        <v>58792</v>
      </c>
      <c r="H32" s="156" t="s">
        <v>83</v>
      </c>
      <c r="I32" s="157"/>
      <c r="J32" s="157">
        <f>+J19*2</f>
        <v>41052.839999999997</v>
      </c>
      <c r="K32" s="150">
        <f t="shared" si="5"/>
        <v>41678.01015228426</v>
      </c>
      <c r="L32" s="106">
        <f t="shared" si="1"/>
        <v>41678.01015228426</v>
      </c>
      <c r="M32" s="106">
        <f>+'FRONIUS-BYD 335Wp'!L32</f>
        <v>6125</v>
      </c>
      <c r="N32" s="106">
        <f t="shared" si="2"/>
        <v>47803.01015228426</v>
      </c>
      <c r="O32" s="106">
        <f>+IF(F32="","",F32*'Tabela de BDI'!$C$7)</f>
        <v>4395.68</v>
      </c>
      <c r="P32" s="106">
        <f>IF(F32="","",F32*'Tabela de BDI'!$C$8)</f>
        <v>2747.3</v>
      </c>
      <c r="Q32" s="109">
        <f t="shared" si="3"/>
        <v>0.31834508891467694</v>
      </c>
      <c r="R32" s="110">
        <f t="shared" si="4"/>
        <v>3.8156944444444445</v>
      </c>
      <c r="S32" s="111">
        <f>+'Tabela de BDI'!$F$9*C32</f>
        <v>1728</v>
      </c>
      <c r="T32" s="114"/>
      <c r="V32" s="273">
        <f t="shared" si="8"/>
        <v>2083.900507614213</v>
      </c>
      <c r="W32" s="273">
        <f t="shared" si="9"/>
        <v>8208.900507614213</v>
      </c>
      <c r="X32" s="273">
        <f t="shared" si="10"/>
        <v>2452.0092425341154</v>
      </c>
      <c r="Y32" s="273">
        <f t="shared" si="11"/>
        <v>10660.909750148328</v>
      </c>
      <c r="Z32" s="273">
        <f t="shared" si="6"/>
        <v>52338.919902432586</v>
      </c>
      <c r="AB32" s="278">
        <f t="shared" si="7"/>
        <v>4.7448041669410218E-2</v>
      </c>
    </row>
    <row r="33" spans="1:28" ht="15.75" customHeight="1" x14ac:dyDescent="0.25">
      <c r="A33" s="285"/>
      <c r="B33" s="103" t="s">
        <v>85</v>
      </c>
      <c r="C33" s="202">
        <f t="shared" si="0"/>
        <v>15.3</v>
      </c>
      <c r="D33" s="204" t="e">
        <f>ABS('Preço SFCR-GROWATT PHONO 450Wp'!$G$43-C33)</f>
        <v>#DIV/0!</v>
      </c>
      <c r="E33" s="105">
        <f>+'FRONIUS-BYD 335Wp'!E33</f>
        <v>34</v>
      </c>
      <c r="F33" s="112">
        <f>+IF(L33=0,"",ROUND(N33/(1-'Tabela de BDI'!$C$3),0))</f>
        <v>58871</v>
      </c>
      <c r="G33" s="112">
        <f>+ROUND(F33+(F33*'Preço SFCR-GROWATT PHONO 450Wp'!$H$44),0)</f>
        <v>62992</v>
      </c>
      <c r="H33" s="156" t="s">
        <v>83</v>
      </c>
      <c r="I33" s="157"/>
      <c r="J33" s="157">
        <f>2*J20</f>
        <v>43554.74</v>
      </c>
      <c r="K33" s="150">
        <f t="shared" si="5"/>
        <v>44218.01015228426</v>
      </c>
      <c r="L33" s="106">
        <f t="shared" si="1"/>
        <v>44218.01015228426</v>
      </c>
      <c r="M33" s="106">
        <f>+'FRONIUS-BYD 335Wp'!L33</f>
        <v>7000</v>
      </c>
      <c r="N33" s="106">
        <f t="shared" si="2"/>
        <v>51218.01015228426</v>
      </c>
      <c r="O33" s="106">
        <f>+IF(F33="","",F33*'Tabela de BDI'!$C$7)</f>
        <v>4709.68</v>
      </c>
      <c r="P33" s="106">
        <f>IF(F33="","",F33*'Tabela de BDI'!$C$8)</f>
        <v>2943.55</v>
      </c>
      <c r="Q33" s="109">
        <f t="shared" si="3"/>
        <v>0.33138057993228764</v>
      </c>
      <c r="R33" s="110">
        <f t="shared" si="4"/>
        <v>3.8477777777777775</v>
      </c>
      <c r="S33" s="111">
        <f>+'Tabela de BDI'!$F$9*C33</f>
        <v>1836</v>
      </c>
      <c r="T33" s="114"/>
      <c r="V33" s="273">
        <f t="shared" si="8"/>
        <v>2210.900507614213</v>
      </c>
      <c r="W33" s="273">
        <f t="shared" si="9"/>
        <v>9210.900507614213</v>
      </c>
      <c r="X33" s="273">
        <f t="shared" si="10"/>
        <v>2751.3079438328168</v>
      </c>
      <c r="Y33" s="273">
        <f t="shared" si="11"/>
        <v>11962.20845144703</v>
      </c>
      <c r="Z33" s="273">
        <f t="shared" si="6"/>
        <v>56180.218603731293</v>
      </c>
      <c r="AB33" s="278">
        <f t="shared" si="7"/>
        <v>4.5706398672839037E-2</v>
      </c>
    </row>
    <row r="34" spans="1:28" ht="15.75" customHeight="1" x14ac:dyDescent="0.25">
      <c r="A34" s="285"/>
      <c r="B34" s="103" t="s">
        <v>85</v>
      </c>
      <c r="C34" s="202">
        <f t="shared" si="0"/>
        <v>16.2</v>
      </c>
      <c r="D34" s="204" t="e">
        <f>ABS('Preço SFCR-GROWATT PHONO 450Wp'!$G$43-C34)</f>
        <v>#DIV/0!</v>
      </c>
      <c r="E34" s="105">
        <f>+'FRONIUS-BYD 335Wp'!E34</f>
        <v>36</v>
      </c>
      <c r="F34" s="112">
        <f>+IF(L34=0,"",ROUND(N34/(1-'Tabela de BDI'!$C$3),0))</f>
        <v>61745</v>
      </c>
      <c r="G34" s="112">
        <f>+ROUND(F34+(F34*'Preço SFCR-GROWATT PHONO 450Wp'!$H$44),0)</f>
        <v>66067</v>
      </c>
      <c r="H34" s="156" t="s">
        <v>305</v>
      </c>
      <c r="I34" s="157"/>
      <c r="J34" s="157">
        <f>+J19+J23</f>
        <v>45770.99</v>
      </c>
      <c r="K34" s="150">
        <f t="shared" si="5"/>
        <v>46468.01015228426</v>
      </c>
      <c r="L34" s="106">
        <f t="shared" si="1"/>
        <v>46468.01015228426</v>
      </c>
      <c r="M34" s="106">
        <f>+'FRONIUS-BYD 335Wp'!L34</f>
        <v>7250</v>
      </c>
      <c r="N34" s="106">
        <f t="shared" si="2"/>
        <v>53718.01015228426</v>
      </c>
      <c r="O34" s="106">
        <f>+IF(F34="","",F34*'Tabela de BDI'!$C$7)</f>
        <v>4939.6000000000004</v>
      </c>
      <c r="P34" s="106">
        <f>IF(F34="","",F34*'Tabela de BDI'!$C$8)</f>
        <v>3087.25</v>
      </c>
      <c r="Q34" s="109">
        <f t="shared" si="3"/>
        <v>0.32876359021292756</v>
      </c>
      <c r="R34" s="110">
        <f t="shared" si="4"/>
        <v>3.8114197530864198</v>
      </c>
      <c r="S34" s="111">
        <f>+'Tabela de BDI'!$F$9*C34</f>
        <v>1944</v>
      </c>
      <c r="T34" s="114"/>
      <c r="V34" s="273">
        <f t="shared" si="8"/>
        <v>2323.400507614213</v>
      </c>
      <c r="W34" s="273">
        <f t="shared" si="9"/>
        <v>9573.400507614213</v>
      </c>
      <c r="X34" s="273">
        <f t="shared" si="10"/>
        <v>2859.5871646120377</v>
      </c>
      <c r="Y34" s="273">
        <f t="shared" si="11"/>
        <v>12432.987672226251</v>
      </c>
      <c r="Z34" s="273">
        <f t="shared" si="6"/>
        <v>58900.997824510509</v>
      </c>
      <c r="AB34" s="278">
        <f t="shared" si="7"/>
        <v>4.6060444983229275E-2</v>
      </c>
    </row>
    <row r="35" spans="1:28" ht="15.75" customHeight="1" x14ac:dyDescent="0.25">
      <c r="A35" s="285"/>
      <c r="B35" s="103" t="s">
        <v>85</v>
      </c>
      <c r="C35" s="202">
        <f t="shared" si="0"/>
        <v>17.100000000000001</v>
      </c>
      <c r="D35" s="204" t="e">
        <f>ABS('Preço SFCR-GROWATT PHONO 450Wp'!$G$43-C35)</f>
        <v>#DIV/0!</v>
      </c>
      <c r="E35" s="105">
        <f>+'FRONIUS-BYD 335Wp'!E35</f>
        <v>38</v>
      </c>
      <c r="F35" s="112">
        <f>+IF(L35=0,"",ROUND(N35/(1-'Tabela de BDI'!$C$3),0))</f>
        <v>64539</v>
      </c>
      <c r="G35" s="112">
        <f>+ROUND(F35+(F35*'Preço SFCR-GROWATT PHONO 450Wp'!$H$44),0)</f>
        <v>69057</v>
      </c>
      <c r="H35" s="209" t="s">
        <v>299</v>
      </c>
      <c r="I35" s="170"/>
      <c r="J35" s="318">
        <v>47919.27</v>
      </c>
      <c r="K35" s="150">
        <f t="shared" si="5"/>
        <v>48649.00507614213</v>
      </c>
      <c r="L35" s="106">
        <f t="shared" si="1"/>
        <v>48649.00507614213</v>
      </c>
      <c r="M35" s="106">
        <f>+'FRONIUS-BYD 335Wp'!L35</f>
        <v>7500</v>
      </c>
      <c r="N35" s="106">
        <f t="shared" si="2"/>
        <v>56149.00507614213</v>
      </c>
      <c r="O35" s="106">
        <f>+IF(F35="","",F35*'Tabela de BDI'!$C$7)</f>
        <v>5163.12</v>
      </c>
      <c r="P35" s="106">
        <f>IF(F35="","",F35*'Tabela de BDI'!$C$8)</f>
        <v>3226.9500000000003</v>
      </c>
      <c r="Q35" s="109">
        <f t="shared" si="3"/>
        <v>0.32662528039346184</v>
      </c>
      <c r="R35" s="110">
        <f t="shared" si="4"/>
        <v>3.7742105263157892</v>
      </c>
      <c r="S35" s="111">
        <f>+'Tabela de BDI'!$F$9*C35</f>
        <v>2052</v>
      </c>
      <c r="T35" s="114"/>
      <c r="V35" s="273">
        <f t="shared" si="8"/>
        <v>2432.4502538071065</v>
      </c>
      <c r="W35" s="273">
        <f t="shared" si="9"/>
        <v>9932.4502538071065</v>
      </c>
      <c r="X35" s="273">
        <f t="shared" si="10"/>
        <v>2966.8357900982264</v>
      </c>
      <c r="Y35" s="273">
        <f t="shared" si="11"/>
        <v>12899.286043905333</v>
      </c>
      <c r="Z35" s="273">
        <f t="shared" si="6"/>
        <v>61548.291120047463</v>
      </c>
      <c r="AB35" s="278">
        <f t="shared" si="7"/>
        <v>4.6339560265150334E-2</v>
      </c>
    </row>
    <row r="36" spans="1:28" ht="15.75" customHeight="1" x14ac:dyDescent="0.25">
      <c r="A36" s="285"/>
      <c r="B36" s="103" t="s">
        <v>85</v>
      </c>
      <c r="C36" s="202">
        <f t="shared" si="0"/>
        <v>18</v>
      </c>
      <c r="D36" s="204" t="e">
        <f>ABS('Preço SFCR-GROWATT PHONO 450Wp'!$G$43-C36)</f>
        <v>#DIV/0!</v>
      </c>
      <c r="E36" s="105">
        <f>+'FRONIUS-BYD 335Wp'!E36</f>
        <v>40</v>
      </c>
      <c r="F36" s="112">
        <f>+IF(L36=0,"",ROUND(N36/(1-'Tabela de BDI'!$C$3),0))</f>
        <v>66907</v>
      </c>
      <c r="G36" s="112">
        <f>+ROUND(F36+(F36*'Preço SFCR-GROWATT PHONO 450Wp'!$H$44),0)</f>
        <v>71590</v>
      </c>
      <c r="H36" s="209" t="s">
        <v>299</v>
      </c>
      <c r="I36" s="170"/>
      <c r="J36" s="318">
        <v>49702.12</v>
      </c>
      <c r="K36" s="150">
        <f t="shared" si="5"/>
        <v>50459.005076142137</v>
      </c>
      <c r="L36" s="106">
        <f t="shared" si="1"/>
        <v>50459.005076142137</v>
      </c>
      <c r="M36" s="106">
        <f>+'FRONIUS-BYD 335Wp'!L36</f>
        <v>7750</v>
      </c>
      <c r="N36" s="106">
        <f t="shared" si="2"/>
        <v>58209.005076142137</v>
      </c>
      <c r="O36" s="106">
        <f>+IF(F36="","",F36*'Tabela de BDI'!$C$7)</f>
        <v>5352.56</v>
      </c>
      <c r="P36" s="106">
        <f>IF(F36="","",F36*'Tabela de BDI'!$C$8)</f>
        <v>3345.3500000000004</v>
      </c>
      <c r="Q36" s="109">
        <f t="shared" si="3"/>
        <v>0.32596748388197511</v>
      </c>
      <c r="R36" s="110">
        <f t="shared" si="4"/>
        <v>3.7170555555555556</v>
      </c>
      <c r="S36" s="111">
        <f>+'Tabela de BDI'!$F$9*C36</f>
        <v>2160</v>
      </c>
      <c r="T36" s="114"/>
      <c r="V36" s="273">
        <f t="shared" si="8"/>
        <v>2522.9502538071069</v>
      </c>
      <c r="W36" s="273">
        <f t="shared" si="9"/>
        <v>10272.950253807106</v>
      </c>
      <c r="X36" s="273">
        <f t="shared" si="10"/>
        <v>3068.5435823060179</v>
      </c>
      <c r="Y36" s="273">
        <f t="shared" si="11"/>
        <v>13341.493836113124</v>
      </c>
      <c r="Z36" s="273">
        <f t="shared" si="6"/>
        <v>63800.498912255265</v>
      </c>
      <c r="AB36" s="278">
        <f t="shared" si="7"/>
        <v>4.6430135677055236E-2</v>
      </c>
    </row>
    <row r="37" spans="1:28" ht="15.75" customHeight="1" x14ac:dyDescent="0.25">
      <c r="A37" s="285"/>
      <c r="B37" s="103" t="s">
        <v>85</v>
      </c>
      <c r="C37" s="202">
        <f t="shared" si="0"/>
        <v>18.900000000000002</v>
      </c>
      <c r="D37" s="204" t="e">
        <f>ABS('Preço SFCR-GROWATT PHONO 450Wp'!$G$43-C37)</f>
        <v>#DIV/0!</v>
      </c>
      <c r="E37" s="105">
        <f>+'FRONIUS-BYD 335Wp'!E37</f>
        <v>42</v>
      </c>
      <c r="F37" s="112">
        <f>+IF(L37=0,"",ROUND(N37/(1-'Tabela de BDI'!$C$3),0))</f>
        <v>69643</v>
      </c>
      <c r="G37" s="112">
        <f>+ROUND(F37+(F37*'Preço SFCR-GROWATT PHONO 450Wp'!$H$44),0)</f>
        <v>74518</v>
      </c>
      <c r="H37" s="209" t="s">
        <v>299</v>
      </c>
      <c r="I37" s="157"/>
      <c r="J37" s="318">
        <v>51800.17</v>
      </c>
      <c r="K37" s="150">
        <f t="shared" si="5"/>
        <v>52589.00507614213</v>
      </c>
      <c r="L37" s="106">
        <f t="shared" si="1"/>
        <v>52589.00507614213</v>
      </c>
      <c r="M37" s="106">
        <f>+'FRONIUS-BYD 335Wp'!L37</f>
        <v>8000</v>
      </c>
      <c r="N37" s="106">
        <f t="shared" si="2"/>
        <v>60589.00507614213</v>
      </c>
      <c r="O37" s="106">
        <f>+IF(F37="","",F37*'Tabela de BDI'!$C$7)</f>
        <v>5571.4400000000005</v>
      </c>
      <c r="P37" s="106">
        <f>IF(F37="","",F37*'Tabela de BDI'!$C$8)</f>
        <v>3482.15</v>
      </c>
      <c r="Q37" s="109">
        <f t="shared" si="3"/>
        <v>0.32428822144792196</v>
      </c>
      <c r="R37" s="110">
        <f t="shared" si="4"/>
        <v>3.6848148148148145</v>
      </c>
      <c r="S37" s="111">
        <f>+'Tabela de BDI'!$F$9*C37</f>
        <v>2268.0000000000005</v>
      </c>
      <c r="T37" s="114"/>
      <c r="V37" s="273">
        <f t="shared" si="8"/>
        <v>2629.4502538071065</v>
      </c>
      <c r="W37" s="273">
        <f t="shared" si="9"/>
        <v>10629.450253807106</v>
      </c>
      <c r="X37" s="273">
        <f t="shared" si="10"/>
        <v>3175.0305952930321</v>
      </c>
      <c r="Y37" s="273">
        <f t="shared" si="11"/>
        <v>13804.480849100139</v>
      </c>
      <c r="Z37" s="273">
        <f t="shared" si="6"/>
        <v>66393.485925242276</v>
      </c>
      <c r="AB37" s="278">
        <f t="shared" si="7"/>
        <v>4.6659593566585646E-2</v>
      </c>
    </row>
    <row r="38" spans="1:28" ht="15.75" customHeight="1" x14ac:dyDescent="0.25">
      <c r="A38" s="285"/>
      <c r="B38" s="103" t="s">
        <v>85</v>
      </c>
      <c r="C38" s="202">
        <f t="shared" si="0"/>
        <v>19.8</v>
      </c>
      <c r="D38" s="204" t="e">
        <f>ABS('Preço SFCR-GROWATT PHONO 450Wp'!$G$43-C38)</f>
        <v>#DIV/0!</v>
      </c>
      <c r="E38" s="105">
        <f>+'FRONIUS-BYD 335Wp'!E38</f>
        <v>44</v>
      </c>
      <c r="F38" s="112">
        <f>+IF(L38=0,"",ROUND(N38/(1-'Tabela de BDI'!$C$3),0))</f>
        <v>71999</v>
      </c>
      <c r="G38" s="112">
        <f>+ROUND(F38+(F38*'Preço SFCR-GROWATT PHONO 450Wp'!$H$44),0)</f>
        <v>77039</v>
      </c>
      <c r="H38" s="209" t="s">
        <v>299</v>
      </c>
      <c r="I38" s="157"/>
      <c r="J38" s="318">
        <v>53573.17</v>
      </c>
      <c r="K38" s="150">
        <f t="shared" si="5"/>
        <v>54389.00507614213</v>
      </c>
      <c r="L38" s="106">
        <f t="shared" si="1"/>
        <v>54389.00507614213</v>
      </c>
      <c r="M38" s="106">
        <f>+'FRONIUS-BYD 335Wp'!L38</f>
        <v>8250</v>
      </c>
      <c r="N38" s="106">
        <f t="shared" si="2"/>
        <v>62639.00507614213</v>
      </c>
      <c r="O38" s="106">
        <f>+IF(F38="","",F38*'Tabela de BDI'!$C$7)</f>
        <v>5759.92</v>
      </c>
      <c r="P38" s="106">
        <f>IF(F38="","",F38*'Tabela de BDI'!$C$8)</f>
        <v>3599.9500000000003</v>
      </c>
      <c r="Q38" s="109">
        <f t="shared" si="3"/>
        <v>0.32377858170423746</v>
      </c>
      <c r="R38" s="110">
        <f t="shared" si="4"/>
        <v>3.6363131313131314</v>
      </c>
      <c r="S38" s="111">
        <f>+'Tabela de BDI'!$F$9*C38</f>
        <v>2376</v>
      </c>
      <c r="T38" s="114"/>
      <c r="V38" s="273">
        <f t="shared" si="8"/>
        <v>2719.4502538071065</v>
      </c>
      <c r="W38" s="273">
        <f t="shared" si="9"/>
        <v>10969.450253807106</v>
      </c>
      <c r="X38" s="273">
        <f t="shared" si="10"/>
        <v>3276.5890368514738</v>
      </c>
      <c r="Y38" s="273">
        <f t="shared" si="11"/>
        <v>14246.03929065858</v>
      </c>
      <c r="Z38" s="273">
        <f t="shared" si="6"/>
        <v>68635.044366800706</v>
      </c>
      <c r="AB38" s="278">
        <f t="shared" si="7"/>
        <v>4.6722254936864313E-2</v>
      </c>
    </row>
    <row r="39" spans="1:28" ht="15.75" customHeight="1" x14ac:dyDescent="0.25">
      <c r="A39" s="285"/>
      <c r="B39" s="103" t="s">
        <v>85</v>
      </c>
      <c r="C39" s="202">
        <f t="shared" si="0"/>
        <v>20.7</v>
      </c>
      <c r="D39" s="204" t="e">
        <f>ABS('Preço SFCR-GROWATT PHONO 450Wp'!$G$43-C39)</f>
        <v>#DIV/0!</v>
      </c>
      <c r="E39" s="105">
        <f>+'FRONIUS-BYD 335Wp'!E39</f>
        <v>46</v>
      </c>
      <c r="F39" s="112">
        <f>+IF(L39=0,"",ROUND(N39/(1-'Tabela de BDI'!$C$3),0))</f>
        <v>75608</v>
      </c>
      <c r="G39" s="112">
        <f>+ROUND(F39+(F39*'Preço SFCR-GROWATT PHONO 450Wp'!$H$44),0)</f>
        <v>80901</v>
      </c>
      <c r="H39" s="230" t="s">
        <v>300</v>
      </c>
      <c r="I39" s="157"/>
      <c r="J39" s="318">
        <v>56419.82</v>
      </c>
      <c r="K39" s="150">
        <f t="shared" si="5"/>
        <v>57279.00507614213</v>
      </c>
      <c r="L39" s="106">
        <f t="shared" si="1"/>
        <v>57279.00507614213</v>
      </c>
      <c r="M39" s="106">
        <f>+'FRONIUS-BYD 335Wp'!L39</f>
        <v>8500</v>
      </c>
      <c r="N39" s="106">
        <f t="shared" si="2"/>
        <v>65779.00507614213</v>
      </c>
      <c r="O39" s="106">
        <f>+IF(F39="","",F39*'Tabela de BDI'!$C$7)</f>
        <v>6048.64</v>
      </c>
      <c r="P39" s="106">
        <f>IF(F39="","",F39*'Tabela de BDI'!$C$8)</f>
        <v>3780.4</v>
      </c>
      <c r="Q39" s="109">
        <f t="shared" si="3"/>
        <v>0.31999499466676784</v>
      </c>
      <c r="R39" s="110">
        <f t="shared" si="4"/>
        <v>3.6525603864734304</v>
      </c>
      <c r="S39" s="111">
        <f>+'Tabela de BDI'!$F$9*C39</f>
        <v>2484</v>
      </c>
      <c r="T39" s="114"/>
      <c r="V39" s="273">
        <f t="shared" si="8"/>
        <v>2863.9502538071065</v>
      </c>
      <c r="W39" s="273">
        <f t="shared" si="9"/>
        <v>11363.950253807106</v>
      </c>
      <c r="X39" s="273">
        <f t="shared" si="10"/>
        <v>3394.4266991891345</v>
      </c>
      <c r="Y39" s="273">
        <f t="shared" si="11"/>
        <v>14758.376952996241</v>
      </c>
      <c r="Z39" s="273">
        <f t="shared" si="6"/>
        <v>72037.382029138374</v>
      </c>
      <c r="AB39" s="278">
        <f t="shared" si="7"/>
        <v>4.7225399043244437E-2</v>
      </c>
    </row>
    <row r="40" spans="1:28" ht="15.75" customHeight="1" x14ac:dyDescent="0.25">
      <c r="A40" s="285"/>
      <c r="B40" s="103" t="s">
        <v>85</v>
      </c>
      <c r="C40" s="202">
        <f t="shared" si="0"/>
        <v>21.6</v>
      </c>
      <c r="D40" s="204" t="e">
        <f>ABS('Preço SFCR-GROWATT PHONO 450Wp'!$G$43-C40)</f>
        <v>#DIV/0!</v>
      </c>
      <c r="E40" s="105">
        <f>+'FRONIUS-BYD 335Wp'!E40</f>
        <v>48</v>
      </c>
      <c r="F40" s="112">
        <f>+IF(L40=0,"",ROUND(N40/(1-'Tabela de BDI'!$C$3),0))</f>
        <v>77976</v>
      </c>
      <c r="G40" s="112">
        <f>+ROUND(F40+(F40*'Preço SFCR-GROWATT PHONO 450Wp'!$H$44),0)</f>
        <v>83434</v>
      </c>
      <c r="H40" s="230" t="s">
        <v>300</v>
      </c>
      <c r="I40" s="170"/>
      <c r="J40" s="318">
        <v>58202.67</v>
      </c>
      <c r="K40" s="150">
        <f t="shared" si="5"/>
        <v>59089.00507614213</v>
      </c>
      <c r="L40" s="106">
        <f t="shared" si="1"/>
        <v>59089.00507614213</v>
      </c>
      <c r="M40" s="106">
        <f>+'FRONIUS-BYD 335Wp'!L40</f>
        <v>8750</v>
      </c>
      <c r="N40" s="106">
        <f t="shared" si="2"/>
        <v>67839.00507614213</v>
      </c>
      <c r="O40" s="106">
        <f>+IF(F40="","",F40*'Tabela de BDI'!$C$7)</f>
        <v>6238.08</v>
      </c>
      <c r="P40" s="106">
        <f>IF(F40="","",F40*'Tabela de BDI'!$C$8)</f>
        <v>3898.8</v>
      </c>
      <c r="Q40" s="109">
        <f t="shared" si="3"/>
        <v>0.31963636719758737</v>
      </c>
      <c r="R40" s="110">
        <f t="shared" ref="R40:R69" si="29">IF(F40="","",(F40/C40)/1000)</f>
        <v>3.6099999999999994</v>
      </c>
      <c r="S40" s="111">
        <f>+'Tabela de BDI'!$F$9*C40</f>
        <v>2592</v>
      </c>
      <c r="T40" s="114"/>
      <c r="V40" s="273">
        <f t="shared" si="8"/>
        <v>2954.4502538071065</v>
      </c>
      <c r="W40" s="273">
        <f t="shared" si="9"/>
        <v>11704.450253807106</v>
      </c>
      <c r="X40" s="273">
        <f t="shared" si="10"/>
        <v>3496.1344913969278</v>
      </c>
      <c r="Y40" s="273">
        <f t="shared" si="11"/>
        <v>15200.584745204034</v>
      </c>
      <c r="Z40" s="273">
        <f t="shared" si="6"/>
        <v>74289.589821346162</v>
      </c>
      <c r="AB40" s="278">
        <f t="shared" si="7"/>
        <v>4.7276215484942007E-2</v>
      </c>
    </row>
    <row r="41" spans="1:28" ht="15.75" customHeight="1" x14ac:dyDescent="0.25">
      <c r="A41" s="285"/>
      <c r="B41" s="103" t="s">
        <v>85</v>
      </c>
      <c r="C41" s="202">
        <f t="shared" si="0"/>
        <v>22.5</v>
      </c>
      <c r="D41" s="204" t="e">
        <f>ABS('Preço SFCR-GROWATT PHONO 450Wp'!$G$43-C41)</f>
        <v>#DIV/0!</v>
      </c>
      <c r="E41" s="105">
        <f>+'FRONIUS-BYD 335Wp'!E41</f>
        <v>50</v>
      </c>
      <c r="F41" s="112">
        <f>+IF(L41=0,"",ROUND(N41/(1-'Tabela de BDI'!$C$3),0))</f>
        <v>80712</v>
      </c>
      <c r="G41" s="112">
        <f>+ROUND(F41+(F41*'Preço SFCR-GROWATT PHONO 450Wp'!$H$44),0)</f>
        <v>86362</v>
      </c>
      <c r="H41" s="230" t="s">
        <v>300</v>
      </c>
      <c r="I41" s="170"/>
      <c r="J41" s="318">
        <v>60300.72</v>
      </c>
      <c r="K41" s="150">
        <f t="shared" si="5"/>
        <v>61219.005076142137</v>
      </c>
      <c r="L41" s="106">
        <f t="shared" si="1"/>
        <v>61219.005076142137</v>
      </c>
      <c r="M41" s="106">
        <f>+'FRONIUS-BYD 335Wp'!L41</f>
        <v>9000</v>
      </c>
      <c r="N41" s="106">
        <f t="shared" si="2"/>
        <v>70219.005076142144</v>
      </c>
      <c r="O41" s="106">
        <f>+IF(F41="","",F41*'Tabela de BDI'!$C$7)</f>
        <v>6456.96</v>
      </c>
      <c r="P41" s="106">
        <f>IF(F41="","",F41*'Tabela de BDI'!$C$8)</f>
        <v>4035.6000000000004</v>
      </c>
      <c r="Q41" s="109">
        <f t="shared" si="3"/>
        <v>0.31841410848825674</v>
      </c>
      <c r="R41" s="110">
        <f t="shared" si="29"/>
        <v>3.5871999999999997</v>
      </c>
      <c r="S41" s="111">
        <f>+'Tabela de BDI'!$F$9*C41</f>
        <v>2700</v>
      </c>
      <c r="T41" s="114"/>
      <c r="V41" s="273">
        <f t="shared" si="8"/>
        <v>3060.9502538071069</v>
      </c>
      <c r="W41" s="273">
        <f t="shared" si="9"/>
        <v>12060.950253807106</v>
      </c>
      <c r="X41" s="273">
        <f t="shared" si="10"/>
        <v>3602.6215043839402</v>
      </c>
      <c r="Y41" s="273">
        <f t="shared" si="11"/>
        <v>15663.571758191047</v>
      </c>
      <c r="Z41" s="273">
        <f t="shared" si="6"/>
        <v>76882.576834333187</v>
      </c>
      <c r="AB41" s="278">
        <f t="shared" si="7"/>
        <v>4.744552440364274E-2</v>
      </c>
    </row>
    <row r="42" spans="1:28" ht="15.75" customHeight="1" x14ac:dyDescent="0.25">
      <c r="A42" s="285"/>
      <c r="B42" s="103" t="s">
        <v>85</v>
      </c>
      <c r="C42" s="202">
        <f t="shared" si="0"/>
        <v>23.400000000000002</v>
      </c>
      <c r="D42" s="204" t="e">
        <f>ABS('Preço SFCR-GROWATT PHONO 450Wp'!$G$43-C42)</f>
        <v>#DIV/0!</v>
      </c>
      <c r="E42" s="105">
        <f>+'FRONIUS-BYD 335Wp'!E42</f>
        <v>52</v>
      </c>
      <c r="F42" s="112">
        <f>+IF(L42=0,"",ROUND(N42/(1-'Tabela de BDI'!$C$3),0))</f>
        <v>83068</v>
      </c>
      <c r="G42" s="112">
        <f>+ROUND(F42+(F42*'Preço SFCR-GROWATT PHONO 450Wp'!$H$44),0)</f>
        <v>88883</v>
      </c>
      <c r="H42" s="230" t="s">
        <v>300</v>
      </c>
      <c r="I42" s="170"/>
      <c r="J42" s="318">
        <v>62073.72</v>
      </c>
      <c r="K42" s="150">
        <f t="shared" si="5"/>
        <v>63019.005076142137</v>
      </c>
      <c r="L42" s="106">
        <f t="shared" si="1"/>
        <v>63019.005076142137</v>
      </c>
      <c r="M42" s="106">
        <f>+'FRONIUS-BYD 335Wp'!L42</f>
        <v>9250</v>
      </c>
      <c r="N42" s="106">
        <f t="shared" si="2"/>
        <v>72269.005076142144</v>
      </c>
      <c r="O42" s="106">
        <f>+IF(F42="","",F42*'Tabela de BDI'!$C$7)</f>
        <v>6645.4400000000005</v>
      </c>
      <c r="P42" s="106">
        <f>IF(F42="","",F42*'Tabela de BDI'!$C$8)</f>
        <v>4153.4000000000005</v>
      </c>
      <c r="Q42" s="109">
        <f t="shared" si="3"/>
        <v>0.31814204143073743</v>
      </c>
      <c r="R42" s="110">
        <f t="shared" si="29"/>
        <v>3.5499145299145298</v>
      </c>
      <c r="S42" s="111">
        <f>+'Tabela de BDI'!$F$9*C42</f>
        <v>2808.0000000000005</v>
      </c>
      <c r="T42" s="114"/>
      <c r="V42" s="273">
        <f t="shared" si="8"/>
        <v>3150.9502538071069</v>
      </c>
      <c r="W42" s="273">
        <f t="shared" si="9"/>
        <v>12400.950253807106</v>
      </c>
      <c r="X42" s="273">
        <f t="shared" si="10"/>
        <v>3704.1799459423819</v>
      </c>
      <c r="Y42" s="273">
        <f t="shared" si="11"/>
        <v>16105.130199749488</v>
      </c>
      <c r="Z42" s="273">
        <f t="shared" si="6"/>
        <v>79124.135275891633</v>
      </c>
      <c r="AB42" s="278">
        <f t="shared" si="7"/>
        <v>4.7477545193195539E-2</v>
      </c>
    </row>
    <row r="43" spans="1:28" ht="15.75" customHeight="1" x14ac:dyDescent="0.25">
      <c r="A43" s="285"/>
      <c r="B43" s="103" t="s">
        <v>85</v>
      </c>
      <c r="C43" s="202">
        <f t="shared" si="0"/>
        <v>24.3</v>
      </c>
      <c r="D43" s="204" t="e">
        <f>ABS('Preço SFCR-GROWATT PHONO 450Wp'!$G$43-C43)</f>
        <v>#DIV/0!</v>
      </c>
      <c r="E43" s="105">
        <f>+'FRONIUS-BYD 335Wp'!E43</f>
        <v>54</v>
      </c>
      <c r="F43" s="112">
        <f>+IF(L43=0,"",ROUND(N43/(1-'Tabela de BDI'!$C$3),0))</f>
        <v>85263</v>
      </c>
      <c r="G43" s="112">
        <f>+ROUND(F43+(F43*'Preço SFCR-GROWATT PHONO 450Wp'!$H$44),0)</f>
        <v>91231</v>
      </c>
      <c r="H43" s="230" t="s">
        <v>300</v>
      </c>
      <c r="I43" s="170"/>
      <c r="J43" s="318">
        <v>63708.82</v>
      </c>
      <c r="K43" s="150">
        <f t="shared" si="5"/>
        <v>64679.00507614213</v>
      </c>
      <c r="L43" s="106">
        <f t="shared" si="1"/>
        <v>64679.00507614213</v>
      </c>
      <c r="M43" s="106">
        <f>+'FRONIUS-BYD 335Wp'!L43</f>
        <v>9500</v>
      </c>
      <c r="N43" s="106">
        <f t="shared" si="2"/>
        <v>74179.00507614213</v>
      </c>
      <c r="O43" s="106">
        <f>+IF(F43="","",F43*'Tabela de BDI'!$C$7)</f>
        <v>6821.04</v>
      </c>
      <c r="P43" s="106">
        <f>IF(F43="","",F43*'Tabela de BDI'!$C$8)</f>
        <v>4263.1500000000005</v>
      </c>
      <c r="Q43" s="109">
        <f t="shared" si="3"/>
        <v>0.3182484779972381</v>
      </c>
      <c r="R43" s="110">
        <f t="shared" si="29"/>
        <v>3.5087654320987656</v>
      </c>
      <c r="S43" s="111">
        <f>+'Tabela de BDI'!$F$9*C43</f>
        <v>2916</v>
      </c>
      <c r="T43" s="114"/>
      <c r="V43" s="273">
        <f t="shared" si="8"/>
        <v>3233.9502538071065</v>
      </c>
      <c r="W43" s="273">
        <f t="shared" si="9"/>
        <v>12733.950253807106</v>
      </c>
      <c r="X43" s="273">
        <f t="shared" si="10"/>
        <v>3803.6474784099155</v>
      </c>
      <c r="Y43" s="273">
        <f t="shared" si="11"/>
        <v>16537.597732217022</v>
      </c>
      <c r="Z43" s="273">
        <f t="shared" si="6"/>
        <v>81216.602808359152</v>
      </c>
      <c r="AB43" s="278">
        <f t="shared" si="7"/>
        <v>4.7457832725107583E-2</v>
      </c>
    </row>
    <row r="44" spans="1:28" ht="15.75" customHeight="1" x14ac:dyDescent="0.25">
      <c r="A44" s="285"/>
      <c r="B44" s="103" t="s">
        <v>85</v>
      </c>
      <c r="C44" s="202">
        <f t="shared" si="0"/>
        <v>25.2</v>
      </c>
      <c r="D44" s="204" t="e">
        <f>ABS('Preço SFCR-GROWATT PHONO 450Wp'!$G$43-C44)</f>
        <v>#DIV/0!</v>
      </c>
      <c r="E44" s="105">
        <f>+'FRONIUS-BYD 335Wp'!E44</f>
        <v>56</v>
      </c>
      <c r="F44" s="112">
        <f>+IF(L44=0,"",ROUND(N44/(1-'Tabela de BDI'!$C$3),0))</f>
        <v>87608</v>
      </c>
      <c r="G44" s="112">
        <f>+ROUND(F44+(F44*'Preço SFCR-GROWATT PHONO 450Wp'!$H$44),0)</f>
        <v>93741</v>
      </c>
      <c r="H44" s="230" t="s">
        <v>300</v>
      </c>
      <c r="I44" s="289"/>
      <c r="J44" s="319">
        <v>65471.97</v>
      </c>
      <c r="K44" s="150">
        <f t="shared" si="5"/>
        <v>66469.00507614213</v>
      </c>
      <c r="L44" s="106">
        <f t="shared" si="1"/>
        <v>66469.00507614213</v>
      </c>
      <c r="M44" s="106">
        <f>+'FRONIUS-BYD 335Wp'!L44</f>
        <v>9750</v>
      </c>
      <c r="N44" s="106">
        <f t="shared" si="2"/>
        <v>76219.00507614213</v>
      </c>
      <c r="O44" s="106">
        <f>+IF(F44="","",F44*'Tabela de BDI'!$C$7)</f>
        <v>7008.64</v>
      </c>
      <c r="P44" s="106">
        <f>IF(F44="","",F44*'Tabela de BDI'!$C$8)</f>
        <v>4380.4000000000005</v>
      </c>
      <c r="Q44" s="109">
        <f t="shared" si="3"/>
        <v>0.31802785222439467</v>
      </c>
      <c r="R44" s="110">
        <f t="shared" si="29"/>
        <v>3.4765079365079363</v>
      </c>
      <c r="S44" s="111">
        <f>+'Tabela de BDI'!$F$9*C44</f>
        <v>3024</v>
      </c>
      <c r="T44" s="114"/>
      <c r="V44" s="273">
        <f t="shared" si="8"/>
        <v>3323.4502538071065</v>
      </c>
      <c r="W44" s="273">
        <f t="shared" si="9"/>
        <v>13073.450253807106</v>
      </c>
      <c r="X44" s="273">
        <f t="shared" si="10"/>
        <v>3905.0565693190038</v>
      </c>
      <c r="Y44" s="273">
        <f t="shared" si="11"/>
        <v>16978.50682312611</v>
      </c>
      <c r="Z44" s="273">
        <f t="shared" si="6"/>
        <v>83447.51189926824</v>
      </c>
      <c r="AB44" s="278">
        <f t="shared" si="7"/>
        <v>4.7489819431236417E-2</v>
      </c>
    </row>
    <row r="45" spans="1:28" ht="15.75" customHeight="1" x14ac:dyDescent="0.25">
      <c r="A45" s="285"/>
      <c r="B45" s="103" t="s">
        <v>85</v>
      </c>
      <c r="C45" s="202">
        <f t="shared" si="0"/>
        <v>26.1</v>
      </c>
      <c r="D45" s="204" t="e">
        <f>ABS('Preço SFCR-GROWATT PHONO 450Wp'!$G$43-C45)</f>
        <v>#DIV/0!</v>
      </c>
      <c r="E45" s="105">
        <f>+'FRONIUS-BYD 335Wp'!E45</f>
        <v>58</v>
      </c>
      <c r="F45" s="112">
        <f>+IF(L45=0,"",ROUND(N45/(1-'Tabela de BDI'!$C$3),0))</f>
        <v>90332</v>
      </c>
      <c r="G45" s="112">
        <f>+ROUND(F45+(F45*'Preço SFCR-GROWATT PHONO 450Wp'!$H$44),0)</f>
        <v>96655</v>
      </c>
      <c r="H45" s="230" t="s">
        <v>300</v>
      </c>
      <c r="I45" s="289"/>
      <c r="J45" s="319">
        <v>67560.17</v>
      </c>
      <c r="K45" s="150">
        <f t="shared" si="5"/>
        <v>68589.00507614213</v>
      </c>
      <c r="L45" s="106">
        <f t="shared" si="1"/>
        <v>68589.00507614213</v>
      </c>
      <c r="M45" s="106">
        <f>+'FRONIUS-BYD 335Wp'!L45</f>
        <v>10000</v>
      </c>
      <c r="N45" s="106">
        <f t="shared" si="2"/>
        <v>78589.00507614213</v>
      </c>
      <c r="O45" s="106">
        <f>+IF(F45="","",F45*'Tabela de BDI'!$C$7)</f>
        <v>7226.56</v>
      </c>
      <c r="P45" s="106">
        <f>IF(F45="","",F45*'Tabela de BDI'!$C$8)</f>
        <v>4516.6000000000004</v>
      </c>
      <c r="Q45" s="109">
        <f t="shared" si="3"/>
        <v>0.31700408687544751</v>
      </c>
      <c r="R45" s="110">
        <f t="shared" si="29"/>
        <v>3.4609961685823754</v>
      </c>
      <c r="S45" s="111">
        <f>+'Tabela de BDI'!$F$9*C45</f>
        <v>3132</v>
      </c>
      <c r="T45" s="114"/>
      <c r="V45" s="273">
        <f t="shared" si="8"/>
        <v>3429.4502538071065</v>
      </c>
      <c r="W45" s="273">
        <f t="shared" si="9"/>
        <v>13429.450253807106</v>
      </c>
      <c r="X45" s="273">
        <f t="shared" si="10"/>
        <v>4011.3942316566681</v>
      </c>
      <c r="Y45" s="273">
        <f t="shared" si="11"/>
        <v>17440.844485463775</v>
      </c>
      <c r="Z45" s="273">
        <f t="shared" si="6"/>
        <v>86029.849561605908</v>
      </c>
      <c r="AB45" s="278">
        <f t="shared" si="7"/>
        <v>4.7625984572400609E-2</v>
      </c>
    </row>
    <row r="46" spans="1:28" ht="15.75" customHeight="1" x14ac:dyDescent="0.25">
      <c r="A46" s="285"/>
      <c r="B46" s="103" t="s">
        <v>85</v>
      </c>
      <c r="C46" s="202">
        <f t="shared" si="0"/>
        <v>27</v>
      </c>
      <c r="D46" s="204" t="e">
        <f>ABS('Preço SFCR-GROWATT PHONO 450Wp'!$G$43-C46)</f>
        <v>#DIV/0!</v>
      </c>
      <c r="E46" s="105">
        <f>+'FRONIUS-BYD 335Wp'!E46</f>
        <v>60</v>
      </c>
      <c r="F46" s="112">
        <f>+IF(L46=0,"",ROUND(N46/(1-'Tabela de BDI'!$C$3),0))</f>
        <v>96114</v>
      </c>
      <c r="G46" s="112">
        <f>+ROUND(F46+(F46*'Preço SFCR-GROWATT PHONO 450Wp'!$H$44),0)</f>
        <v>102842</v>
      </c>
      <c r="H46" s="230" t="s">
        <v>301</v>
      </c>
      <c r="I46" s="206"/>
      <c r="J46" s="319">
        <v>72268.47</v>
      </c>
      <c r="K46" s="150">
        <f t="shared" si="5"/>
        <v>73369.00507614213</v>
      </c>
      <c r="L46" s="106">
        <f t="shared" si="1"/>
        <v>73369.00507614213</v>
      </c>
      <c r="M46" s="106">
        <f>+'FRONIUS-BYD 335Wp'!L46</f>
        <v>10250</v>
      </c>
      <c r="N46" s="106">
        <f t="shared" si="2"/>
        <v>83619.00507614213</v>
      </c>
      <c r="O46" s="106">
        <f>+IF(F46="","",F46*'Tabela de BDI'!$C$7)</f>
        <v>7689.12</v>
      </c>
      <c r="P46" s="106">
        <f>IF(F46="","",F46*'Tabela de BDI'!$C$8)</f>
        <v>4805.7</v>
      </c>
      <c r="Q46" s="109">
        <f t="shared" si="3"/>
        <v>0.31000822350327883</v>
      </c>
      <c r="R46" s="110">
        <f t="shared" si="29"/>
        <v>3.5597777777777777</v>
      </c>
      <c r="S46" s="111">
        <f>+'Tabela de BDI'!$F$9*C46</f>
        <v>3240</v>
      </c>
      <c r="T46" s="114"/>
      <c r="V46" s="273">
        <f t="shared" si="8"/>
        <v>3668.4502538071065</v>
      </c>
      <c r="W46" s="273">
        <f t="shared" si="9"/>
        <v>13918.450253807106</v>
      </c>
      <c r="X46" s="273">
        <f t="shared" si="10"/>
        <v>4157.4591667216046</v>
      </c>
      <c r="Y46" s="273">
        <f t="shared" si="11"/>
        <v>18075.909420528711</v>
      </c>
      <c r="Z46" s="273">
        <f t="shared" si="6"/>
        <v>91444.914496670841</v>
      </c>
      <c r="AB46" s="278">
        <f t="shared" si="7"/>
        <v>4.8578620214840287E-2</v>
      </c>
    </row>
    <row r="47" spans="1:28" ht="15.75" customHeight="1" x14ac:dyDescent="0.25">
      <c r="A47" s="285"/>
      <c r="B47" s="103" t="s">
        <v>85</v>
      </c>
      <c r="C47" s="202">
        <f t="shared" si="0"/>
        <v>27.900000000000002</v>
      </c>
      <c r="D47" s="204" t="e">
        <f>ABS('Preço SFCR-GROWATT PHONO 450Wp'!$G$43-C47)</f>
        <v>#DIV/0!</v>
      </c>
      <c r="E47" s="105">
        <f>+'FRONIUS-BYD 335Wp'!E47</f>
        <v>62</v>
      </c>
      <c r="F47" s="112">
        <f>+IF(L47=0,"",ROUND(N47/(1-'Tabela de BDI'!$C$3),0))</f>
        <v>98838</v>
      </c>
      <c r="G47" s="112">
        <f>+ROUND(F47+(F47*'Preço SFCR-GROWATT PHONO 450Wp'!$H$44),0)</f>
        <v>105757</v>
      </c>
      <c r="H47" s="230" t="s">
        <v>301</v>
      </c>
      <c r="I47" s="206"/>
      <c r="J47" s="319">
        <v>74356.67</v>
      </c>
      <c r="K47" s="150">
        <f t="shared" si="5"/>
        <v>75489.00507614213</v>
      </c>
      <c r="L47" s="106">
        <f t="shared" si="1"/>
        <v>75489.00507614213</v>
      </c>
      <c r="M47" s="106">
        <f>+'FRONIUS-BYD 335Wp'!L47</f>
        <v>10500</v>
      </c>
      <c r="N47" s="106">
        <f t="shared" si="2"/>
        <v>85989.00507614213</v>
      </c>
      <c r="O47" s="106">
        <f>+IF(F47="","",F47*'Tabela de BDI'!$C$7)</f>
        <v>7907.04</v>
      </c>
      <c r="P47" s="106">
        <f>IF(F47="","",F47*'Tabela de BDI'!$C$8)</f>
        <v>4941.9000000000005</v>
      </c>
      <c r="Q47" s="109">
        <f t="shared" si="3"/>
        <v>0.30930325416670762</v>
      </c>
      <c r="R47" s="110">
        <f t="shared" si="29"/>
        <v>3.5425806451612902</v>
      </c>
      <c r="S47" s="111">
        <f>+'Tabela de BDI'!$F$9*C47</f>
        <v>3348.0000000000005</v>
      </c>
      <c r="T47" s="114"/>
      <c r="V47" s="273">
        <f t="shared" si="8"/>
        <v>3774.4502538071065</v>
      </c>
      <c r="W47" s="273">
        <f t="shared" si="9"/>
        <v>14274.450253807106</v>
      </c>
      <c r="X47" s="273">
        <f t="shared" si="10"/>
        <v>4263.7968290592653</v>
      </c>
      <c r="Y47" s="273">
        <f t="shared" si="11"/>
        <v>18538.247082866372</v>
      </c>
      <c r="Z47" s="273">
        <f t="shared" si="6"/>
        <v>94027.252159008494</v>
      </c>
      <c r="AB47" s="278">
        <f t="shared" si="7"/>
        <v>4.8673059359674475E-2</v>
      </c>
    </row>
    <row r="48" spans="1:28" ht="15.75" customHeight="1" x14ac:dyDescent="0.25">
      <c r="A48" s="285"/>
      <c r="B48" s="103" t="s">
        <v>85</v>
      </c>
      <c r="C48" s="202">
        <f t="shared" si="0"/>
        <v>28.8</v>
      </c>
      <c r="D48" s="204" t="e">
        <f>ABS('Preço SFCR-GROWATT PHONO 450Wp'!$G$43-C48)</f>
        <v>#DIV/0!</v>
      </c>
      <c r="E48" s="105">
        <f>+'FRONIUS-BYD 335Wp'!E48</f>
        <v>64</v>
      </c>
      <c r="F48" s="112">
        <f>+IF(L48=0,"",ROUND(N48/(1-'Tabela de BDI'!$C$3),0))</f>
        <v>101183</v>
      </c>
      <c r="G48" s="112">
        <f>+ROUND(F48+(F48*'Preço SFCR-GROWATT PHONO 450Wp'!$H$44),0)</f>
        <v>108266</v>
      </c>
      <c r="H48" s="230" t="s">
        <v>301</v>
      </c>
      <c r="I48" s="157"/>
      <c r="J48" s="319">
        <v>76119.820000000007</v>
      </c>
      <c r="K48" s="150">
        <f t="shared" si="5"/>
        <v>77279.005076142144</v>
      </c>
      <c r="L48" s="106">
        <f t="shared" si="1"/>
        <v>77279.005076142144</v>
      </c>
      <c r="M48" s="106">
        <f>+'FRONIUS-BYD 335Wp'!L48</f>
        <v>10750</v>
      </c>
      <c r="N48" s="106">
        <f t="shared" si="2"/>
        <v>88029.005076142144</v>
      </c>
      <c r="O48" s="106">
        <f>+IF(F48="","",F48*'Tabela de BDI'!$C$7)</f>
        <v>8094.64</v>
      </c>
      <c r="P48" s="106">
        <f>IF(F48="","",F48*'Tabela de BDI'!$C$8)</f>
        <v>5059.1500000000005</v>
      </c>
      <c r="Q48" s="109">
        <f t="shared" si="3"/>
        <v>0.30932068678039415</v>
      </c>
      <c r="R48" s="110">
        <f t="shared" si="29"/>
        <v>3.5132986111111109</v>
      </c>
      <c r="S48" s="111">
        <f>+'Tabela de BDI'!$F$9*C48</f>
        <v>3456</v>
      </c>
      <c r="T48" s="114"/>
      <c r="V48" s="273">
        <f t="shared" si="8"/>
        <v>3863.9502538071074</v>
      </c>
      <c r="W48" s="273">
        <f t="shared" si="9"/>
        <v>14613.950253807106</v>
      </c>
      <c r="X48" s="273">
        <f t="shared" si="10"/>
        <v>4365.2059199683572</v>
      </c>
      <c r="Y48" s="273">
        <f t="shared" si="11"/>
        <v>18979.156173775464</v>
      </c>
      <c r="Z48" s="273">
        <f t="shared" si="6"/>
        <v>96258.161249917612</v>
      </c>
      <c r="AB48" s="278">
        <f t="shared" si="7"/>
        <v>4.8672590752225062E-2</v>
      </c>
    </row>
    <row r="49" spans="1:28" ht="15.75" customHeight="1" x14ac:dyDescent="0.25">
      <c r="A49" s="285"/>
      <c r="B49" s="116" t="s">
        <v>89</v>
      </c>
      <c r="C49" s="202">
        <f t="shared" si="0"/>
        <v>29.7</v>
      </c>
      <c r="D49" s="204" t="e">
        <f>ABS('Preço SFCR-GROWATT PHONO 450Wp'!$G$43-C49)</f>
        <v>#DIV/0!</v>
      </c>
      <c r="E49" s="181">
        <v>66</v>
      </c>
      <c r="F49" s="112" t="str">
        <f>+IF(L49=0,"",ROUND(N49/(1-'Tabela de BDI'!$C$3),0))</f>
        <v/>
      </c>
      <c r="G49" s="112"/>
      <c r="H49" s="156"/>
      <c r="I49" s="289"/>
      <c r="J49" s="157"/>
      <c r="K49" s="150">
        <f t="shared" si="5"/>
        <v>0</v>
      </c>
      <c r="L49" s="106">
        <f t="shared" si="1"/>
        <v>0</v>
      </c>
      <c r="M49" s="168">
        <v>12000</v>
      </c>
      <c r="N49" s="106">
        <f t="shared" si="2"/>
        <v>12000</v>
      </c>
      <c r="O49" s="106" t="str">
        <f>+IF(F49="","",F49*'Tabela de BDI'!$C$7)</f>
        <v/>
      </c>
      <c r="P49" s="106" t="str">
        <f>IF(F49="","",F49*'Tabela de BDI'!$C$8)</f>
        <v/>
      </c>
      <c r="Q49" s="109" t="str">
        <f t="shared" si="3"/>
        <v/>
      </c>
      <c r="R49" s="110" t="str">
        <f t="shared" si="29"/>
        <v/>
      </c>
      <c r="S49" s="111">
        <f>+'Tabela de BDI'!$F$9*C49</f>
        <v>3564</v>
      </c>
      <c r="T49" s="114"/>
      <c r="V49" s="273">
        <f t="shared" si="8"/>
        <v>0</v>
      </c>
      <c r="W49" s="273">
        <f t="shared" si="9"/>
        <v>12000</v>
      </c>
      <c r="X49" s="273">
        <f t="shared" si="10"/>
        <v>3584.4155844155848</v>
      </c>
      <c r="Y49" s="273">
        <f t="shared" si="11"/>
        <v>15584.415584415585</v>
      </c>
      <c r="Z49" s="273" t="str">
        <f t="shared" si="6"/>
        <v/>
      </c>
      <c r="AB49" s="278" t="str">
        <f t="shared" si="7"/>
        <v/>
      </c>
    </row>
    <row r="50" spans="1:28" ht="15.75" customHeight="1" x14ac:dyDescent="0.25">
      <c r="A50" s="285"/>
      <c r="B50" s="116" t="s">
        <v>89</v>
      </c>
      <c r="C50" s="202">
        <f t="shared" si="0"/>
        <v>30.6</v>
      </c>
      <c r="D50" s="204" t="e">
        <f>ABS('Preço SFCR-GROWATT PHONO 450Wp'!$G$43-C50)</f>
        <v>#DIV/0!</v>
      </c>
      <c r="E50" s="181">
        <v>68</v>
      </c>
      <c r="F50" s="112">
        <f>+IF(L50=0,"",ROUND(N50/(1-'Tabela de BDI'!$C$3),0))</f>
        <v>107401</v>
      </c>
      <c r="G50" s="112">
        <f>+ROUND(F50+(F50*'Preço SFCR-GROWATT PHONO 450Wp'!$H$44),0)</f>
        <v>114919</v>
      </c>
      <c r="H50" s="230" t="s">
        <v>301</v>
      </c>
      <c r="I50" s="157"/>
      <c r="J50" s="318">
        <v>79971.17</v>
      </c>
      <c r="K50" s="150">
        <f t="shared" si="5"/>
        <v>81189.00507614213</v>
      </c>
      <c r="L50" s="106">
        <f t="shared" si="1"/>
        <v>81189.00507614213</v>
      </c>
      <c r="M50" s="151">
        <f t="shared" ref="M50:M67" si="30">+((M49+(E50-E49)*125))</f>
        <v>12250</v>
      </c>
      <c r="N50" s="106">
        <f t="shared" si="2"/>
        <v>93439.00507614213</v>
      </c>
      <c r="O50" s="106">
        <f>+IF(F50="","",F50*'Tabela de BDI'!$C$7)</f>
        <v>8592.08</v>
      </c>
      <c r="P50" s="106">
        <f>IF(F50="","",F50*'Tabela de BDI'!$C$8)</f>
        <v>5370.05</v>
      </c>
      <c r="Q50" s="109">
        <f t="shared" si="3"/>
        <v>0.32285153512196962</v>
      </c>
      <c r="R50" s="110">
        <f t="shared" si="29"/>
        <v>3.5098366013071893</v>
      </c>
      <c r="S50" s="111">
        <f>+'Tabela de BDI'!$F$9*C50</f>
        <v>3672</v>
      </c>
      <c r="T50" s="114"/>
      <c r="V50" s="273">
        <f t="shared" si="8"/>
        <v>4059.4502538071065</v>
      </c>
      <c r="W50" s="273">
        <f t="shared" si="9"/>
        <v>16309.450253807106</v>
      </c>
      <c r="X50" s="273">
        <f t="shared" si="10"/>
        <v>4871.6539719164066</v>
      </c>
      <c r="Y50" s="273">
        <f t="shared" si="11"/>
        <v>21181.104225723513</v>
      </c>
      <c r="Z50" s="273">
        <f t="shared" si="6"/>
        <v>102370.10930186564</v>
      </c>
      <c r="AB50" s="278">
        <f t="shared" si="7"/>
        <v>4.6842121564364958E-2</v>
      </c>
    </row>
    <row r="51" spans="1:28" s="313" customFormat="1" ht="15.75" customHeight="1" x14ac:dyDescent="0.25">
      <c r="A51" s="314"/>
      <c r="B51" s="116" t="s">
        <v>89</v>
      </c>
      <c r="C51" s="202">
        <f t="shared" ref="C51" si="31">+E51*$B$3</f>
        <v>31.5</v>
      </c>
      <c r="D51" s="204" t="e">
        <f>ABS('Preço SFCR-GROWATT PHONO 450Wp'!$G$43-C51)</f>
        <v>#DIV/0!</v>
      </c>
      <c r="E51" s="181">
        <v>70</v>
      </c>
      <c r="F51" s="112">
        <f>+IF(L51=0,"",ROUND(N51/(1-'Tabela de BDI'!$C$3),0))</f>
        <v>113125</v>
      </c>
      <c r="G51" s="112">
        <f>+ROUND(F51+(F51*'Preço SFCR-GROWATT PHONO 450Wp'!$H$44),0)</f>
        <v>121044</v>
      </c>
      <c r="H51" s="230" t="s">
        <v>302</v>
      </c>
      <c r="I51" s="157"/>
      <c r="J51" s="318">
        <v>84630.22</v>
      </c>
      <c r="K51" s="150">
        <f t="shared" ref="K51" si="32">+J51/(1-$J$5)</f>
        <v>85919.00507614213</v>
      </c>
      <c r="L51" s="106">
        <f t="shared" ref="L51" si="33">+I51+K51</f>
        <v>85919.00507614213</v>
      </c>
      <c r="M51" s="151">
        <f t="shared" ref="M51" si="34">+((M50+(E51-E50)*125))</f>
        <v>12500</v>
      </c>
      <c r="N51" s="106">
        <f t="shared" ref="N51" si="35">+L51+M51</f>
        <v>98419.00507614213</v>
      </c>
      <c r="O51" s="106">
        <f>+IF(F51="","",F51*'Tabela de BDI'!$C$7)</f>
        <v>9050</v>
      </c>
      <c r="P51" s="106">
        <f>IF(F51="","",F51*'Tabela de BDI'!$C$8)</f>
        <v>5656.25</v>
      </c>
      <c r="Q51" s="109">
        <f t="shared" ref="Q51" si="36">IF(F51="","",(F51-L51)/L51)</f>
        <v>0.31664699678200059</v>
      </c>
      <c r="R51" s="110">
        <f t="shared" ref="R51" si="37">IF(F51="","",(F51/C51)/1000)</f>
        <v>3.5912698412698414</v>
      </c>
      <c r="S51" s="111">
        <f>+'Tabela de BDI'!$F$9*C51</f>
        <v>3780</v>
      </c>
      <c r="T51" s="114"/>
      <c r="V51" s="273"/>
      <c r="W51" s="273"/>
      <c r="X51" s="273"/>
      <c r="Y51" s="273"/>
      <c r="Z51" s="273"/>
      <c r="AB51" s="278"/>
    </row>
    <row r="52" spans="1:28" s="313" customFormat="1" ht="15.75" customHeight="1" x14ac:dyDescent="0.25">
      <c r="A52" s="314"/>
      <c r="B52" s="116" t="s">
        <v>89</v>
      </c>
      <c r="C52" s="202">
        <f t="shared" ref="C52" si="38">+E52*$B$3</f>
        <v>32.4</v>
      </c>
      <c r="D52" s="204" t="e">
        <f>ABS('Preço SFCR-GROWATT PHONO 450Wp'!$G$43-C52)</f>
        <v>#DIV/0!</v>
      </c>
      <c r="E52" s="181">
        <v>72</v>
      </c>
      <c r="F52" s="112">
        <f>+IF(L52=0,"",ROUND(N52/(1-'Tabela de BDI'!$C$3),0))</f>
        <v>115470</v>
      </c>
      <c r="G52" s="112">
        <f>+ROUND(F52+(F52*'Preço SFCR-GROWATT PHONO 450Wp'!$H$44),0)</f>
        <v>123553</v>
      </c>
      <c r="H52" s="230" t="s">
        <v>302</v>
      </c>
      <c r="I52" s="157"/>
      <c r="J52" s="318">
        <v>86393.37</v>
      </c>
      <c r="K52" s="150">
        <f t="shared" ref="K52" si="39">+J52/(1-$J$5)</f>
        <v>87709.00507614213</v>
      </c>
      <c r="L52" s="106">
        <f t="shared" ref="L52" si="40">+I52+K52</f>
        <v>87709.00507614213</v>
      </c>
      <c r="M52" s="151">
        <f t="shared" ref="M52" si="41">+((M51+(E52-E51)*125))</f>
        <v>12750</v>
      </c>
      <c r="N52" s="106">
        <f t="shared" ref="N52" si="42">+L52+M52</f>
        <v>100459.00507614213</v>
      </c>
      <c r="O52" s="106">
        <f>+IF(F52="","",F52*'Tabela de BDI'!$C$7)</f>
        <v>9237.6</v>
      </c>
      <c r="P52" s="106">
        <f>IF(F52="","",F52*'Tabela de BDI'!$C$8)</f>
        <v>5773.5</v>
      </c>
      <c r="Q52" s="109">
        <f t="shared" ref="Q52" si="43">IF(F52="","",(F52-L52)/L52)</f>
        <v>0.31651248238146057</v>
      </c>
      <c r="R52" s="110">
        <f t="shared" ref="R52" si="44">IF(F52="","",(F52/C52)/1000)</f>
        <v>3.5638888888888891</v>
      </c>
      <c r="S52" s="111">
        <f>+'Tabela de BDI'!$F$9*C52</f>
        <v>3888</v>
      </c>
      <c r="T52" s="114"/>
      <c r="V52" s="273"/>
      <c r="W52" s="273"/>
      <c r="X52" s="273"/>
      <c r="Y52" s="273"/>
      <c r="Z52" s="273"/>
      <c r="AB52" s="278"/>
    </row>
    <row r="53" spans="1:28" ht="15.75" customHeight="1" x14ac:dyDescent="0.25">
      <c r="A53" s="285"/>
      <c r="B53" s="116" t="s">
        <v>89</v>
      </c>
      <c r="C53" s="202">
        <f t="shared" si="0"/>
        <v>33.300000000000004</v>
      </c>
      <c r="D53" s="204" t="e">
        <f>ABS('Preço SFCR-GROWATT PHONO 450Wp'!$G$43-C53)</f>
        <v>#DIV/0!</v>
      </c>
      <c r="E53" s="181">
        <v>74</v>
      </c>
      <c r="F53" s="112">
        <f>+IF(L53=0,"",ROUND(N53/(1-'Tabela de BDI'!$C$3),0))</f>
        <v>118183</v>
      </c>
      <c r="G53" s="112">
        <f>+ROUND(F53+(F53*'Preço SFCR-GROWATT PHONO 450Wp'!$H$44),0)</f>
        <v>126456</v>
      </c>
      <c r="H53" s="230" t="s">
        <v>302</v>
      </c>
      <c r="I53" s="157"/>
      <c r="J53" s="318">
        <v>88471.72</v>
      </c>
      <c r="K53" s="150">
        <f t="shared" si="5"/>
        <v>89819.00507614213</v>
      </c>
      <c r="L53" s="106">
        <f t="shared" si="1"/>
        <v>89819.00507614213</v>
      </c>
      <c r="M53" s="151">
        <f>+((M50+(E53-E50)*125))</f>
        <v>13000</v>
      </c>
      <c r="N53" s="106">
        <f t="shared" si="2"/>
        <v>102819.00507614213</v>
      </c>
      <c r="O53" s="106">
        <f>+IF(F53="","",F53*'Tabela de BDI'!$C$7)</f>
        <v>9454.64</v>
      </c>
      <c r="P53" s="106">
        <f>IF(F53="","",F53*'Tabela de BDI'!$C$8)</f>
        <v>5909.1500000000005</v>
      </c>
      <c r="Q53" s="109">
        <f t="shared" si="3"/>
        <v>0.31579057126955373</v>
      </c>
      <c r="R53" s="110">
        <f t="shared" si="29"/>
        <v>3.5490390390390383</v>
      </c>
      <c r="S53" s="111">
        <f>+'Tabela de BDI'!$F$9*C53</f>
        <v>3996.0000000000005</v>
      </c>
      <c r="T53" s="114"/>
      <c r="V53" s="273">
        <f t="shared" si="8"/>
        <v>4490.9502538071065</v>
      </c>
      <c r="W53" s="273">
        <f t="shared" si="9"/>
        <v>17490.950253807106</v>
      </c>
      <c r="X53" s="273">
        <f t="shared" si="10"/>
        <v>5224.5695563319932</v>
      </c>
      <c r="Y53" s="273">
        <f t="shared" si="11"/>
        <v>22715.5198101391</v>
      </c>
      <c r="Z53" s="273">
        <f t="shared" si="6"/>
        <v>112534.52488628123</v>
      </c>
      <c r="AB53" s="278">
        <f t="shared" si="7"/>
        <v>4.7794311480659407E-2</v>
      </c>
    </row>
    <row r="54" spans="1:28" ht="15.75" customHeight="1" x14ac:dyDescent="0.25">
      <c r="A54" s="285"/>
      <c r="B54" s="116" t="s">
        <v>89</v>
      </c>
      <c r="C54" s="202">
        <f t="shared" si="0"/>
        <v>34.200000000000003</v>
      </c>
      <c r="D54" s="204" t="e">
        <f>ABS('Preço SFCR-GROWATT PHONO 450Wp'!$G$43-C54)</f>
        <v>#DIV/0!</v>
      </c>
      <c r="E54" s="181">
        <v>76</v>
      </c>
      <c r="F54" s="112">
        <f>+IF(L54=0,"",ROUND(N54/(1-'Tabela de BDI'!$C$3),0))</f>
        <v>120539</v>
      </c>
      <c r="G54" s="112">
        <f>+ROUND(F54+(F54*'Preço SFCR-GROWATT PHONO 450Wp'!$H$44),0)</f>
        <v>128977</v>
      </c>
      <c r="H54" s="230" t="s">
        <v>302</v>
      </c>
      <c r="I54" s="262"/>
      <c r="J54" s="318">
        <v>90244.72</v>
      </c>
      <c r="K54" s="150">
        <f t="shared" si="5"/>
        <v>91619.00507614213</v>
      </c>
      <c r="L54" s="106">
        <f t="shared" si="1"/>
        <v>91619.00507614213</v>
      </c>
      <c r="M54" s="151">
        <f t="shared" si="30"/>
        <v>13250</v>
      </c>
      <c r="N54" s="106">
        <f t="shared" si="2"/>
        <v>104869.00507614213</v>
      </c>
      <c r="O54" s="106">
        <f>+IF(F54="","",F54*'Tabela de BDI'!$C$7)</f>
        <v>9643.1200000000008</v>
      </c>
      <c r="P54" s="106">
        <f>IF(F54="","",F54*'Tabela de BDI'!$C$8)</f>
        <v>6026.9500000000007</v>
      </c>
      <c r="Q54" s="109">
        <f t="shared" si="3"/>
        <v>0.31565497682302079</v>
      </c>
      <c r="R54" s="110">
        <f t="shared" si="29"/>
        <v>3.5245321637426894</v>
      </c>
      <c r="S54" s="111">
        <f>+'Tabela de BDI'!$F$9*C54</f>
        <v>4104</v>
      </c>
      <c r="T54" s="114"/>
      <c r="V54" s="273">
        <f t="shared" si="8"/>
        <v>4580.9502538071065</v>
      </c>
      <c r="W54" s="273">
        <f t="shared" si="9"/>
        <v>17830.950253807106</v>
      </c>
      <c r="X54" s="273">
        <f t="shared" si="10"/>
        <v>5326.1279978904349</v>
      </c>
      <c r="Y54" s="273">
        <f t="shared" si="11"/>
        <v>23157.078251697541</v>
      </c>
      <c r="Z54" s="273">
        <f t="shared" si="6"/>
        <v>114776.08332783967</v>
      </c>
      <c r="AB54" s="278">
        <f t="shared" si="7"/>
        <v>4.7809560989889789E-2</v>
      </c>
    </row>
    <row r="55" spans="1:28" ht="15.75" customHeight="1" x14ac:dyDescent="0.25">
      <c r="A55" s="285"/>
      <c r="B55" s="116" t="s">
        <v>89</v>
      </c>
      <c r="C55" s="202">
        <f t="shared" si="0"/>
        <v>35.1</v>
      </c>
      <c r="D55" s="204" t="e">
        <f>ABS('Preço SFCR-GROWATT PHONO 450Wp'!$G$43-C55)</f>
        <v>#DIV/0!</v>
      </c>
      <c r="E55" s="181">
        <v>78</v>
      </c>
      <c r="F55" s="112">
        <f>+IF(L55=0,"",ROUND(N55/(1-'Tabela de BDI'!$C$3),0))</f>
        <v>123252</v>
      </c>
      <c r="G55" s="112">
        <f>+ROUND(F55+(F55*'Preço SFCR-GROWATT PHONO 450Wp'!$H$44),0)</f>
        <v>131880</v>
      </c>
      <c r="H55" s="230" t="s">
        <v>302</v>
      </c>
      <c r="I55" s="264"/>
      <c r="J55" s="319">
        <v>92323.07</v>
      </c>
      <c r="K55" s="150">
        <f t="shared" si="5"/>
        <v>93729.005076142144</v>
      </c>
      <c r="L55" s="106">
        <f t="shared" si="1"/>
        <v>93729.005076142144</v>
      </c>
      <c r="M55" s="151">
        <f t="shared" si="30"/>
        <v>13500</v>
      </c>
      <c r="N55" s="106">
        <f t="shared" si="2"/>
        <v>107229.00507614214</v>
      </c>
      <c r="O55" s="106">
        <f>+IF(F55="","",F55*'Tabela de BDI'!$C$7)</f>
        <v>9860.16</v>
      </c>
      <c r="P55" s="106">
        <f>IF(F55="","",F55*'Tabela de BDI'!$C$8)</f>
        <v>6162.6</v>
      </c>
      <c r="Q55" s="109">
        <f t="shared" si="3"/>
        <v>0.31498248487620684</v>
      </c>
      <c r="R55" s="110">
        <f t="shared" si="29"/>
        <v>3.5114529914529911</v>
      </c>
      <c r="S55" s="111">
        <f>+'Tabela de BDI'!$F$9*C55</f>
        <v>4212</v>
      </c>
      <c r="T55" s="114"/>
      <c r="V55" s="273">
        <f t="shared" si="8"/>
        <v>4686.4502538071074</v>
      </c>
      <c r="W55" s="273">
        <f t="shared" si="9"/>
        <v>18186.450253807106</v>
      </c>
      <c r="X55" s="273">
        <f t="shared" si="10"/>
        <v>5432.3163095787459</v>
      </c>
      <c r="Y55" s="273">
        <f t="shared" si="11"/>
        <v>23618.766563385852</v>
      </c>
      <c r="Z55" s="273">
        <f t="shared" si="6"/>
        <v>117347.771639528</v>
      </c>
      <c r="AB55" s="278">
        <f t="shared" si="7"/>
        <v>4.7903712397948918E-2</v>
      </c>
    </row>
    <row r="56" spans="1:28" ht="15.75" customHeight="1" x14ac:dyDescent="0.25">
      <c r="A56" s="285"/>
      <c r="B56" s="116" t="s">
        <v>89</v>
      </c>
      <c r="C56" s="202">
        <f t="shared" si="0"/>
        <v>36</v>
      </c>
      <c r="D56" s="204" t="e">
        <f>ABS('Preço SFCR-GROWATT PHONO 450Wp'!$G$43-C56)</f>
        <v>#DIV/0!</v>
      </c>
      <c r="E56" s="181">
        <v>80</v>
      </c>
      <c r="F56" s="112">
        <f>+IF(L56=0,"",ROUND(N56/(1-'Tabela de BDI'!$C$3),0))</f>
        <v>125597</v>
      </c>
      <c r="G56" s="112">
        <f>+ROUND(F56+(F56*'Preço SFCR-GROWATT PHONO 450Wp'!$H$44),0)</f>
        <v>134389</v>
      </c>
      <c r="H56" s="230" t="s">
        <v>302</v>
      </c>
      <c r="I56" s="265"/>
      <c r="J56" s="148">
        <v>94086.22</v>
      </c>
      <c r="K56" s="150">
        <f t="shared" si="5"/>
        <v>95519.00507614213</v>
      </c>
      <c r="L56" s="106">
        <f t="shared" si="1"/>
        <v>95519.00507614213</v>
      </c>
      <c r="M56" s="151">
        <f t="shared" si="30"/>
        <v>13750</v>
      </c>
      <c r="N56" s="106">
        <f t="shared" si="2"/>
        <v>109269.00507614213</v>
      </c>
      <c r="O56" s="106">
        <f>+IF(F56="","",F56*'Tabela de BDI'!$C$7)</f>
        <v>10047.76</v>
      </c>
      <c r="P56" s="106">
        <f>IF(F56="","",F56*'Tabela de BDI'!$C$8)</f>
        <v>6279.85</v>
      </c>
      <c r="Q56" s="109">
        <f t="shared" si="3"/>
        <v>0.31489016138601383</v>
      </c>
      <c r="R56" s="110">
        <f t="shared" si="29"/>
        <v>3.4888055555555555</v>
      </c>
      <c r="S56" s="111">
        <f>+'Tabela de BDI'!$F$9*C56</f>
        <v>4320</v>
      </c>
      <c r="T56" s="114"/>
      <c r="V56" s="273">
        <f t="shared" si="8"/>
        <v>4775.9502538071065</v>
      </c>
      <c r="W56" s="273">
        <f t="shared" si="9"/>
        <v>18525.950253807106</v>
      </c>
      <c r="X56" s="273">
        <f t="shared" si="10"/>
        <v>5533.7254004878378</v>
      </c>
      <c r="Y56" s="273">
        <f t="shared" si="11"/>
        <v>24059.675654294944</v>
      </c>
      <c r="Z56" s="273">
        <f t="shared" si="6"/>
        <v>119578.68073043707</v>
      </c>
      <c r="AB56" s="278">
        <f t="shared" si="7"/>
        <v>4.7917699225004787E-2</v>
      </c>
    </row>
    <row r="57" spans="1:28" ht="15.75" customHeight="1" x14ac:dyDescent="0.25">
      <c r="A57" s="285"/>
      <c r="B57" s="116" t="s">
        <v>89</v>
      </c>
      <c r="C57" s="202">
        <f t="shared" si="0"/>
        <v>36.9</v>
      </c>
      <c r="D57" s="204" t="e">
        <f>ABS('Preço SFCR-GROWATT PHONO 450Wp'!$G$43-C57)</f>
        <v>#DIV/0!</v>
      </c>
      <c r="E57" s="181">
        <v>82</v>
      </c>
      <c r="F57" s="112">
        <f>+IF(L57=0,"",ROUND(N57/(1-'Tabela de BDI'!$C$3),0))</f>
        <v>128321</v>
      </c>
      <c r="G57" s="112">
        <f>+ROUND(F57+(F57*'Preço SFCR-GROWATT PHONO 450Wp'!$H$44),0)</f>
        <v>137303</v>
      </c>
      <c r="H57" s="230" t="s">
        <v>302</v>
      </c>
      <c r="I57" s="266"/>
      <c r="J57" s="148">
        <v>96174.42</v>
      </c>
      <c r="K57" s="150">
        <f t="shared" si="5"/>
        <v>97639.00507614213</v>
      </c>
      <c r="L57" s="106">
        <f t="shared" si="1"/>
        <v>97639.00507614213</v>
      </c>
      <c r="M57" s="151">
        <f t="shared" si="30"/>
        <v>14000</v>
      </c>
      <c r="N57" s="106">
        <f t="shared" si="2"/>
        <v>111639.00507614213</v>
      </c>
      <c r="O57" s="106">
        <f>+IF(F57="","",F57*'Tabela de BDI'!$C$7)</f>
        <v>10265.68</v>
      </c>
      <c r="P57" s="106">
        <f>IF(F57="","",F57*'Tabela de BDI'!$C$8)</f>
        <v>6416.05</v>
      </c>
      <c r="Q57" s="109">
        <f t="shared" si="3"/>
        <v>0.31423911888421063</v>
      </c>
      <c r="R57" s="110">
        <f t="shared" si="29"/>
        <v>3.4775338753387537</v>
      </c>
      <c r="S57" s="111">
        <f>+'Tabela de BDI'!$F$9*C57</f>
        <v>4428</v>
      </c>
      <c r="T57" s="114"/>
      <c r="V57" s="273">
        <f t="shared" si="8"/>
        <v>4881.9502538071065</v>
      </c>
      <c r="W57" s="273">
        <f t="shared" si="9"/>
        <v>18881.950253807106</v>
      </c>
      <c r="X57" s="273">
        <f t="shared" si="10"/>
        <v>5640.0630628254985</v>
      </c>
      <c r="Y57" s="273">
        <f t="shared" si="11"/>
        <v>24522.013316632605</v>
      </c>
      <c r="Z57" s="273">
        <f t="shared" si="6"/>
        <v>122161.01839277474</v>
      </c>
      <c r="AB57" s="278">
        <f t="shared" si="7"/>
        <v>4.8004470096283988E-2</v>
      </c>
    </row>
    <row r="58" spans="1:28" ht="15.75" customHeight="1" x14ac:dyDescent="0.25">
      <c r="A58" s="285"/>
      <c r="B58" s="116" t="s">
        <v>89</v>
      </c>
      <c r="C58" s="202">
        <f t="shared" si="0"/>
        <v>37.800000000000004</v>
      </c>
      <c r="D58" s="204" t="e">
        <f>ABS('Preço SFCR-GROWATT PHONO 450Wp'!$G$43-C58)</f>
        <v>#DIV/0!</v>
      </c>
      <c r="E58" s="181">
        <v>84</v>
      </c>
      <c r="F58" s="112">
        <f>+IF(L58=0,"",ROUND(N58/(1-'Tabela de BDI'!$C$3),0))</f>
        <v>130666</v>
      </c>
      <c r="G58" s="112">
        <f>+ROUND(F58+(F58*'Preço SFCR-GROWATT PHONO 450Wp'!$H$44),0)</f>
        <v>139813</v>
      </c>
      <c r="H58" s="230" t="s">
        <v>302</v>
      </c>
      <c r="I58" s="266"/>
      <c r="J58" s="148">
        <v>97937.57</v>
      </c>
      <c r="K58" s="150">
        <f t="shared" si="5"/>
        <v>99429.005076142144</v>
      </c>
      <c r="L58" s="106">
        <f t="shared" si="1"/>
        <v>99429.005076142144</v>
      </c>
      <c r="M58" s="151">
        <f t="shared" si="30"/>
        <v>14250</v>
      </c>
      <c r="N58" s="106">
        <f t="shared" si="2"/>
        <v>113679.00507614214</v>
      </c>
      <c r="O58" s="106">
        <f>+IF(F58="","",F58*'Tabela de BDI'!$C$7)</f>
        <v>10453.280000000001</v>
      </c>
      <c r="P58" s="106">
        <f>IF(F58="","",F58*'Tabela de BDI'!$C$8)</f>
        <v>6533.3</v>
      </c>
      <c r="Q58" s="109">
        <f t="shared" si="3"/>
        <v>0.31416380863850291</v>
      </c>
      <c r="R58" s="110">
        <f t="shared" si="29"/>
        <v>3.4567724867724863</v>
      </c>
      <c r="S58" s="111">
        <f>+'Tabela de BDI'!$F$9*C58</f>
        <v>4536.0000000000009</v>
      </c>
      <c r="T58" s="114"/>
      <c r="V58" s="273">
        <f t="shared" si="8"/>
        <v>4971.4502538071074</v>
      </c>
      <c r="W58" s="273">
        <f t="shared" si="9"/>
        <v>19221.450253807106</v>
      </c>
      <c r="X58" s="273">
        <f t="shared" si="10"/>
        <v>5741.4721537345904</v>
      </c>
      <c r="Y58" s="273">
        <f t="shared" si="11"/>
        <v>24962.922407541697</v>
      </c>
      <c r="Z58" s="273">
        <f t="shared" si="6"/>
        <v>124391.92748368384</v>
      </c>
      <c r="AB58" s="278">
        <f t="shared" si="7"/>
        <v>4.8016106074389324E-2</v>
      </c>
    </row>
    <row r="59" spans="1:28" ht="15.75" customHeight="1" x14ac:dyDescent="0.25">
      <c r="A59" s="285"/>
      <c r="B59" s="116" t="s">
        <v>89</v>
      </c>
      <c r="C59" s="202">
        <f t="shared" si="0"/>
        <v>38.700000000000003</v>
      </c>
      <c r="D59" s="204" t="e">
        <f>ABS('Preço SFCR-GROWATT PHONO 450Wp'!$G$43-C59)</f>
        <v>#DIV/0!</v>
      </c>
      <c r="E59" s="181">
        <v>86</v>
      </c>
      <c r="F59" s="112">
        <f>+IF(L59=0,"",ROUND(N59/(1-'Tabela de BDI'!$C$3),0))</f>
        <v>134252</v>
      </c>
      <c r="G59" s="112">
        <f>+ROUND(F59+(F59*'Preço SFCR-GROWATT PHONO 450Wp'!$H$44),0)</f>
        <v>143650</v>
      </c>
      <c r="H59" s="230" t="s">
        <v>303</v>
      </c>
      <c r="I59" s="265"/>
      <c r="J59" s="148">
        <v>100764.52</v>
      </c>
      <c r="K59" s="150">
        <f t="shared" si="5"/>
        <v>102299.00507614214</v>
      </c>
      <c r="L59" s="106">
        <f t="shared" si="1"/>
        <v>102299.00507614214</v>
      </c>
      <c r="M59" s="151">
        <f t="shared" si="30"/>
        <v>14500</v>
      </c>
      <c r="N59" s="106">
        <f t="shared" si="2"/>
        <v>116799.00507614214</v>
      </c>
      <c r="O59" s="106">
        <f>+IF(F59="","",F59*'Tabela de BDI'!$C$7)</f>
        <v>10740.16</v>
      </c>
      <c r="P59" s="106">
        <f>IF(F59="","",F59*'Tabela de BDI'!$C$8)</f>
        <v>6712.6</v>
      </c>
      <c r="Q59" s="109">
        <f t="shared" si="3"/>
        <v>0.31234902920194513</v>
      </c>
      <c r="R59" s="110">
        <f t="shared" si="29"/>
        <v>3.4690439276485785</v>
      </c>
      <c r="S59" s="111">
        <f>+'Tabela de BDI'!$F$9*C59</f>
        <v>4644</v>
      </c>
      <c r="T59" s="114"/>
      <c r="V59" s="273">
        <f t="shared" si="8"/>
        <v>5114.9502538071074</v>
      </c>
      <c r="W59" s="273">
        <f t="shared" si="9"/>
        <v>19614.950253807106</v>
      </c>
      <c r="X59" s="273">
        <f t="shared" si="10"/>
        <v>5859.0111147735515</v>
      </c>
      <c r="Y59" s="273">
        <f t="shared" si="11"/>
        <v>25473.961368580658</v>
      </c>
      <c r="Z59" s="273">
        <f t="shared" si="6"/>
        <v>127772.9664447228</v>
      </c>
      <c r="AB59" s="278">
        <f t="shared" si="7"/>
        <v>4.8260238620483877E-2</v>
      </c>
    </row>
    <row r="60" spans="1:28" ht="15.75" customHeight="1" x14ac:dyDescent="0.25">
      <c r="A60" s="285"/>
      <c r="B60" s="116" t="s">
        <v>89</v>
      </c>
      <c r="C60" s="202">
        <f t="shared" si="0"/>
        <v>39.6</v>
      </c>
      <c r="D60" s="204" t="e">
        <f>ABS('Preço SFCR-GROWATT PHONO 450Wp'!$G$43-C60)</f>
        <v>#DIV/0!</v>
      </c>
      <c r="E60" s="181">
        <v>88</v>
      </c>
      <c r="F60" s="112">
        <f>+IF(L60=0,"",ROUND(N60/(1-'Tabela de BDI'!$C$3),0))</f>
        <v>136597</v>
      </c>
      <c r="G60" s="112">
        <f>+ROUND(F60+(F60*'Preço SFCR-GROWATT PHONO 450Wp'!$H$44),0)</f>
        <v>146159</v>
      </c>
      <c r="H60" s="230" t="s">
        <v>303</v>
      </c>
      <c r="I60" s="263"/>
      <c r="J60" s="148">
        <v>102527.67</v>
      </c>
      <c r="K60" s="150">
        <f t="shared" si="5"/>
        <v>104089.00507614213</v>
      </c>
      <c r="L60" s="106">
        <f t="shared" si="1"/>
        <v>104089.00507614213</v>
      </c>
      <c r="M60" s="151">
        <f t="shared" si="30"/>
        <v>14750</v>
      </c>
      <c r="N60" s="106">
        <f t="shared" si="2"/>
        <v>118839.00507614213</v>
      </c>
      <c r="O60" s="106">
        <f>+IF(F60="","",F60*'Tabela de BDI'!$C$7)</f>
        <v>10927.76</v>
      </c>
      <c r="P60" s="106">
        <f>IF(F60="","",F60*'Tabela de BDI'!$C$8)</f>
        <v>6829.85</v>
      </c>
      <c r="Q60" s="109">
        <f t="shared" si="3"/>
        <v>0.31230959408323627</v>
      </c>
      <c r="R60" s="110">
        <f t="shared" si="29"/>
        <v>3.4494191919191919</v>
      </c>
      <c r="S60" s="111">
        <f>+'Tabela de BDI'!$F$9*C60</f>
        <v>4752</v>
      </c>
      <c r="T60" s="114"/>
      <c r="V60" s="273">
        <f t="shared" si="8"/>
        <v>5204.4502538071065</v>
      </c>
      <c r="W60" s="273">
        <f t="shared" si="9"/>
        <v>19954.450253807106</v>
      </c>
      <c r="X60" s="273">
        <f t="shared" si="10"/>
        <v>5960.4202056826398</v>
      </c>
      <c r="Y60" s="273">
        <f t="shared" si="11"/>
        <v>25914.870459489746</v>
      </c>
      <c r="Z60" s="273">
        <f t="shared" si="6"/>
        <v>130003.87553563187</v>
      </c>
      <c r="AB60" s="278">
        <f t="shared" si="7"/>
        <v>4.8266978516132326E-2</v>
      </c>
    </row>
    <row r="61" spans="1:28" ht="15.75" customHeight="1" x14ac:dyDescent="0.25">
      <c r="A61" s="285"/>
      <c r="B61" s="116" t="s">
        <v>89</v>
      </c>
      <c r="C61" s="202">
        <f t="shared" si="0"/>
        <v>40.5</v>
      </c>
      <c r="D61" s="204" t="e">
        <f>ABS('Preço SFCR-GROWATT PHONO 450Wp'!$G$43-C61)</f>
        <v>#DIV/0!</v>
      </c>
      <c r="E61" s="181">
        <v>90</v>
      </c>
      <c r="F61" s="112">
        <f>+IF(L61=0,"",ROUND(N61/(1-'Tabela de BDI'!$C$3),0))</f>
        <v>139321</v>
      </c>
      <c r="G61" s="112">
        <f>+ROUND(F61+(F61*'Preço SFCR-GROWATT PHONO 450Wp'!$H$44),0)</f>
        <v>149073</v>
      </c>
      <c r="H61" s="230" t="s">
        <v>303</v>
      </c>
      <c r="I61" s="143"/>
      <c r="J61" s="148">
        <v>104615.87</v>
      </c>
      <c r="K61" s="150">
        <f t="shared" si="5"/>
        <v>106209.00507614213</v>
      </c>
      <c r="L61" s="106">
        <f t="shared" si="1"/>
        <v>106209.00507614213</v>
      </c>
      <c r="M61" s="151">
        <f t="shared" si="30"/>
        <v>15000</v>
      </c>
      <c r="N61" s="106">
        <f t="shared" si="2"/>
        <v>121209.00507614213</v>
      </c>
      <c r="O61" s="106">
        <f>+IF(F61="","",F61*'Tabela de BDI'!$C$7)</f>
        <v>11145.68</v>
      </c>
      <c r="P61" s="106">
        <f>IF(F61="","",F61*'Tabela de BDI'!$C$8)</f>
        <v>6966.05</v>
      </c>
      <c r="Q61" s="109">
        <f t="shared" si="3"/>
        <v>0.31176259395443545</v>
      </c>
      <c r="R61" s="110">
        <f t="shared" si="29"/>
        <v>3.4400246913580244</v>
      </c>
      <c r="S61" s="111">
        <f>+'Tabela de BDI'!$F$9*C61</f>
        <v>4860</v>
      </c>
      <c r="T61" s="114"/>
      <c r="V61" s="273">
        <f t="shared" si="8"/>
        <v>5310.4502538071065</v>
      </c>
      <c r="W61" s="273">
        <f t="shared" si="9"/>
        <v>20310.450253807106</v>
      </c>
      <c r="X61" s="273">
        <f t="shared" si="10"/>
        <v>6066.7578680203042</v>
      </c>
      <c r="Y61" s="273">
        <f t="shared" si="11"/>
        <v>26377.208121827411</v>
      </c>
      <c r="Z61" s="273">
        <f t="shared" si="6"/>
        <v>132586.21319796954</v>
      </c>
      <c r="AB61" s="278">
        <f t="shared" si="7"/>
        <v>4.8340069350854928E-2</v>
      </c>
    </row>
    <row r="62" spans="1:28" ht="15.75" customHeight="1" x14ac:dyDescent="0.25">
      <c r="A62" s="285"/>
      <c r="B62" s="116" t="s">
        <v>89</v>
      </c>
      <c r="C62" s="202">
        <f t="shared" si="0"/>
        <v>41.4</v>
      </c>
      <c r="D62" s="204" t="e">
        <f>ABS('Preço SFCR-GROWATT PHONO 450Wp'!$G$43-C62)</f>
        <v>#DIV/0!</v>
      </c>
      <c r="E62" s="181">
        <v>92</v>
      </c>
      <c r="F62" s="112">
        <f>+IF(L62=0,"",ROUND(N62/(1-'Tabela de BDI'!$C$3),0))</f>
        <v>141666</v>
      </c>
      <c r="G62" s="112">
        <f>+ROUND(F62+(F62*'Preço SFCR-GROWATT PHONO 450Wp'!$H$44),0)</f>
        <v>151583</v>
      </c>
      <c r="H62" s="230" t="s">
        <v>303</v>
      </c>
      <c r="I62" s="106"/>
      <c r="J62" s="148">
        <v>106379.02</v>
      </c>
      <c r="K62" s="121">
        <f t="shared" si="5"/>
        <v>107999.00507614214</v>
      </c>
      <c r="L62" s="106">
        <f t="shared" si="1"/>
        <v>107999.00507614214</v>
      </c>
      <c r="M62" s="151">
        <f t="shared" si="30"/>
        <v>15250</v>
      </c>
      <c r="N62" s="106">
        <f t="shared" si="2"/>
        <v>123249.00507614214</v>
      </c>
      <c r="O62" s="106">
        <f>+IF(F62="","",F62*'Tabela de BDI'!$C$7)</f>
        <v>11333.28</v>
      </c>
      <c r="P62" s="106">
        <f>IF(F62="","",F62*'Tabela de BDI'!$C$8)</f>
        <v>7083.3</v>
      </c>
      <c r="Q62" s="109">
        <f t="shared" si="3"/>
        <v>0.31173430625700427</v>
      </c>
      <c r="R62" s="110">
        <f t="shared" si="29"/>
        <v>3.4218840579710146</v>
      </c>
      <c r="S62" s="111">
        <f>+'Tabela de BDI'!$F$9*C62</f>
        <v>4968</v>
      </c>
      <c r="T62" s="114"/>
      <c r="V62" s="273">
        <f t="shared" si="8"/>
        <v>5399.9502538071074</v>
      </c>
      <c r="W62" s="273">
        <f t="shared" si="9"/>
        <v>20649.950253807106</v>
      </c>
      <c r="X62" s="273">
        <f t="shared" si="10"/>
        <v>6168.1669589293961</v>
      </c>
      <c r="Y62" s="273">
        <f t="shared" si="11"/>
        <v>26818.117212736503</v>
      </c>
      <c r="Z62" s="273">
        <f t="shared" si="6"/>
        <v>134817.12228887866</v>
      </c>
      <c r="AB62" s="278">
        <f t="shared" si="7"/>
        <v>4.8345246644370156E-2</v>
      </c>
    </row>
    <row r="63" spans="1:28" ht="15.75" customHeight="1" x14ac:dyDescent="0.25">
      <c r="A63" s="285"/>
      <c r="B63" s="116" t="s">
        <v>89</v>
      </c>
      <c r="C63" s="202">
        <f t="shared" si="0"/>
        <v>42.300000000000004</v>
      </c>
      <c r="D63" s="204" t="e">
        <f>ABS('Preço SFCR-GROWATT PHONO 450Wp'!$G$43-C63)</f>
        <v>#DIV/0!</v>
      </c>
      <c r="E63" s="181">
        <v>94</v>
      </c>
      <c r="F63" s="112">
        <f>+IF(L63=0,"",ROUND(N63/(1-'Tabela de BDI'!$C$3),0))</f>
        <v>144378</v>
      </c>
      <c r="G63" s="112">
        <f>+ROUND(F63+(F63*'Preço SFCR-GROWATT PHONO 450Wp'!$H$44),0)</f>
        <v>154484</v>
      </c>
      <c r="H63" s="230" t="s">
        <v>303</v>
      </c>
      <c r="I63" s="106"/>
      <c r="J63" s="148">
        <v>108457.37</v>
      </c>
      <c r="K63" s="121">
        <f t="shared" si="5"/>
        <v>110109.00507614213</v>
      </c>
      <c r="L63" s="106">
        <f t="shared" si="1"/>
        <v>110109.00507614213</v>
      </c>
      <c r="M63" s="151">
        <f t="shared" si="30"/>
        <v>15500</v>
      </c>
      <c r="N63" s="106">
        <f t="shared" si="2"/>
        <v>125609.00507614213</v>
      </c>
      <c r="O63" s="106">
        <f>+IF(F63="","",F63*'Tabela de BDI'!$C$7)</f>
        <v>11550.24</v>
      </c>
      <c r="P63" s="106">
        <f>IF(F63="","",F63*'Tabela de BDI'!$C$8)</f>
        <v>7218.9000000000005</v>
      </c>
      <c r="Q63" s="109">
        <f t="shared" si="3"/>
        <v>0.31122790456748123</v>
      </c>
      <c r="R63" s="110">
        <f t="shared" si="29"/>
        <v>3.4131914893617017</v>
      </c>
      <c r="S63" s="111">
        <f>+'Tabela de BDI'!$F$9*C63</f>
        <v>5076.0000000000009</v>
      </c>
      <c r="T63" s="114"/>
      <c r="V63" s="273">
        <f t="shared" si="8"/>
        <v>5505.4502538071065</v>
      </c>
      <c r="W63" s="273">
        <f t="shared" si="9"/>
        <v>21005.450253807106</v>
      </c>
      <c r="X63" s="273">
        <f t="shared" si="10"/>
        <v>6274.355270617707</v>
      </c>
      <c r="Y63" s="273">
        <f t="shared" si="11"/>
        <v>27279.805524424813</v>
      </c>
      <c r="Z63" s="273">
        <f t="shared" si="6"/>
        <v>137388.81060056694</v>
      </c>
      <c r="AB63" s="278">
        <f t="shared" si="7"/>
        <v>4.8408963965653078E-2</v>
      </c>
    </row>
    <row r="64" spans="1:28" ht="15.75" customHeight="1" x14ac:dyDescent="0.25">
      <c r="A64" s="285"/>
      <c r="B64" s="116" t="s">
        <v>89</v>
      </c>
      <c r="C64" s="202">
        <f t="shared" si="0"/>
        <v>43.2</v>
      </c>
      <c r="D64" s="204" t="e">
        <f>ABS('Preço SFCR-GROWATT PHONO 450Wp'!$G$43-C64)</f>
        <v>#DIV/0!</v>
      </c>
      <c r="E64" s="181">
        <v>96</v>
      </c>
      <c r="F64" s="112">
        <f>+IF(L64=0,"",ROUND(N64/(1-'Tabela de BDI'!$C$3),0))</f>
        <v>146734</v>
      </c>
      <c r="G64" s="112">
        <f>+ROUND(F64+(F64*'Preço SFCR-GROWATT PHONO 450Wp'!$H$44),0)</f>
        <v>157005</v>
      </c>
      <c r="H64" s="230" t="s">
        <v>303</v>
      </c>
      <c r="I64" s="106"/>
      <c r="J64" s="148">
        <v>110230.37</v>
      </c>
      <c r="K64" s="121">
        <f t="shared" si="5"/>
        <v>111909.00507614213</v>
      </c>
      <c r="L64" s="106">
        <f t="shared" si="1"/>
        <v>111909.00507614213</v>
      </c>
      <c r="M64" s="151">
        <f t="shared" si="30"/>
        <v>15750</v>
      </c>
      <c r="N64" s="106">
        <f t="shared" si="2"/>
        <v>127659.00507614213</v>
      </c>
      <c r="O64" s="106">
        <f>+IF(F64="","",F64*'Tabela de BDI'!$C$7)</f>
        <v>11738.72</v>
      </c>
      <c r="P64" s="106">
        <f>IF(F64="","",F64*'Tabela de BDI'!$C$8)</f>
        <v>7336.7000000000007</v>
      </c>
      <c r="Q64" s="109">
        <f t="shared" si="3"/>
        <v>0.3111902826779952</v>
      </c>
      <c r="R64" s="110">
        <f t="shared" si="29"/>
        <v>3.3966203703703699</v>
      </c>
      <c r="S64" s="111">
        <f>+'Tabela de BDI'!$F$9*C64</f>
        <v>5184</v>
      </c>
      <c r="T64" s="114"/>
      <c r="V64" s="273">
        <f t="shared" si="8"/>
        <v>5595.4502538071065</v>
      </c>
      <c r="W64" s="273">
        <f t="shared" si="9"/>
        <v>21345.450253807106</v>
      </c>
      <c r="X64" s="273">
        <f t="shared" si="10"/>
        <v>6375.9137121761487</v>
      </c>
      <c r="Y64" s="273">
        <f t="shared" si="11"/>
        <v>27721.363965983255</v>
      </c>
      <c r="Z64" s="273">
        <f t="shared" si="6"/>
        <v>139630.36904212539</v>
      </c>
      <c r="AB64" s="278">
        <f t="shared" si="7"/>
        <v>4.8411622104451692E-2</v>
      </c>
    </row>
    <row r="65" spans="1:28" ht="15.75" customHeight="1" x14ac:dyDescent="0.25">
      <c r="A65" s="285"/>
      <c r="B65" s="116" t="s">
        <v>89</v>
      </c>
      <c r="C65" s="202">
        <f t="shared" si="0"/>
        <v>44.1</v>
      </c>
      <c r="D65" s="204" t="e">
        <f>ABS('Preço SFCR-GROWATT PHONO 450Wp'!$G$43-C65)</f>
        <v>#DIV/0!</v>
      </c>
      <c r="E65" s="181">
        <v>98</v>
      </c>
      <c r="F65" s="112">
        <f>+IF(L65=0,"",ROUND(N65/(1-'Tabela de BDI'!$C$3),0))</f>
        <v>149447</v>
      </c>
      <c r="G65" s="112">
        <f>+ROUND(F65+(F65*'Preço SFCR-GROWATT PHONO 450Wp'!$H$44),0)</f>
        <v>159908</v>
      </c>
      <c r="H65" s="230" t="s">
        <v>303</v>
      </c>
      <c r="I65" s="106"/>
      <c r="J65" s="148">
        <v>112308.72</v>
      </c>
      <c r="K65" s="121">
        <f t="shared" si="5"/>
        <v>114019.00507614213</v>
      </c>
      <c r="L65" s="106">
        <f t="shared" si="1"/>
        <v>114019.00507614213</v>
      </c>
      <c r="M65" s="151">
        <f t="shared" si="30"/>
        <v>16000</v>
      </c>
      <c r="N65" s="106">
        <f t="shared" si="2"/>
        <v>130019.00507614213</v>
      </c>
      <c r="O65" s="106">
        <f>+IF(F65="","",F65*'Tabela de BDI'!$C$7)</f>
        <v>11955.76</v>
      </c>
      <c r="P65" s="106">
        <f>IF(F65="","",F65*'Tabela de BDI'!$C$8)</f>
        <v>7472.35</v>
      </c>
      <c r="Q65" s="109">
        <f t="shared" si="3"/>
        <v>0.3107200847805941</v>
      </c>
      <c r="R65" s="110">
        <f t="shared" si="29"/>
        <v>3.3888208616780044</v>
      </c>
      <c r="S65" s="111">
        <f>+'Tabela de BDI'!$F$9*C65</f>
        <v>5292</v>
      </c>
      <c r="T65" s="114"/>
      <c r="V65" s="273">
        <f t="shared" si="8"/>
        <v>5700.9502538071065</v>
      </c>
      <c r="W65" s="273">
        <f t="shared" si="9"/>
        <v>21700.950253807106</v>
      </c>
      <c r="X65" s="273">
        <f t="shared" si="10"/>
        <v>6482.1020238644596</v>
      </c>
      <c r="Y65" s="273">
        <f t="shared" si="11"/>
        <v>28183.052277671566</v>
      </c>
      <c r="Z65" s="273">
        <f t="shared" si="6"/>
        <v>142202.0573538137</v>
      </c>
      <c r="AB65" s="278">
        <f t="shared" si="7"/>
        <v>4.8478341125524793E-2</v>
      </c>
    </row>
    <row r="66" spans="1:28" ht="15.75" customHeight="1" x14ac:dyDescent="0.25">
      <c r="A66" s="285"/>
      <c r="B66" s="116" t="s">
        <v>89</v>
      </c>
      <c r="C66" s="202">
        <f t="shared" si="0"/>
        <v>45</v>
      </c>
      <c r="D66" s="204" t="e">
        <f>ABS('Preço SFCR-GROWATT PHONO 450Wp'!$G$43-C66)</f>
        <v>#DIV/0!</v>
      </c>
      <c r="E66" s="181">
        <v>100</v>
      </c>
      <c r="F66" s="112">
        <f>+IF(L66=0,"",ROUND(N66/(1-'Tabela de BDI'!$C$3),0))</f>
        <v>151792</v>
      </c>
      <c r="G66" s="112">
        <f>+ROUND(F66+(F66*'Preço SFCR-GROWATT PHONO 450Wp'!$H$44),0)</f>
        <v>162417</v>
      </c>
      <c r="H66" s="230" t="s">
        <v>303</v>
      </c>
      <c r="I66" s="106"/>
      <c r="J66" s="148">
        <v>114071.87</v>
      </c>
      <c r="K66" s="121">
        <f t="shared" si="5"/>
        <v>115809.00507614213</v>
      </c>
      <c r="L66" s="106">
        <f t="shared" si="1"/>
        <v>115809.00507614213</v>
      </c>
      <c r="M66" s="151">
        <f t="shared" si="30"/>
        <v>16250</v>
      </c>
      <c r="N66" s="106">
        <f t="shared" si="2"/>
        <v>132059.00507614214</v>
      </c>
      <c r="O66" s="106">
        <f>+IF(F66="","",F66*'Tabela de BDI'!$C$7)</f>
        <v>12143.36</v>
      </c>
      <c r="P66" s="106">
        <f>IF(F66="","",F66*'Tabela de BDI'!$C$8)</f>
        <v>7589.6</v>
      </c>
      <c r="Q66" s="109">
        <f t="shared" si="3"/>
        <v>0.31070981829262556</v>
      </c>
      <c r="R66" s="110">
        <f t="shared" si="29"/>
        <v>3.3731555555555555</v>
      </c>
      <c r="S66" s="111">
        <f>+'Tabela de BDI'!$F$9*C66</f>
        <v>5400</v>
      </c>
      <c r="T66" s="114"/>
      <c r="V66" s="273">
        <f t="shared" si="8"/>
        <v>5790.4502538071065</v>
      </c>
      <c r="W66" s="273">
        <f t="shared" si="9"/>
        <v>22040.450253807106</v>
      </c>
      <c r="X66" s="273">
        <f t="shared" si="10"/>
        <v>6583.5111147735515</v>
      </c>
      <c r="Y66" s="273">
        <f t="shared" si="11"/>
        <v>28623.961368580658</v>
      </c>
      <c r="Z66" s="273">
        <f t="shared" si="6"/>
        <v>144432.96644472278</v>
      </c>
      <c r="AB66" s="278">
        <f t="shared" si="7"/>
        <v>4.8481036914180035E-2</v>
      </c>
    </row>
    <row r="67" spans="1:28" ht="15.75" customHeight="1" x14ac:dyDescent="0.25">
      <c r="A67" s="285"/>
      <c r="B67" s="116" t="s">
        <v>89</v>
      </c>
      <c r="C67" s="202">
        <f t="shared" si="0"/>
        <v>68.400000000000006</v>
      </c>
      <c r="D67" s="204" t="e">
        <f>ABS('Preço SFCR-GROWATT PHONO 450Wp'!$G$43-C67)</f>
        <v>#DIV/0!</v>
      </c>
      <c r="E67" s="181">
        <v>152</v>
      </c>
      <c r="F67" s="112">
        <f>+IF(L67=0,"",ROUND(N67/(1-'Tabela de BDI'!$C$3),0))</f>
        <v>236768</v>
      </c>
      <c r="G67" s="112">
        <f>+ROUND(F67+(F67*'Preço SFCR-GROWATT PHONO 450Wp'!$H$44),0)</f>
        <v>253342</v>
      </c>
      <c r="H67" s="107" t="s">
        <v>306</v>
      </c>
      <c r="I67" s="106"/>
      <c r="J67" s="143">
        <f>2*J54</f>
        <v>180489.44</v>
      </c>
      <c r="K67" s="121">
        <f t="shared" si="5"/>
        <v>183238.01015228426</v>
      </c>
      <c r="L67" s="106">
        <f t="shared" si="1"/>
        <v>183238.01015228426</v>
      </c>
      <c r="M67" s="151">
        <f t="shared" si="30"/>
        <v>22750</v>
      </c>
      <c r="N67" s="106">
        <f t="shared" si="2"/>
        <v>205988.01015228426</v>
      </c>
      <c r="O67" s="106">
        <f>+IF(F67="","",F67*'Tabela de BDI'!$C$7)</f>
        <v>18941.439999999999</v>
      </c>
      <c r="P67" s="106">
        <f>IF(F67="","",F67*'Tabela de BDI'!$C$8)</f>
        <v>11838.400000000001</v>
      </c>
      <c r="Q67" s="109">
        <f t="shared" si="3"/>
        <v>0.29213365612968828</v>
      </c>
      <c r="R67" s="110">
        <f t="shared" si="29"/>
        <v>3.461520467836257</v>
      </c>
      <c r="S67" s="111">
        <f>+'Tabela de BDI'!$F$9*C67</f>
        <v>8208</v>
      </c>
      <c r="T67" s="114"/>
      <c r="V67" s="273">
        <f t="shared" si="8"/>
        <v>9161.900507614213</v>
      </c>
      <c r="W67" s="273">
        <f t="shared" si="9"/>
        <v>31911.900507614213</v>
      </c>
      <c r="X67" s="273">
        <f t="shared" si="10"/>
        <v>9532.126125650997</v>
      </c>
      <c r="Y67" s="273">
        <f t="shared" si="11"/>
        <v>41444.02663326521</v>
      </c>
      <c r="Z67" s="273">
        <f t="shared" si="6"/>
        <v>224682.03678554948</v>
      </c>
      <c r="AB67" s="278">
        <f t="shared" si="7"/>
        <v>5.1045594060221466E-2</v>
      </c>
    </row>
    <row r="68" spans="1:28" ht="15.75" customHeight="1" x14ac:dyDescent="0.25">
      <c r="A68" s="285"/>
      <c r="B68" s="117"/>
      <c r="C68" s="104"/>
      <c r="D68" s="203"/>
      <c r="E68" s="105"/>
      <c r="F68" s="106"/>
      <c r="G68" s="143"/>
      <c r="H68" s="107"/>
      <c r="I68" s="106"/>
      <c r="J68" s="143"/>
      <c r="K68" s="106"/>
      <c r="L68" s="106"/>
      <c r="M68" s="106"/>
      <c r="N68" s="106"/>
      <c r="O68" s="106"/>
      <c r="P68" s="106"/>
      <c r="Q68" s="106"/>
      <c r="R68" s="110" t="str">
        <f t="shared" si="29"/>
        <v/>
      </c>
      <c r="S68" s="111"/>
      <c r="T68" s="114"/>
      <c r="V68" s="273">
        <f t="shared" si="8"/>
        <v>0</v>
      </c>
      <c r="W68" s="273">
        <f t="shared" si="9"/>
        <v>0</v>
      </c>
      <c r="X68" s="273">
        <f t="shared" si="10"/>
        <v>0</v>
      </c>
      <c r="Y68" s="273">
        <f t="shared" si="11"/>
        <v>0</v>
      </c>
      <c r="Z68" s="273" t="str">
        <f t="shared" si="6"/>
        <v/>
      </c>
      <c r="AB68" s="278" t="str">
        <f t="shared" si="7"/>
        <v/>
      </c>
    </row>
    <row r="69" spans="1:28" ht="15.75" customHeight="1" x14ac:dyDescent="0.25">
      <c r="A69" s="285"/>
      <c r="B69" s="117"/>
      <c r="C69" s="104"/>
      <c r="D69" s="201"/>
      <c r="E69" s="105"/>
      <c r="F69" s="106"/>
      <c r="G69" s="143"/>
      <c r="H69" s="107"/>
      <c r="I69" s="106"/>
      <c r="J69" s="143"/>
      <c r="K69" s="106"/>
      <c r="L69" s="106"/>
      <c r="M69" s="106"/>
      <c r="N69" s="106"/>
      <c r="O69" s="106"/>
      <c r="P69" s="106"/>
      <c r="Q69" s="106"/>
      <c r="R69" s="110" t="str">
        <f t="shared" si="29"/>
        <v/>
      </c>
      <c r="S69" s="111"/>
      <c r="T69" s="114"/>
      <c r="V69" s="273">
        <f t="shared" si="8"/>
        <v>0</v>
      </c>
      <c r="W69" s="273">
        <f t="shared" si="9"/>
        <v>0</v>
      </c>
      <c r="X69" s="273">
        <f t="shared" si="10"/>
        <v>0</v>
      </c>
      <c r="Y69" s="273">
        <f t="shared" si="11"/>
        <v>0</v>
      </c>
      <c r="Z69" s="273" t="str">
        <f t="shared" si="6"/>
        <v/>
      </c>
      <c r="AB69" s="278" t="str">
        <f t="shared" si="7"/>
        <v/>
      </c>
    </row>
    <row r="70" spans="1:28" ht="15.75" customHeight="1" x14ac:dyDescent="0.25">
      <c r="A70" s="285"/>
      <c r="B70" s="285"/>
      <c r="C70" s="285"/>
      <c r="D70" s="285"/>
      <c r="E70" s="285"/>
      <c r="F70" s="285"/>
      <c r="G70" s="306"/>
      <c r="H70" s="285"/>
      <c r="I70" s="285"/>
      <c r="J70" s="285"/>
      <c r="K70" s="285"/>
      <c r="L70" s="118"/>
      <c r="M70" s="118"/>
      <c r="N70" s="118"/>
      <c r="O70" s="118"/>
      <c r="P70" s="118"/>
      <c r="Q70" s="118"/>
      <c r="R70" s="118"/>
      <c r="S70" s="285"/>
      <c r="T70" s="285"/>
    </row>
    <row r="71" spans="1:28" ht="15.75" customHeight="1" x14ac:dyDescent="0.25">
      <c r="A71" s="285"/>
      <c r="B71" s="337" t="s">
        <v>79</v>
      </c>
      <c r="C71" s="338"/>
      <c r="D71" s="283"/>
      <c r="E71" s="285"/>
      <c r="F71" s="119"/>
      <c r="G71" s="119"/>
      <c r="H71" s="285"/>
      <c r="I71" s="285"/>
      <c r="J71" s="285"/>
      <c r="K71" s="285"/>
      <c r="L71" s="285"/>
      <c r="M71" s="285"/>
      <c r="N71" s="285"/>
      <c r="O71" s="285"/>
      <c r="P71" s="285"/>
      <c r="Q71" s="285"/>
      <c r="R71" s="285"/>
      <c r="S71" s="285"/>
      <c r="T71" s="285"/>
    </row>
    <row r="72" spans="1:28" ht="15.75" customHeight="1" x14ac:dyDescent="0.25">
      <c r="A72" s="285"/>
      <c r="B72" s="119">
        <v>44390</v>
      </c>
      <c r="C72" s="285"/>
      <c r="D72" s="285"/>
      <c r="E72" s="285"/>
      <c r="F72" s="285"/>
      <c r="G72" s="306"/>
      <c r="H72" s="285"/>
      <c r="I72" s="285"/>
      <c r="J72" s="285"/>
      <c r="K72" s="285"/>
      <c r="S72" s="285"/>
      <c r="T72" s="285"/>
    </row>
    <row r="73" spans="1:28" ht="15.75" customHeight="1" x14ac:dyDescent="0.25">
      <c r="A73" s="285"/>
      <c r="B73" s="285"/>
      <c r="C73" s="285"/>
      <c r="D73" s="285"/>
      <c r="E73" s="285"/>
      <c r="F73" s="285"/>
      <c r="G73" s="306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</row>
    <row r="74" spans="1:28" ht="15.75" customHeight="1" x14ac:dyDescent="0.25">
      <c r="A74" s="285"/>
      <c r="B74" s="285"/>
      <c r="C74" s="285"/>
      <c r="D74" s="285"/>
      <c r="E74" s="285"/>
      <c r="F74" s="285"/>
      <c r="G74" s="306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</row>
    <row r="75" spans="1:28" ht="15.75" customHeight="1" x14ac:dyDescent="0.25">
      <c r="A75" s="285"/>
      <c r="B75" s="285"/>
      <c r="C75" s="285"/>
      <c r="D75" s="285"/>
      <c r="E75" s="285"/>
      <c r="F75" s="285"/>
      <c r="G75" s="306"/>
      <c r="H75" s="285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</row>
    <row r="76" spans="1:28" ht="15.75" customHeight="1" x14ac:dyDescent="0.25">
      <c r="A76" s="285"/>
      <c r="B76" s="285"/>
      <c r="C76" s="285"/>
      <c r="D76" s="285"/>
      <c r="E76" s="285"/>
      <c r="F76" s="285"/>
      <c r="G76" s="306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</row>
    <row r="77" spans="1:28" ht="15.75" customHeight="1" x14ac:dyDescent="0.25">
      <c r="A77" s="285"/>
      <c r="B77" s="285"/>
      <c r="C77" s="285"/>
      <c r="D77" s="285"/>
      <c r="E77" s="285"/>
      <c r="F77" s="285"/>
      <c r="G77" s="306"/>
      <c r="H77" s="285"/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5"/>
    </row>
    <row r="78" spans="1:28" ht="15.75" customHeight="1" x14ac:dyDescent="0.25">
      <c r="A78" s="285"/>
      <c r="B78" s="285"/>
      <c r="C78" s="285"/>
      <c r="D78" s="285"/>
      <c r="E78" s="285"/>
      <c r="F78" s="285"/>
      <c r="G78" s="306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</row>
    <row r="79" spans="1:28" ht="15.75" customHeight="1" x14ac:dyDescent="0.25">
      <c r="A79" s="285"/>
      <c r="B79" s="285"/>
      <c r="C79" s="285"/>
      <c r="D79" s="285"/>
      <c r="E79" s="285"/>
      <c r="F79" s="285"/>
      <c r="G79" s="306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</row>
    <row r="80" spans="1:28" ht="15.75" customHeight="1" x14ac:dyDescent="0.25">
      <c r="A80" s="285"/>
      <c r="B80" s="285"/>
      <c r="C80" s="285"/>
      <c r="D80" s="285"/>
      <c r="E80" s="285"/>
      <c r="F80" s="285"/>
      <c r="G80" s="306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85"/>
    </row>
    <row r="81" spans="1:20" ht="15.75" customHeight="1" x14ac:dyDescent="0.25">
      <c r="A81" s="285"/>
      <c r="B81" s="285"/>
      <c r="C81" s="285"/>
      <c r="D81" s="285"/>
      <c r="E81" s="285"/>
      <c r="F81" s="285"/>
      <c r="G81" s="306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</row>
    <row r="82" spans="1:20" ht="15.75" customHeight="1" x14ac:dyDescent="0.25">
      <c r="A82" s="285"/>
      <c r="B82" s="285"/>
      <c r="C82" s="285"/>
      <c r="D82" s="285"/>
      <c r="E82" s="285"/>
      <c r="F82" s="285"/>
      <c r="G82" s="306"/>
      <c r="H82" s="285"/>
      <c r="I82" s="285"/>
      <c r="J82" s="285"/>
      <c r="K82" s="285"/>
      <c r="L82" s="285"/>
      <c r="M82" s="285"/>
      <c r="N82" s="285"/>
      <c r="O82" s="285"/>
      <c r="P82" s="285"/>
      <c r="Q82" s="285"/>
      <c r="R82" s="285"/>
      <c r="S82" s="285"/>
      <c r="T82" s="285"/>
    </row>
    <row r="83" spans="1:20" ht="15.75" customHeight="1" x14ac:dyDescent="0.25">
      <c r="A83" s="285"/>
      <c r="B83" s="285"/>
      <c r="C83" s="285"/>
      <c r="D83" s="285"/>
      <c r="E83" s="285"/>
      <c r="F83" s="285"/>
      <c r="G83" s="306"/>
      <c r="H83" s="285"/>
      <c r="I83" s="285"/>
      <c r="J83" s="285"/>
      <c r="K83" s="285"/>
      <c r="L83" s="285"/>
      <c r="M83" s="285"/>
      <c r="N83" s="285"/>
      <c r="O83" s="285"/>
      <c r="P83" s="285"/>
      <c r="Q83" s="285"/>
      <c r="R83" s="285"/>
      <c r="S83" s="285"/>
      <c r="T83" s="285"/>
    </row>
    <row r="84" spans="1:20" ht="15.75" customHeight="1" x14ac:dyDescent="0.25">
      <c r="A84" s="285"/>
      <c r="B84" s="285"/>
      <c r="C84" s="285"/>
      <c r="D84" s="285"/>
      <c r="E84" s="285"/>
      <c r="F84" s="285"/>
      <c r="G84" s="306"/>
      <c r="H84" s="285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</row>
    <row r="85" spans="1:20" ht="15.75" customHeight="1" x14ac:dyDescent="0.25">
      <c r="A85" s="285"/>
      <c r="B85" s="285"/>
      <c r="C85" s="285"/>
      <c r="D85" s="285"/>
      <c r="E85" s="285"/>
      <c r="F85" s="285"/>
      <c r="G85" s="306"/>
      <c r="H85" s="285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</row>
    <row r="86" spans="1:20" ht="15.75" customHeight="1" x14ac:dyDescent="0.25">
      <c r="A86" s="285"/>
      <c r="B86" s="285"/>
      <c r="C86" s="285"/>
      <c r="D86" s="285"/>
      <c r="E86" s="285"/>
      <c r="F86" s="285"/>
      <c r="G86" s="306"/>
      <c r="H86" s="285"/>
      <c r="I86" s="285"/>
      <c r="J86" s="285"/>
      <c r="K86" s="285"/>
      <c r="L86" s="285"/>
      <c r="M86" s="285"/>
      <c r="N86" s="285"/>
      <c r="O86" s="285"/>
      <c r="P86" s="285"/>
      <c r="Q86" s="285"/>
      <c r="R86" s="285"/>
      <c r="S86" s="285"/>
      <c r="T86" s="285"/>
    </row>
    <row r="87" spans="1:20" ht="15.75" customHeight="1" x14ac:dyDescent="0.25">
      <c r="A87" s="285"/>
      <c r="B87" s="285"/>
      <c r="C87" s="285"/>
      <c r="D87" s="285"/>
      <c r="E87" s="285"/>
      <c r="F87" s="285"/>
      <c r="G87" s="306"/>
      <c r="H87" s="285"/>
      <c r="I87" s="285"/>
      <c r="J87" s="285"/>
      <c r="K87" s="285"/>
      <c r="L87" s="285"/>
      <c r="M87" s="285"/>
      <c r="N87" s="285"/>
      <c r="O87" s="285"/>
      <c r="P87" s="285"/>
      <c r="Q87" s="285"/>
      <c r="R87" s="285"/>
      <c r="S87" s="285"/>
      <c r="T87" s="285"/>
    </row>
    <row r="88" spans="1:20" ht="15.75" customHeight="1" x14ac:dyDescent="0.25">
      <c r="A88" s="285"/>
      <c r="B88" s="285"/>
      <c r="C88" s="285"/>
      <c r="D88" s="285"/>
      <c r="E88" s="285"/>
      <c r="F88" s="285"/>
      <c r="G88" s="306"/>
      <c r="H88" s="285"/>
      <c r="I88" s="285"/>
      <c r="J88" s="285"/>
      <c r="K88" s="285"/>
      <c r="L88" s="285"/>
      <c r="M88" s="285"/>
      <c r="N88" s="285"/>
      <c r="O88" s="285"/>
      <c r="P88" s="285"/>
      <c r="Q88" s="285"/>
      <c r="R88" s="285"/>
      <c r="S88" s="285"/>
      <c r="T88" s="285"/>
    </row>
    <row r="89" spans="1:20" ht="15.75" customHeight="1" x14ac:dyDescent="0.25">
      <c r="A89" s="285"/>
      <c r="B89" s="285"/>
      <c r="C89" s="285"/>
      <c r="D89" s="285"/>
      <c r="E89" s="285"/>
      <c r="F89" s="285"/>
      <c r="G89" s="306"/>
      <c r="H89" s="285"/>
      <c r="I89" s="285"/>
      <c r="J89" s="285"/>
      <c r="K89" s="285"/>
      <c r="L89" s="285"/>
      <c r="M89" s="285"/>
      <c r="N89" s="285"/>
      <c r="O89" s="285"/>
      <c r="P89" s="285"/>
      <c r="Q89" s="285"/>
      <c r="R89" s="285"/>
      <c r="S89" s="285"/>
      <c r="T89" s="285"/>
    </row>
    <row r="90" spans="1:20" ht="15.75" customHeight="1" x14ac:dyDescent="0.25">
      <c r="A90" s="285"/>
      <c r="B90" s="285"/>
      <c r="C90" s="285"/>
      <c r="D90" s="285"/>
      <c r="E90" s="285"/>
      <c r="F90" s="285"/>
      <c r="G90" s="306"/>
      <c r="H90" s="285"/>
      <c r="I90" s="285"/>
      <c r="J90" s="285"/>
      <c r="K90" s="285"/>
      <c r="L90" s="285"/>
      <c r="M90" s="285"/>
      <c r="N90" s="285"/>
      <c r="O90" s="285"/>
      <c r="P90" s="285"/>
      <c r="Q90" s="285"/>
      <c r="R90" s="285"/>
      <c r="S90" s="285"/>
      <c r="T90" s="285"/>
    </row>
    <row r="91" spans="1:20" ht="15.75" customHeight="1" x14ac:dyDescent="0.25">
      <c r="A91" s="285"/>
      <c r="B91" s="285"/>
      <c r="C91" s="285"/>
      <c r="D91" s="285"/>
      <c r="E91" s="285"/>
      <c r="F91" s="285"/>
      <c r="G91" s="306"/>
      <c r="H91" s="285"/>
      <c r="I91" s="285"/>
      <c r="J91" s="285"/>
      <c r="K91" s="285"/>
      <c r="L91" s="285"/>
      <c r="M91" s="285"/>
      <c r="N91" s="285"/>
      <c r="O91" s="285"/>
      <c r="P91" s="285"/>
      <c r="Q91" s="285"/>
      <c r="R91" s="285"/>
      <c r="S91" s="285"/>
      <c r="T91" s="285"/>
    </row>
    <row r="92" spans="1:20" ht="15.75" customHeight="1" x14ac:dyDescent="0.25">
      <c r="A92" s="285"/>
      <c r="B92" s="285"/>
      <c r="C92" s="285"/>
      <c r="D92" s="285"/>
      <c r="E92" s="285"/>
      <c r="F92" s="285"/>
      <c r="G92" s="306"/>
      <c r="H92" s="285"/>
      <c r="I92" s="285"/>
      <c r="J92" s="285"/>
      <c r="K92" s="285"/>
      <c r="L92" s="285"/>
      <c r="M92" s="285"/>
      <c r="N92" s="285"/>
      <c r="O92" s="285"/>
      <c r="P92" s="285"/>
      <c r="Q92" s="285"/>
      <c r="R92" s="285"/>
      <c r="S92" s="285"/>
      <c r="T92" s="285"/>
    </row>
    <row r="93" spans="1:20" ht="15.75" customHeight="1" x14ac:dyDescent="0.25">
      <c r="A93" s="285"/>
      <c r="B93" s="285"/>
      <c r="C93" s="285"/>
      <c r="D93" s="285"/>
      <c r="E93" s="285"/>
      <c r="F93" s="285"/>
      <c r="G93" s="306"/>
      <c r="H93" s="285"/>
      <c r="I93" s="285"/>
      <c r="J93" s="285"/>
      <c r="K93" s="285"/>
      <c r="L93" s="285"/>
      <c r="M93" s="285"/>
      <c r="N93" s="285"/>
      <c r="O93" s="285"/>
      <c r="P93" s="285"/>
      <c r="Q93" s="285"/>
      <c r="R93" s="285"/>
      <c r="S93" s="285"/>
      <c r="T93" s="285"/>
    </row>
    <row r="94" spans="1:20" ht="15.75" customHeight="1" x14ac:dyDescent="0.25">
      <c r="A94" s="285"/>
      <c r="B94" s="285"/>
      <c r="C94" s="285"/>
      <c r="D94" s="285"/>
      <c r="E94" s="285"/>
      <c r="F94" s="285"/>
      <c r="G94" s="306"/>
      <c r="H94" s="285"/>
      <c r="I94" s="285"/>
      <c r="J94" s="285"/>
      <c r="K94" s="285"/>
      <c r="L94" s="285"/>
      <c r="M94" s="285"/>
      <c r="N94" s="285"/>
      <c r="O94" s="285"/>
      <c r="P94" s="285"/>
      <c r="Q94" s="285"/>
      <c r="R94" s="285"/>
      <c r="S94" s="285"/>
      <c r="T94" s="285"/>
    </row>
    <row r="95" spans="1:20" ht="15.75" customHeight="1" x14ac:dyDescent="0.25">
      <c r="A95" s="285"/>
      <c r="B95" s="285"/>
      <c r="C95" s="285"/>
      <c r="D95" s="285"/>
      <c r="E95" s="285"/>
      <c r="F95" s="285"/>
      <c r="G95" s="306"/>
      <c r="H95" s="285"/>
      <c r="I95" s="285"/>
      <c r="J95" s="285"/>
      <c r="K95" s="285"/>
      <c r="L95" s="285"/>
      <c r="M95" s="285"/>
      <c r="N95" s="285"/>
      <c r="O95" s="285"/>
      <c r="P95" s="285"/>
      <c r="Q95" s="285"/>
      <c r="R95" s="285"/>
      <c r="S95" s="285"/>
      <c r="T95" s="285"/>
    </row>
    <row r="96" spans="1:20" ht="15.75" customHeight="1" x14ac:dyDescent="0.25">
      <c r="A96" s="285"/>
      <c r="B96" s="285"/>
      <c r="C96" s="285"/>
      <c r="D96" s="285"/>
      <c r="E96" s="285"/>
      <c r="F96" s="285"/>
      <c r="G96" s="306"/>
      <c r="H96" s="285"/>
      <c r="I96" s="285"/>
      <c r="J96" s="285"/>
      <c r="K96" s="285"/>
      <c r="L96" s="285"/>
      <c r="M96" s="285"/>
      <c r="N96" s="285"/>
      <c r="O96" s="285"/>
      <c r="P96" s="285"/>
      <c r="Q96" s="285"/>
      <c r="R96" s="285"/>
      <c r="S96" s="285"/>
      <c r="T96" s="285"/>
    </row>
    <row r="97" spans="1:20" ht="15.75" customHeight="1" x14ac:dyDescent="0.25">
      <c r="A97" s="285"/>
      <c r="B97" s="285"/>
      <c r="C97" s="285"/>
      <c r="D97" s="285"/>
      <c r="E97" s="285"/>
      <c r="F97" s="285"/>
      <c r="G97" s="306"/>
      <c r="H97" s="285"/>
      <c r="I97" s="285"/>
      <c r="J97" s="285"/>
      <c r="K97" s="285"/>
      <c r="L97" s="285"/>
      <c r="M97" s="285"/>
      <c r="N97" s="285"/>
      <c r="O97" s="285"/>
      <c r="P97" s="285"/>
      <c r="Q97" s="285"/>
      <c r="R97" s="285"/>
      <c r="S97" s="285"/>
      <c r="T97" s="285"/>
    </row>
    <row r="98" spans="1:20" ht="15.75" customHeight="1" x14ac:dyDescent="0.25">
      <c r="A98" s="285"/>
      <c r="B98" s="285"/>
      <c r="C98" s="285"/>
      <c r="D98" s="285"/>
      <c r="E98" s="285"/>
      <c r="F98" s="285"/>
      <c r="G98" s="306"/>
      <c r="H98" s="285"/>
      <c r="I98" s="285"/>
      <c r="J98" s="285"/>
      <c r="K98" s="285"/>
      <c r="L98" s="285"/>
      <c r="M98" s="285"/>
      <c r="N98" s="285"/>
      <c r="O98" s="285"/>
      <c r="P98" s="285"/>
      <c r="Q98" s="285"/>
      <c r="R98" s="285"/>
      <c r="S98" s="285"/>
      <c r="T98" s="285"/>
    </row>
    <row r="99" spans="1:20" ht="15.75" customHeight="1" x14ac:dyDescent="0.25">
      <c r="A99" s="285"/>
      <c r="B99" s="285"/>
      <c r="C99" s="285"/>
      <c r="D99" s="285"/>
      <c r="E99" s="285"/>
      <c r="F99" s="285"/>
      <c r="G99" s="306"/>
      <c r="H99" s="285"/>
      <c r="I99" s="285"/>
      <c r="J99" s="285"/>
      <c r="K99" s="285"/>
      <c r="L99" s="285"/>
      <c r="M99" s="285"/>
      <c r="N99" s="285"/>
      <c r="O99" s="285"/>
      <c r="P99" s="285"/>
      <c r="Q99" s="285"/>
      <c r="R99" s="285"/>
      <c r="S99" s="285"/>
      <c r="T99" s="285"/>
    </row>
    <row r="100" spans="1:20" ht="15.75" customHeight="1" x14ac:dyDescent="0.25">
      <c r="A100" s="285"/>
      <c r="B100" s="285"/>
      <c r="C100" s="285"/>
      <c r="D100" s="285"/>
      <c r="E100" s="285"/>
      <c r="F100" s="285"/>
      <c r="G100" s="306"/>
      <c r="H100" s="285"/>
      <c r="I100" s="285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</row>
    <row r="101" spans="1:20" ht="15.75" customHeight="1" x14ac:dyDescent="0.25">
      <c r="A101" s="285"/>
      <c r="B101" s="285"/>
      <c r="C101" s="285"/>
      <c r="D101" s="285"/>
      <c r="E101" s="285"/>
      <c r="F101" s="285"/>
      <c r="G101" s="306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</row>
    <row r="102" spans="1:20" ht="15.75" customHeight="1" x14ac:dyDescent="0.25">
      <c r="A102" s="285"/>
      <c r="B102" s="285"/>
      <c r="C102" s="285"/>
      <c r="D102" s="285"/>
      <c r="E102" s="285"/>
      <c r="F102" s="285"/>
      <c r="G102" s="306"/>
      <c r="H102" s="285"/>
      <c r="I102" s="285"/>
      <c r="J102" s="285"/>
      <c r="K102" s="285"/>
      <c r="L102" s="285"/>
      <c r="M102" s="285"/>
      <c r="N102" s="285"/>
      <c r="O102" s="285"/>
      <c r="P102" s="285"/>
      <c r="Q102" s="285"/>
      <c r="R102" s="285"/>
      <c r="S102" s="285"/>
      <c r="T102" s="285"/>
    </row>
    <row r="103" spans="1:20" ht="15.75" customHeight="1" x14ac:dyDescent="0.25">
      <c r="A103" s="285"/>
      <c r="B103" s="285"/>
      <c r="C103" s="285"/>
      <c r="D103" s="285"/>
      <c r="E103" s="285"/>
      <c r="F103" s="285"/>
      <c r="G103" s="306"/>
      <c r="H103" s="285"/>
      <c r="I103" s="285"/>
      <c r="J103" s="285"/>
      <c r="K103" s="285"/>
      <c r="L103" s="285"/>
      <c r="M103" s="285"/>
      <c r="N103" s="285"/>
      <c r="O103" s="285"/>
      <c r="P103" s="285"/>
      <c r="Q103" s="285"/>
      <c r="R103" s="285"/>
      <c r="S103" s="285"/>
      <c r="T103" s="285"/>
    </row>
    <row r="104" spans="1:20" ht="15.75" customHeight="1" x14ac:dyDescent="0.25">
      <c r="A104" s="285"/>
      <c r="B104" s="285"/>
      <c r="C104" s="285"/>
      <c r="D104" s="285"/>
      <c r="E104" s="285"/>
      <c r="F104" s="285"/>
      <c r="G104" s="306"/>
      <c r="H104" s="285"/>
      <c r="I104" s="285"/>
      <c r="J104" s="285"/>
      <c r="K104" s="285"/>
      <c r="L104" s="285"/>
      <c r="M104" s="285"/>
      <c r="N104" s="285"/>
      <c r="O104" s="285"/>
      <c r="P104" s="285"/>
      <c r="Q104" s="285"/>
      <c r="R104" s="285"/>
      <c r="S104" s="285"/>
      <c r="T104" s="285"/>
    </row>
    <row r="105" spans="1:20" ht="15.75" customHeight="1" x14ac:dyDescent="0.25">
      <c r="A105" s="285"/>
      <c r="B105" s="285"/>
      <c r="C105" s="285"/>
      <c r="D105" s="285"/>
      <c r="E105" s="285"/>
      <c r="F105" s="285"/>
      <c r="G105" s="306"/>
      <c r="H105" s="285"/>
      <c r="I105" s="285"/>
      <c r="J105" s="285"/>
      <c r="K105" s="285"/>
      <c r="L105" s="285"/>
      <c r="M105" s="285"/>
      <c r="N105" s="285"/>
      <c r="O105" s="285"/>
      <c r="P105" s="285"/>
      <c r="Q105" s="285"/>
      <c r="R105" s="285"/>
      <c r="S105" s="285"/>
      <c r="T105" s="285"/>
    </row>
    <row r="106" spans="1:20" ht="15.75" customHeight="1" x14ac:dyDescent="0.25">
      <c r="A106" s="285"/>
      <c r="B106" s="285"/>
      <c r="C106" s="285"/>
      <c r="D106" s="285"/>
      <c r="E106" s="285"/>
      <c r="F106" s="285"/>
      <c r="G106" s="306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85"/>
    </row>
    <row r="107" spans="1:20" ht="15.75" customHeight="1" x14ac:dyDescent="0.25">
      <c r="A107" s="285"/>
      <c r="B107" s="285"/>
      <c r="C107" s="285"/>
      <c r="D107" s="285"/>
      <c r="E107" s="285"/>
      <c r="F107" s="285"/>
      <c r="G107" s="306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</row>
    <row r="108" spans="1:20" ht="15.75" customHeight="1" x14ac:dyDescent="0.25">
      <c r="A108" s="285"/>
      <c r="B108" s="285"/>
      <c r="C108" s="285"/>
      <c r="D108" s="285"/>
      <c r="E108" s="285"/>
      <c r="F108" s="285"/>
      <c r="G108" s="306"/>
      <c r="H108" s="285"/>
      <c r="I108" s="285"/>
      <c r="J108" s="285"/>
      <c r="K108" s="285"/>
      <c r="L108" s="285"/>
      <c r="M108" s="285"/>
      <c r="N108" s="285"/>
      <c r="O108" s="285"/>
      <c r="P108" s="285"/>
      <c r="Q108" s="285"/>
      <c r="R108" s="285"/>
      <c r="S108" s="285"/>
      <c r="T108" s="285"/>
    </row>
    <row r="109" spans="1:20" ht="15.75" customHeight="1" x14ac:dyDescent="0.25">
      <c r="A109" s="285"/>
      <c r="B109" s="285"/>
      <c r="C109" s="285"/>
      <c r="D109" s="285"/>
      <c r="E109" s="285"/>
      <c r="F109" s="285"/>
      <c r="G109" s="306"/>
      <c r="H109" s="285"/>
      <c r="I109" s="285"/>
      <c r="J109" s="285"/>
      <c r="K109" s="285"/>
      <c r="L109" s="285"/>
      <c r="M109" s="285"/>
      <c r="N109" s="285"/>
      <c r="O109" s="285"/>
      <c r="P109" s="285"/>
      <c r="Q109" s="285"/>
      <c r="R109" s="285"/>
      <c r="S109" s="285"/>
      <c r="T109" s="285"/>
    </row>
    <row r="110" spans="1:20" ht="15.75" customHeight="1" x14ac:dyDescent="0.25">
      <c r="A110" s="285"/>
      <c r="B110" s="285"/>
      <c r="C110" s="285"/>
      <c r="D110" s="285"/>
      <c r="E110" s="285"/>
      <c r="F110" s="285"/>
      <c r="G110" s="306"/>
      <c r="H110" s="285"/>
      <c r="I110" s="285"/>
      <c r="J110" s="285"/>
      <c r="K110" s="285"/>
      <c r="L110" s="285"/>
      <c r="M110" s="285"/>
      <c r="N110" s="285"/>
      <c r="O110" s="285"/>
      <c r="P110" s="285"/>
      <c r="Q110" s="285"/>
      <c r="R110" s="285"/>
      <c r="S110" s="285"/>
      <c r="T110" s="285"/>
    </row>
    <row r="111" spans="1:20" ht="15.75" customHeight="1" x14ac:dyDescent="0.25">
      <c r="A111" s="285"/>
      <c r="B111" s="285"/>
      <c r="C111" s="285"/>
      <c r="D111" s="285"/>
      <c r="E111" s="285"/>
      <c r="F111" s="285"/>
      <c r="G111" s="306"/>
      <c r="H111" s="285"/>
      <c r="I111" s="285"/>
      <c r="J111" s="285"/>
      <c r="K111" s="285"/>
      <c r="L111" s="285"/>
      <c r="M111" s="285"/>
      <c r="N111" s="285"/>
      <c r="O111" s="285"/>
      <c r="P111" s="285"/>
      <c r="Q111" s="285"/>
      <c r="R111" s="285"/>
      <c r="S111" s="285"/>
      <c r="T111" s="285"/>
    </row>
    <row r="112" spans="1:20" ht="15.75" customHeight="1" x14ac:dyDescent="0.25">
      <c r="A112" s="285"/>
      <c r="B112" s="285"/>
      <c r="C112" s="285"/>
      <c r="D112" s="285"/>
      <c r="E112" s="285"/>
      <c r="F112" s="285"/>
      <c r="G112" s="306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</row>
    <row r="113" spans="1:20" ht="15.75" customHeight="1" x14ac:dyDescent="0.25">
      <c r="A113" s="285"/>
      <c r="B113" s="285"/>
      <c r="C113" s="285"/>
      <c r="D113" s="285"/>
      <c r="E113" s="285"/>
      <c r="F113" s="285"/>
      <c r="G113" s="306"/>
      <c r="H113" s="285"/>
      <c r="I113" s="285"/>
      <c r="J113" s="285"/>
      <c r="K113" s="285"/>
      <c r="L113" s="285"/>
      <c r="M113" s="285"/>
      <c r="N113" s="285"/>
      <c r="O113" s="285"/>
      <c r="P113" s="285"/>
      <c r="Q113" s="285"/>
      <c r="R113" s="285"/>
      <c r="S113" s="285"/>
      <c r="T113" s="285"/>
    </row>
    <row r="114" spans="1:20" ht="15.75" customHeight="1" x14ac:dyDescent="0.25">
      <c r="A114" s="285"/>
      <c r="B114" s="285"/>
      <c r="C114" s="285"/>
      <c r="D114" s="285"/>
      <c r="E114" s="285"/>
      <c r="F114" s="285"/>
      <c r="G114" s="306"/>
      <c r="H114" s="285"/>
      <c r="I114" s="285"/>
      <c r="J114" s="285"/>
      <c r="K114" s="285"/>
      <c r="L114" s="285"/>
      <c r="M114" s="285"/>
      <c r="N114" s="285"/>
      <c r="O114" s="285"/>
      <c r="P114" s="285"/>
      <c r="Q114" s="285"/>
      <c r="R114" s="285"/>
      <c r="S114" s="285"/>
      <c r="T114" s="285"/>
    </row>
  </sheetData>
  <mergeCells count="26">
    <mergeCell ref="Y4:Y5"/>
    <mergeCell ref="Z4:Z5"/>
    <mergeCell ref="AB4:AB5"/>
    <mergeCell ref="B71:C71"/>
    <mergeCell ref="O4:O5"/>
    <mergeCell ref="P4:P5"/>
    <mergeCell ref="Q4:Q5"/>
    <mergeCell ref="R4:R5"/>
    <mergeCell ref="S4:S5"/>
    <mergeCell ref="W4:W5"/>
    <mergeCell ref="H4:H5"/>
    <mergeCell ref="I4:I5"/>
    <mergeCell ref="K4:K5"/>
    <mergeCell ref="L4:L5"/>
    <mergeCell ref="M4:M5"/>
    <mergeCell ref="N4:N5"/>
    <mergeCell ref="B2:D2"/>
    <mergeCell ref="E2:S2"/>
    <mergeCell ref="V2:Z3"/>
    <mergeCell ref="B3:D3"/>
    <mergeCell ref="E3:S3"/>
    <mergeCell ref="B4:B5"/>
    <mergeCell ref="C4:C5"/>
    <mergeCell ref="D4:D5"/>
    <mergeCell ref="E4:E5"/>
    <mergeCell ref="F4:G5"/>
  </mergeCells>
  <pageMargins left="0.51181102362204722" right="0.51181102362204722" top="0.78740157480314965" bottom="0.78740157480314965" header="0" footer="0"/>
  <pageSetup paperSize="9" scale="2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101"/>
  <sheetViews>
    <sheetView showGridLines="0" zoomScale="70" zoomScaleNormal="70" workbookViewId="0">
      <pane ySplit="9" topLeftCell="A10" activePane="bottomLeft" state="frozen"/>
      <selection activeCell="C27" sqref="C27"/>
      <selection pane="bottomLeft" activeCell="F11" sqref="F11:G11"/>
    </sheetView>
  </sheetViews>
  <sheetFormatPr defaultColWidth="14.42578125" defaultRowHeight="15" customHeight="1" x14ac:dyDescent="0.25"/>
  <cols>
    <col min="1" max="1" width="8.7109375" customWidth="1"/>
    <col min="2" max="2" width="2.42578125" customWidth="1"/>
    <col min="3" max="3" width="35.140625" customWidth="1"/>
    <col min="4" max="4" width="18.5703125" bestFit="1" customWidth="1"/>
    <col min="5" max="5" width="11.5703125" customWidth="1"/>
    <col min="6" max="6" width="18.5703125" bestFit="1" customWidth="1"/>
    <col min="7" max="7" width="10" customWidth="1"/>
    <col min="8" max="8" width="18.5703125" bestFit="1" customWidth="1"/>
    <col min="9" max="9" width="10" customWidth="1"/>
    <col min="10" max="10" width="18.85546875" customWidth="1"/>
    <col min="11" max="11" width="8.5703125" customWidth="1"/>
    <col min="12" max="12" width="18.85546875" customWidth="1"/>
    <col min="13" max="13" width="8.5703125" customWidth="1"/>
    <col min="14" max="14" width="26" customWidth="1"/>
    <col min="15" max="15" width="14.42578125" customWidth="1"/>
  </cols>
  <sheetData>
    <row r="1" spans="1:15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customHeight="1" x14ac:dyDescent="0.25">
      <c r="A2" s="1"/>
      <c r="B2" s="1"/>
      <c r="C2" s="10" t="str">
        <f>+'Preço SFCR-FRONIUS-BYD'!C2</f>
        <v>Versão: Maio/2020</v>
      </c>
      <c r="D2" s="7"/>
      <c r="E2" s="7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customHeight="1" x14ac:dyDescent="0.25">
      <c r="A3" s="1"/>
      <c r="B3" s="1"/>
      <c r="C3" s="10"/>
      <c r="D3" s="346" t="s">
        <v>12</v>
      </c>
      <c r="E3" s="347"/>
      <c r="F3" s="347"/>
      <c r="G3" s="347"/>
      <c r="H3" s="347"/>
      <c r="I3" s="347"/>
      <c r="J3" s="1"/>
      <c r="K3" s="1"/>
      <c r="L3" s="1"/>
      <c r="M3" s="1"/>
      <c r="N3" s="1"/>
      <c r="O3" s="1"/>
    </row>
    <row r="4" spans="1:15" ht="15" customHeight="1" x14ac:dyDescent="0.25">
      <c r="A4" s="1"/>
      <c r="B4" s="1"/>
      <c r="C4" s="10"/>
      <c r="D4" s="347"/>
      <c r="E4" s="347"/>
      <c r="F4" s="347"/>
      <c r="G4" s="347"/>
      <c r="H4" s="347"/>
      <c r="I4" s="347"/>
      <c r="J4" s="1"/>
      <c r="K4" s="1"/>
      <c r="L4" s="1"/>
      <c r="M4" s="1"/>
      <c r="N4" s="1"/>
      <c r="O4" s="1"/>
    </row>
    <row r="5" spans="1:15" ht="15" customHeight="1" x14ac:dyDescent="0.25">
      <c r="A5" s="1"/>
      <c r="B5" s="1"/>
      <c r="C5" s="10"/>
      <c r="D5" s="346" t="s">
        <v>45</v>
      </c>
      <c r="E5" s="347"/>
      <c r="F5" s="347"/>
      <c r="G5" s="347"/>
      <c r="H5" s="347"/>
      <c r="I5" s="347"/>
      <c r="J5" s="1"/>
      <c r="K5" s="1"/>
      <c r="L5" s="1"/>
      <c r="M5" s="1"/>
      <c r="N5" s="1"/>
      <c r="O5" s="1"/>
    </row>
    <row r="6" spans="1:15" ht="15" customHeight="1" x14ac:dyDescent="0.25">
      <c r="A6" s="1"/>
      <c r="B6" s="1"/>
      <c r="C6" s="10"/>
      <c r="D6" s="347"/>
      <c r="E6" s="347"/>
      <c r="F6" s="347"/>
      <c r="G6" s="347"/>
      <c r="H6" s="347"/>
      <c r="I6" s="347"/>
      <c r="J6" s="1"/>
      <c r="K6" s="1"/>
      <c r="L6" s="1"/>
      <c r="M6" s="1"/>
      <c r="N6" s="1"/>
      <c r="O6" s="1"/>
    </row>
    <row r="7" spans="1:15" ht="15" customHeight="1" x14ac:dyDescent="0.25">
      <c r="A7" s="1"/>
      <c r="B7" s="1"/>
      <c r="C7" s="457"/>
      <c r="D7" s="347"/>
      <c r="E7" s="347"/>
      <c r="F7" s="347"/>
      <c r="G7" s="99"/>
      <c r="H7" s="1"/>
      <c r="I7" s="1"/>
      <c r="J7" s="100"/>
      <c r="K7" s="100"/>
      <c r="L7" s="100"/>
      <c r="M7" s="100"/>
      <c r="N7" s="100"/>
      <c r="O7" s="1"/>
    </row>
    <row r="8" spans="1:15" ht="18.75" x14ac:dyDescent="0.3">
      <c r="A8" s="1"/>
      <c r="B8" s="1"/>
      <c r="C8" s="377" t="s">
        <v>14</v>
      </c>
      <c r="D8" s="379" t="s">
        <v>15</v>
      </c>
      <c r="E8" s="380"/>
      <c r="F8" s="380"/>
      <c r="G8" s="380"/>
      <c r="H8" s="380"/>
      <c r="I8" s="381"/>
      <c r="J8" s="13"/>
      <c r="K8" s="13"/>
      <c r="L8" s="13"/>
      <c r="M8" s="14"/>
      <c r="N8" s="1"/>
      <c r="O8" s="1"/>
    </row>
    <row r="9" spans="1:15" ht="21" customHeight="1" x14ac:dyDescent="0.3">
      <c r="A9" s="1"/>
      <c r="B9" s="1"/>
      <c r="C9" s="378"/>
      <c r="D9" s="15" t="s">
        <v>16</v>
      </c>
      <c r="E9" s="16" t="e">
        <f>+D10</f>
        <v>#DIV/0!</v>
      </c>
      <c r="F9" s="17" t="s">
        <v>16</v>
      </c>
      <c r="G9" s="18">
        <f>+F10</f>
        <v>0</v>
      </c>
      <c r="H9" s="19" t="s">
        <v>16</v>
      </c>
      <c r="I9" s="20">
        <f>+H10</f>
        <v>0</v>
      </c>
      <c r="J9" s="184" t="s">
        <v>16</v>
      </c>
      <c r="K9" s="185">
        <f>+J10</f>
        <v>0</v>
      </c>
      <c r="L9" s="186" t="s">
        <v>16</v>
      </c>
      <c r="M9" s="21">
        <f>+L10</f>
        <v>0</v>
      </c>
      <c r="N9" s="22"/>
      <c r="O9" s="1"/>
    </row>
    <row r="10" spans="1:15" ht="15.75" customHeight="1" x14ac:dyDescent="0.25">
      <c r="A10" s="1"/>
      <c r="B10" s="1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1"/>
    </row>
    <row r="11" spans="1:15" ht="15.75" customHeight="1" x14ac:dyDescent="0.25">
      <c r="A11" s="1"/>
      <c r="B11" s="1"/>
      <c r="C11" s="24" t="s">
        <v>18</v>
      </c>
      <c r="D11" s="374" t="e">
        <f>+VLOOKUP(MIN('REFUSOL-BYD 400Wp'!D:D),'REFUSOL-BYD 400Wp'!D:E,2,0)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1"/>
    </row>
    <row r="12" spans="1:15" ht="15.75" customHeight="1" x14ac:dyDescent="0.25">
      <c r="A12" s="1"/>
      <c r="B12" s="1"/>
      <c r="C12" s="25" t="s">
        <v>19</v>
      </c>
      <c r="D12" s="367" t="s">
        <v>296</v>
      </c>
      <c r="E12" s="338"/>
      <c r="F12" s="368" t="str">
        <f t="shared" ref="F12:F13" si="0">+D12</f>
        <v>BYD MONO PERC</v>
      </c>
      <c r="G12" s="338"/>
      <c r="H12" s="369" t="str">
        <f>+F12</f>
        <v>BYD MONO PERC</v>
      </c>
      <c r="I12" s="338"/>
      <c r="J12" s="370" t="str">
        <f>+H12</f>
        <v>BYD MONO PERC</v>
      </c>
      <c r="K12" s="338"/>
      <c r="L12" s="363" t="str">
        <f>+J12</f>
        <v>BYD MONO PERC</v>
      </c>
      <c r="M12" s="354"/>
      <c r="N12" s="2"/>
      <c r="O12" s="1"/>
    </row>
    <row r="13" spans="1:15" ht="15.75" customHeight="1" x14ac:dyDescent="0.25">
      <c r="A13" s="1"/>
      <c r="B13" s="1"/>
      <c r="C13" s="24" t="s">
        <v>21</v>
      </c>
      <c r="D13" s="372">
        <v>400</v>
      </c>
      <c r="E13" s="338"/>
      <c r="F13" s="375">
        <f t="shared" si="0"/>
        <v>400</v>
      </c>
      <c r="G13" s="338"/>
      <c r="H13" s="376">
        <f>+D13</f>
        <v>400</v>
      </c>
      <c r="I13" s="338"/>
      <c r="J13" s="352">
        <f>+D13</f>
        <v>400</v>
      </c>
      <c r="K13" s="338"/>
      <c r="L13" s="364">
        <f>+D13</f>
        <v>400</v>
      </c>
      <c r="M13" s="354"/>
      <c r="N13" s="2"/>
      <c r="O13" s="1"/>
    </row>
    <row r="14" spans="1:15" ht="15.75" customHeight="1" x14ac:dyDescent="0.25">
      <c r="A14" s="1"/>
      <c r="B14" s="1"/>
      <c r="C14" s="25" t="s">
        <v>46</v>
      </c>
      <c r="D14" s="26" t="e">
        <f>+IF(D11="","",VLOOKUP(D11,'REFUSOL-BYD 400Wp'!$E$6:$H$69,4,0))</f>
        <v>#DIV/0!</v>
      </c>
      <c r="E14" s="27">
        <v>1</v>
      </c>
      <c r="F14" s="28" t="str">
        <f>+IF(F11="","",VLOOKUP(F11,'REFUSOL-BYD 400Wp'!$E$6:$H$69,4,0))</f>
        <v/>
      </c>
      <c r="G14" s="29">
        <v>1</v>
      </c>
      <c r="H14" s="30" t="str">
        <f>+IF(H11="","",VLOOKUP(H11,'REFUSOL-BYD 400Wp'!$E$6:$H$69,4,0))</f>
        <v/>
      </c>
      <c r="I14" s="31">
        <v>1</v>
      </c>
      <c r="J14" s="32" t="str">
        <f>+IF(J11="","",VLOOKUP(J11,'REFUSOL-BYD 400Wp'!$E$6:$H$69,4,0))</f>
        <v/>
      </c>
      <c r="K14" s="33">
        <v>1</v>
      </c>
      <c r="L14" s="34" t="str">
        <f>+IF(L11="","",VLOOKUP(L11,'REFUSOL-BYD 400Wp'!$E$6:$H$69,4,0))</f>
        <v/>
      </c>
      <c r="M14" s="35">
        <v>1</v>
      </c>
      <c r="N14" s="2"/>
      <c r="O14" s="1"/>
    </row>
    <row r="15" spans="1:15" ht="15.75" hidden="1" customHeight="1" x14ac:dyDescent="0.25">
      <c r="A15" s="1"/>
      <c r="B15" s="1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1"/>
    </row>
    <row r="16" spans="1:15" ht="15.75" customHeight="1" x14ac:dyDescent="0.25">
      <c r="A16" s="1"/>
      <c r="B16" s="1"/>
      <c r="C16" s="24" t="s">
        <v>25</v>
      </c>
      <c r="D16" s="373" t="e">
        <f>+D11*1.94236</f>
        <v>#DIV/0!</v>
      </c>
      <c r="E16" s="338"/>
      <c r="F16" s="355">
        <f>+F11*1.94236</f>
        <v>0</v>
      </c>
      <c r="G16" s="338"/>
      <c r="H16" s="356">
        <f>+H11*1.94236</f>
        <v>0</v>
      </c>
      <c r="I16" s="338"/>
      <c r="J16" s="365">
        <f>+J11*1.94236</f>
        <v>0</v>
      </c>
      <c r="K16" s="338"/>
      <c r="L16" s="366">
        <f>+L11*1.94236</f>
        <v>0</v>
      </c>
      <c r="M16" s="354"/>
      <c r="N16" s="2"/>
      <c r="O16" s="1"/>
    </row>
    <row r="17" spans="1:15" ht="15.75" customHeight="1" x14ac:dyDescent="0.25">
      <c r="A17" s="1"/>
      <c r="B17" s="1"/>
      <c r="C17" s="48" t="s">
        <v>26</v>
      </c>
      <c r="D17" s="371" t="e">
        <f>+D11*D13*$D$45/1000</f>
        <v>#DIV/0!</v>
      </c>
      <c r="E17" s="349"/>
      <c r="F17" s="357">
        <f>+F11*F13*$D$45/1000</f>
        <v>0</v>
      </c>
      <c r="G17" s="349"/>
      <c r="H17" s="358">
        <f>+H11*H13*$D$45/1000</f>
        <v>0</v>
      </c>
      <c r="I17" s="349"/>
      <c r="J17" s="359">
        <f>+J11*J13*$D$45/1000</f>
        <v>0</v>
      </c>
      <c r="K17" s="360"/>
      <c r="L17" s="361">
        <f>+L11*L13*$D$45/1000</f>
        <v>0</v>
      </c>
      <c r="M17" s="362"/>
      <c r="N17" s="2"/>
      <c r="O17" s="1"/>
    </row>
    <row r="18" spans="1:15" ht="15.75" customHeight="1" x14ac:dyDescent="0.25">
      <c r="A18" s="1"/>
      <c r="B18" s="1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1"/>
    </row>
    <row r="19" spans="1:15" ht="15.75" customHeight="1" thickBot="1" x14ac:dyDescent="0.3">
      <c r="A19" s="1"/>
      <c r="B19" s="1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1"/>
    </row>
    <row r="20" spans="1:15" ht="18.75" customHeight="1" thickBot="1" x14ac:dyDescent="0.4">
      <c r="A20" s="1"/>
      <c r="B20" s="1"/>
      <c r="C20" s="51"/>
      <c r="D20" s="52"/>
      <c r="E20" s="53"/>
      <c r="F20" s="54"/>
      <c r="G20" s="2"/>
      <c r="H20" s="54"/>
      <c r="I20" s="2"/>
      <c r="J20" s="55"/>
      <c r="K20" s="1"/>
      <c r="L20" s="54"/>
      <c r="M20" s="2"/>
      <c r="N20" s="2"/>
      <c r="O20" s="1"/>
    </row>
    <row r="21" spans="1:15" ht="43.5" hidden="1" customHeight="1" thickBot="1" x14ac:dyDescent="0.3">
      <c r="A21" s="1"/>
      <c r="B21" s="1"/>
      <c r="C21" s="188" t="s">
        <v>220</v>
      </c>
      <c r="D21" s="452" t="e">
        <f>+IF(D11="","",VLOOKUP(D11,'REFUSOL-BYD 400Wp'!$E$6:$F$69,2,0))</f>
        <v>#DIV/0!</v>
      </c>
      <c r="E21" s="398"/>
      <c r="F21" s="397" t="str">
        <f>+IF(F11="","",VLOOKUP(F11,'REFUSOL-BYD 400Wp'!$E$6:$F$69,2,0))</f>
        <v/>
      </c>
      <c r="G21" s="398"/>
      <c r="H21" s="399" t="str">
        <f>+IF(H11="","",VLOOKUP(H11,'REFUSOL-BYD 400Wp'!$E$6:$F$69,2,0))</f>
        <v/>
      </c>
      <c r="I21" s="398"/>
      <c r="J21" s="400" t="str">
        <f>+IF(J11="","",VLOOKUP(J11,'REFUSOL-BYD 400Wp'!$E$6:$F$69,2,0))</f>
        <v/>
      </c>
      <c r="K21" s="398"/>
      <c r="L21" s="401" t="str">
        <f>+IF(L11="","",VLOOKUP(L11,'REFUSOL-BYD 400Wp'!$E$6:$F$69,2,0))</f>
        <v/>
      </c>
      <c r="M21" s="381"/>
      <c r="N21" s="2"/>
      <c r="O21" s="1"/>
    </row>
    <row r="22" spans="1:15" s="174" customFormat="1" ht="43.5" customHeight="1" thickBot="1" x14ac:dyDescent="0.3">
      <c r="A22" s="175"/>
      <c r="B22" s="175"/>
      <c r="C22" s="189" t="s">
        <v>29</v>
      </c>
      <c r="D22" s="452" t="e">
        <f>ROUND(D21+(D21*$H$44),0)</f>
        <v>#DIV/0!</v>
      </c>
      <c r="E22" s="398"/>
      <c r="F22" s="397" t="e">
        <f>ROUND(F21+(F21*$H$44),0)</f>
        <v>#VALUE!</v>
      </c>
      <c r="G22" s="398"/>
      <c r="H22" s="399" t="e">
        <f>ROUND(H21+(H21*$H$44),0)</f>
        <v>#VALUE!</v>
      </c>
      <c r="I22" s="398"/>
      <c r="J22" s="400" t="e">
        <f>ROUND(J21+(J21*$H$44),0)</f>
        <v>#VALUE!</v>
      </c>
      <c r="K22" s="398"/>
      <c r="L22" s="401" t="e">
        <f>ROUND(L21+(L21*$H$44),0)</f>
        <v>#VALUE!</v>
      </c>
      <c r="M22" s="381"/>
      <c r="N22" s="2"/>
      <c r="O22" s="175"/>
    </row>
    <row r="23" spans="1:15" ht="12.75" customHeight="1" x14ac:dyDescent="0.35">
      <c r="A23" s="1"/>
      <c r="B23" s="1"/>
      <c r="C23" s="51"/>
      <c r="D23" s="56"/>
      <c r="E23" s="57"/>
      <c r="F23" s="56"/>
      <c r="G23" s="57"/>
      <c r="H23" s="56"/>
      <c r="I23" s="57"/>
      <c r="J23" s="54"/>
      <c r="K23" s="58"/>
      <c r="L23" s="54"/>
      <c r="M23" s="58"/>
      <c r="N23" s="2"/>
      <c r="O23" s="1"/>
    </row>
    <row r="24" spans="1:15" ht="15.75" customHeight="1" thickBot="1" x14ac:dyDescent="0.4">
      <c r="A24" s="1"/>
      <c r="B24" s="1"/>
      <c r="C24" s="444" t="s">
        <v>30</v>
      </c>
      <c r="D24" s="347"/>
      <c r="E24" s="347"/>
      <c r="F24" s="347"/>
      <c r="G24" s="347"/>
      <c r="H24" s="347"/>
      <c r="I24" s="57"/>
      <c r="J24" s="54"/>
      <c r="K24" s="58"/>
      <c r="L24" s="54"/>
      <c r="M24" s="58"/>
      <c r="N24" s="2"/>
      <c r="O24" s="1"/>
    </row>
    <row r="25" spans="1:15" ht="15" customHeight="1" x14ac:dyDescent="0.25">
      <c r="A25" s="1"/>
      <c r="B25" s="1"/>
      <c r="C25" s="59" t="s">
        <v>31</v>
      </c>
      <c r="D25" s="389" t="e">
        <f>+$D$42*D22</f>
        <v>#DIV/0!</v>
      </c>
      <c r="E25" s="338"/>
      <c r="F25" s="404" t="e">
        <f>+$D$42*F21</f>
        <v>#VALUE!</v>
      </c>
      <c r="G25" s="403"/>
      <c r="H25" s="405" t="e">
        <f>+$D$42*H21</f>
        <v>#VALUE!</v>
      </c>
      <c r="I25" s="403"/>
      <c r="J25" s="406" t="e">
        <f>+$D$42*J21</f>
        <v>#VALUE!</v>
      </c>
      <c r="K25" s="403"/>
      <c r="L25" s="407" t="e">
        <f>+$D$42*L21</f>
        <v>#VALUE!</v>
      </c>
      <c r="M25" s="408"/>
      <c r="N25" s="60" t="s">
        <v>32</v>
      </c>
      <c r="O25" s="1"/>
    </row>
    <row r="26" spans="1:15" ht="15" hidden="1" customHeight="1" x14ac:dyDescent="0.25">
      <c r="A26" s="1"/>
      <c r="B26" s="1"/>
      <c r="C26" s="61"/>
      <c r="D26" s="470" t="e">
        <f>+D22-D25</f>
        <v>#DIV/0!</v>
      </c>
      <c r="E26" s="338"/>
      <c r="F26" s="388" t="e">
        <f>+F22-F25</f>
        <v>#VALUE!</v>
      </c>
      <c r="G26" s="338"/>
      <c r="H26" s="385" t="e">
        <f>+H22-H25</f>
        <v>#VALUE!</v>
      </c>
      <c r="I26" s="338"/>
      <c r="J26" s="386" t="e">
        <f>+J22-J25</f>
        <v>#VALUE!</v>
      </c>
      <c r="K26" s="338"/>
      <c r="L26" s="387" t="e">
        <f>+L22-L25</f>
        <v>#VALUE!</v>
      </c>
      <c r="M26" s="354"/>
      <c r="N26" s="62"/>
      <c r="O26" s="1"/>
    </row>
    <row r="27" spans="1:15" ht="15" customHeight="1" x14ac:dyDescent="0.25">
      <c r="A27" s="1"/>
      <c r="B27" s="1"/>
      <c r="C27" s="216">
        <f>+'Preço SFCR-FRONIUS-BYD'!C27</f>
        <v>12</v>
      </c>
      <c r="D27" s="389" t="e">
        <f>+PMT(N27,C27,-$D$26)</f>
        <v>#DIV/0!</v>
      </c>
      <c r="E27" s="338"/>
      <c r="F27" s="388" t="e">
        <f>+PMT(N27,C27,-$F$26)</f>
        <v>#VALUE!</v>
      </c>
      <c r="G27" s="338"/>
      <c r="H27" s="385" t="e">
        <f>+PMT(N27,C27,-$H$26)</f>
        <v>#VALUE!</v>
      </c>
      <c r="I27" s="338"/>
      <c r="J27" s="386" t="e">
        <f>+PMT(N27,C27,-$J$26)</f>
        <v>#VALUE!</v>
      </c>
      <c r="K27" s="338"/>
      <c r="L27" s="387" t="e">
        <f>+PMT(N27,C27,-$L$26)</f>
        <v>#VALUE!</v>
      </c>
      <c r="M27" s="354"/>
      <c r="N27" s="90">
        <f>+'Preço SFCR-FRONIUS-BYD'!N27</f>
        <v>1.6799999999999999E-2</v>
      </c>
      <c r="O27" s="1"/>
    </row>
    <row r="28" spans="1:15" ht="15" customHeight="1" x14ac:dyDescent="0.25">
      <c r="A28" s="1"/>
      <c r="B28" s="1"/>
      <c r="C28" s="218">
        <f>+'Preço SFCR-FRONIUS-BYD'!C28</f>
        <v>24</v>
      </c>
      <c r="D28" s="389" t="e">
        <f t="shared" ref="D28:D31" si="1">+PMT(N28,C28,-$D$26)</f>
        <v>#DIV/0!</v>
      </c>
      <c r="E28" s="338"/>
      <c r="F28" s="388" t="e">
        <f t="shared" ref="F28:F31" si="2">+PMT(N28,C28,-$F$26)</f>
        <v>#VALUE!</v>
      </c>
      <c r="G28" s="338"/>
      <c r="H28" s="385" t="e">
        <f t="shared" ref="H28:H31" si="3">+PMT(N28,C28,-$H$26)</f>
        <v>#VALUE!</v>
      </c>
      <c r="I28" s="338"/>
      <c r="J28" s="386" t="e">
        <f t="shared" ref="J28:J31" si="4">+PMT(N28,C28,-$J$26)</f>
        <v>#VALUE!</v>
      </c>
      <c r="K28" s="338"/>
      <c r="L28" s="387" t="e">
        <f t="shared" ref="L28:L31" si="5">+PMT(N28,C28,-$L$26)</f>
        <v>#VALUE!</v>
      </c>
      <c r="M28" s="354"/>
      <c r="N28" s="90">
        <f>+'Preço SFCR-FRONIUS-BYD'!N28</f>
        <v>1.55E-2</v>
      </c>
      <c r="O28" s="175"/>
    </row>
    <row r="29" spans="1:15" ht="15" customHeight="1" x14ac:dyDescent="0.25">
      <c r="A29" s="1"/>
      <c r="B29" s="1"/>
      <c r="C29" s="216">
        <f>+'Preço SFCR-FRONIUS-BYD'!C29</f>
        <v>36</v>
      </c>
      <c r="D29" s="389" t="e">
        <f t="shared" si="1"/>
        <v>#DIV/0!</v>
      </c>
      <c r="E29" s="338"/>
      <c r="F29" s="388" t="e">
        <f t="shared" si="2"/>
        <v>#VALUE!</v>
      </c>
      <c r="G29" s="338"/>
      <c r="H29" s="385" t="e">
        <f t="shared" si="3"/>
        <v>#VALUE!</v>
      </c>
      <c r="I29" s="338"/>
      <c r="J29" s="386" t="e">
        <f t="shared" si="4"/>
        <v>#VALUE!</v>
      </c>
      <c r="K29" s="338"/>
      <c r="L29" s="387" t="e">
        <f t="shared" si="5"/>
        <v>#VALUE!</v>
      </c>
      <c r="M29" s="354"/>
      <c r="N29" s="90">
        <f>+'Preço SFCR-FRONIUS-BYD'!N29</f>
        <v>1.5800000000000002E-2</v>
      </c>
      <c r="O29" s="175"/>
    </row>
    <row r="30" spans="1:15" ht="15" customHeight="1" x14ac:dyDescent="0.25">
      <c r="A30" s="1"/>
      <c r="B30" s="1"/>
      <c r="C30" s="218">
        <f>+'Preço SFCR-FRONIUS-BYD'!C30</f>
        <v>48</v>
      </c>
      <c r="D30" s="389" t="e">
        <f t="shared" si="1"/>
        <v>#DIV/0!</v>
      </c>
      <c r="E30" s="338"/>
      <c r="F30" s="388" t="e">
        <f t="shared" si="2"/>
        <v>#VALUE!</v>
      </c>
      <c r="G30" s="338"/>
      <c r="H30" s="385" t="e">
        <f t="shared" si="3"/>
        <v>#VALUE!</v>
      </c>
      <c r="I30" s="338"/>
      <c r="J30" s="386" t="e">
        <f t="shared" si="4"/>
        <v>#VALUE!</v>
      </c>
      <c r="K30" s="338"/>
      <c r="L30" s="387" t="e">
        <f t="shared" si="5"/>
        <v>#VALUE!</v>
      </c>
      <c r="M30" s="354"/>
      <c r="N30" s="90">
        <f>+'Preço SFCR-FRONIUS-BYD'!N30</f>
        <v>1.61E-2</v>
      </c>
      <c r="O30" s="175"/>
    </row>
    <row r="31" spans="1:15" ht="15" customHeight="1" x14ac:dyDescent="0.25">
      <c r="A31" s="1"/>
      <c r="B31" s="1"/>
      <c r="C31" s="219">
        <f>+'Preço SFCR-FRONIUS-BYD'!C31</f>
        <v>60</v>
      </c>
      <c r="D31" s="418" t="e">
        <f t="shared" si="1"/>
        <v>#DIV/0!</v>
      </c>
      <c r="E31" s="391"/>
      <c r="F31" s="421" t="e">
        <f t="shared" si="2"/>
        <v>#VALUE!</v>
      </c>
      <c r="G31" s="391"/>
      <c r="H31" s="414" t="e">
        <f t="shared" si="3"/>
        <v>#VALUE!</v>
      </c>
      <c r="I31" s="391"/>
      <c r="J31" s="415" t="e">
        <f t="shared" si="4"/>
        <v>#VALUE!</v>
      </c>
      <c r="K31" s="391"/>
      <c r="L31" s="419" t="e">
        <f t="shared" si="5"/>
        <v>#VALUE!</v>
      </c>
      <c r="M31" s="420"/>
      <c r="N31" s="90">
        <f>+'Preço SFCR-FRONIUS-BYD'!N31</f>
        <v>1.6400000000000001E-2</v>
      </c>
      <c r="O31" s="175"/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1"/>
    </row>
    <row r="33" spans="1:15" ht="14.25" customHeight="1" x14ac:dyDescent="0.25">
      <c r="A33" s="65"/>
      <c r="B33" s="65"/>
      <c r="C33" s="65" t="str">
        <f>+'Preço SFCR-FRONIUS-BYD'!$C$33</f>
        <v>Observação: Proposta apenas orientativa, caso tenha interesse formalizamos uma proposta.</v>
      </c>
      <c r="D33" s="65"/>
      <c r="E33" s="65"/>
      <c r="F33" s="65"/>
      <c r="G33" s="65"/>
      <c r="H33" s="54"/>
      <c r="I33" s="54"/>
      <c r="J33" s="65"/>
      <c r="K33" s="65"/>
      <c r="L33" s="65"/>
      <c r="M33" s="65"/>
      <c r="N33" s="65"/>
      <c r="O33" s="1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54"/>
      <c r="I34" s="54"/>
      <c r="J34" s="65"/>
      <c r="K34" s="65"/>
      <c r="L34" s="65"/>
      <c r="M34" s="65"/>
      <c r="N34" s="65"/>
      <c r="O34" s="1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1"/>
    </row>
    <row r="36" spans="1:15" ht="14.25" customHeight="1" x14ac:dyDescent="0.25">
      <c r="A36" s="1"/>
      <c r="B36" s="1"/>
      <c r="C36" s="73" t="s">
        <v>34</v>
      </c>
      <c r="D36" s="471" t="e">
        <f>+D22/(D10*1000)</f>
        <v>#DIV/0!</v>
      </c>
      <c r="E36" s="338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1"/>
    </row>
    <row r="37" spans="1:15" ht="14.25" customHeight="1" x14ac:dyDescent="0.25">
      <c r="A37" s="1"/>
      <c r="B37" s="1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1"/>
    </row>
    <row r="38" spans="1:15" ht="14.25" customHeight="1" x14ac:dyDescent="0.25">
      <c r="A38" s="1"/>
      <c r="B38" s="1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1"/>
    </row>
    <row r="39" spans="1:15" ht="14.25" customHeight="1" x14ac:dyDescent="0.25">
      <c r="A39" s="1"/>
      <c r="B39" s="1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1"/>
      <c r="O39" s="1"/>
    </row>
    <row r="40" spans="1:1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 customHeight="1" x14ac:dyDescent="0.25">
      <c r="A42" s="1"/>
      <c r="B42" s="1"/>
      <c r="C42" s="77" t="s">
        <v>38</v>
      </c>
      <c r="D42" s="91">
        <f>+'Preço SFCR-FRONIUS-BYD'!D42</f>
        <v>0</v>
      </c>
      <c r="E42" s="65"/>
      <c r="F42" s="79"/>
      <c r="G42" s="79"/>
      <c r="H42" s="1"/>
      <c r="I42" s="1"/>
      <c r="J42" s="1"/>
      <c r="K42" s="1"/>
      <c r="L42" s="1"/>
      <c r="M42" s="1"/>
      <c r="N42" s="1"/>
      <c r="O42" s="1"/>
    </row>
    <row r="43" spans="1:15" ht="14.25" customHeight="1" x14ac:dyDescent="0.25">
      <c r="A43" s="1"/>
      <c r="B43" s="1"/>
      <c r="C43" s="80" t="s">
        <v>39</v>
      </c>
      <c r="D43" s="81" t="e">
        <f>+'Preço SFCR-FRONIUS-BYD'!D43</f>
        <v>#DIV/0!</v>
      </c>
      <c r="E43" s="82"/>
      <c r="F43" s="83" t="s">
        <v>40</v>
      </c>
      <c r="G43" s="71" t="e">
        <f>+D43/D45</f>
        <v>#DIV/0!</v>
      </c>
      <c r="H43" s="1"/>
      <c r="I43" s="1"/>
      <c r="J43" s="1"/>
      <c r="K43" s="1"/>
      <c r="L43" s="1"/>
      <c r="M43" s="1"/>
      <c r="N43" s="1"/>
      <c r="O43" s="1"/>
    </row>
    <row r="44" spans="1:15" ht="14.25" customHeight="1" x14ac:dyDescent="0.25">
      <c r="A44" s="1"/>
      <c r="B44" s="1"/>
      <c r="C44" s="84" t="s">
        <v>41</v>
      </c>
      <c r="D44" s="97">
        <f>+'Preço SFCR-FRONIUS-BYD'!D44</f>
        <v>0.85</v>
      </c>
      <c r="E44" s="70"/>
      <c r="F44" s="429" t="s">
        <v>42</v>
      </c>
      <c r="G44" s="412"/>
      <c r="H44" s="98">
        <f>+'Preço SFCR-FRONIUS-BYD'!H44</f>
        <v>0.05</v>
      </c>
      <c r="I44" s="1"/>
      <c r="J44" s="1"/>
      <c r="K44" s="1"/>
      <c r="L44" s="1"/>
      <c r="M44" s="1"/>
      <c r="N44" s="1"/>
      <c r="O44" s="1"/>
    </row>
    <row r="45" spans="1:15" ht="14.25" customHeight="1" x14ac:dyDescent="0.25">
      <c r="A45" s="1"/>
      <c r="B45" s="1"/>
      <c r="C45" s="87" t="s">
        <v>43</v>
      </c>
      <c r="D45" s="97">
        <f>+'Preço SFCR-FRONIUS-BYD'!D45</f>
        <v>120</v>
      </c>
      <c r="E45" s="70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</sheetData>
  <mergeCells count="113">
    <mergeCell ref="L38:M38"/>
    <mergeCell ref="D39:E39"/>
    <mergeCell ref="H31:I31"/>
    <mergeCell ref="J31:K31"/>
    <mergeCell ref="F39:G39"/>
    <mergeCell ref="H39:I39"/>
    <mergeCell ref="J39:K39"/>
    <mergeCell ref="L39:M39"/>
    <mergeCell ref="D37:E37"/>
    <mergeCell ref="F37:G37"/>
    <mergeCell ref="H37:I37"/>
    <mergeCell ref="J37:K37"/>
    <mergeCell ref="L37:M37"/>
    <mergeCell ref="D36:E36"/>
    <mergeCell ref="F36:G36"/>
    <mergeCell ref="H36:I36"/>
    <mergeCell ref="J36:K36"/>
    <mergeCell ref="L36:M36"/>
    <mergeCell ref="D31:E31"/>
    <mergeCell ref="L31:M31"/>
    <mergeCell ref="D26:E26"/>
    <mergeCell ref="F26:G26"/>
    <mergeCell ref="D30:E30"/>
    <mergeCell ref="F30:G30"/>
    <mergeCell ref="H30:I30"/>
    <mergeCell ref="J30:K30"/>
    <mergeCell ref="H26:I26"/>
    <mergeCell ref="J26:K26"/>
    <mergeCell ref="F44:G44"/>
    <mergeCell ref="D38:E38"/>
    <mergeCell ref="F38:G38"/>
    <mergeCell ref="H38:I38"/>
    <mergeCell ref="J38:K38"/>
    <mergeCell ref="F31:G31"/>
    <mergeCell ref="H32:I32"/>
    <mergeCell ref="D29:E29"/>
    <mergeCell ref="D27:E27"/>
    <mergeCell ref="F27:G27"/>
    <mergeCell ref="H27:I27"/>
    <mergeCell ref="J27:K27"/>
    <mergeCell ref="L27:M27"/>
    <mergeCell ref="D28:E28"/>
    <mergeCell ref="F29:G29"/>
    <mergeCell ref="H29:I29"/>
    <mergeCell ref="J29:K29"/>
    <mergeCell ref="L29:M29"/>
    <mergeCell ref="L30:M30"/>
    <mergeCell ref="F28:G28"/>
    <mergeCell ref="H28:I28"/>
    <mergeCell ref="J28:K28"/>
    <mergeCell ref="L28:M28"/>
    <mergeCell ref="D19:E19"/>
    <mergeCell ref="F19:G19"/>
    <mergeCell ref="H19:I19"/>
    <mergeCell ref="J19:K19"/>
    <mergeCell ref="H21:I21"/>
    <mergeCell ref="J21:K21"/>
    <mergeCell ref="L25:M25"/>
    <mergeCell ref="D21:E21"/>
    <mergeCell ref="F21:G21"/>
    <mergeCell ref="L21:M21"/>
    <mergeCell ref="F25:G25"/>
    <mergeCell ref="C24:H24"/>
    <mergeCell ref="D25:E25"/>
    <mergeCell ref="D22:E22"/>
    <mergeCell ref="F22:G22"/>
    <mergeCell ref="H22:I22"/>
    <mergeCell ref="J22:K22"/>
    <mergeCell ref="L22:M22"/>
    <mergeCell ref="D3:I4"/>
    <mergeCell ref="D5:I6"/>
    <mergeCell ref="F11:G11"/>
    <mergeCell ref="H11:I11"/>
    <mergeCell ref="D8:I8"/>
    <mergeCell ref="H13:I13"/>
    <mergeCell ref="C7:F7"/>
    <mergeCell ref="C8:C9"/>
    <mergeCell ref="L26:M26"/>
    <mergeCell ref="H25:I25"/>
    <mergeCell ref="J25:K25"/>
    <mergeCell ref="F18:G18"/>
    <mergeCell ref="H18:I18"/>
    <mergeCell ref="J18:K18"/>
    <mergeCell ref="L18:M18"/>
    <mergeCell ref="L19:M19"/>
    <mergeCell ref="J17:K17"/>
    <mergeCell ref="L17:M17"/>
    <mergeCell ref="D18:E18"/>
    <mergeCell ref="D16:E16"/>
    <mergeCell ref="F16:G16"/>
    <mergeCell ref="H16:I16"/>
    <mergeCell ref="J16:K16"/>
    <mergeCell ref="L16:M16"/>
    <mergeCell ref="D17:E17"/>
    <mergeCell ref="J13:K13"/>
    <mergeCell ref="J10:K10"/>
    <mergeCell ref="L10:M10"/>
    <mergeCell ref="J11:K11"/>
    <mergeCell ref="L11:M11"/>
    <mergeCell ref="F17:G17"/>
    <mergeCell ref="H17:I17"/>
    <mergeCell ref="D12:E12"/>
    <mergeCell ref="F12:G12"/>
    <mergeCell ref="H12:I12"/>
    <mergeCell ref="J12:K12"/>
    <mergeCell ref="L12:M12"/>
    <mergeCell ref="L13:M13"/>
    <mergeCell ref="D11:E11"/>
    <mergeCell ref="D10:E10"/>
    <mergeCell ref="F10:G10"/>
    <mergeCell ref="H10:I10"/>
    <mergeCell ref="D13:E13"/>
    <mergeCell ref="F13:G13"/>
  </mergeCells>
  <dataValidations disablePrompts="1" count="2">
    <dataValidation type="list" allowBlank="1" showErrorMessage="1" sqref="D15" xr:uid="{00000000-0002-0000-0800-000000000000}">
      <formula1>#REF!</formula1>
    </dataValidation>
    <dataValidation type="list" allowBlank="1" showErrorMessage="1" sqref="F15 L15 J15 H15" xr:uid="{00000000-0002-0000-0800-000001000000}">
      <formula1>$C$8:$C$26</formula1>
    </dataValidation>
  </dataValidations>
  <pageMargins left="0.511811024" right="0.511811024" top="0.78740157499999996" bottom="0.78740157499999996" header="0" footer="0"/>
  <pageSetup paperSize="9" fitToHeight="0" orientation="portrait" r:id="rId1"/>
  <ignoredErrors>
    <ignoredError sqref="C10:M10 C13 C11:E11 C27:M32 C15:M21 C14 E14 G14 I14 K14 M14 C12 E12:M12 E13:M13 C23:M25 C22" evalError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T110"/>
  <sheetViews>
    <sheetView showGridLines="0" topLeftCell="A58" zoomScale="85" zoomScaleNormal="85" workbookViewId="0">
      <selection activeCell="B69" sqref="B69"/>
    </sheetView>
  </sheetViews>
  <sheetFormatPr defaultColWidth="14.42578125" defaultRowHeight="15" customHeight="1" x14ac:dyDescent="0.25"/>
  <cols>
    <col min="1" max="1" width="4" customWidth="1"/>
    <col min="2" max="2" width="12.85546875" customWidth="1"/>
    <col min="3" max="3" width="6.85546875" customWidth="1"/>
    <col min="4" max="4" width="6.85546875" style="197" customWidth="1"/>
    <col min="5" max="5" width="9" customWidth="1"/>
    <col min="6" max="6" width="14.42578125" customWidth="1"/>
    <col min="7" max="7" width="14.42578125" style="310" customWidth="1"/>
    <col min="8" max="8" width="22.7109375" customWidth="1"/>
    <col min="9" max="9" width="15.140625" customWidth="1"/>
    <col min="10" max="10" width="15.140625" style="141" customWidth="1"/>
    <col min="11" max="11" width="14.5703125" customWidth="1"/>
    <col min="12" max="18" width="15.7109375" customWidth="1"/>
    <col min="19" max="19" width="15" customWidth="1"/>
    <col min="20" max="20" width="1.42578125" customWidth="1"/>
  </cols>
  <sheetData>
    <row r="1" spans="1:20" ht="15.75" thickBot="1" x14ac:dyDescent="0.3">
      <c r="A1" s="1"/>
      <c r="B1" s="1"/>
      <c r="C1" s="1"/>
      <c r="D1" s="199"/>
      <c r="E1" s="1"/>
      <c r="F1" s="1"/>
      <c r="G1" s="311"/>
      <c r="H1" s="1"/>
      <c r="I1" s="1"/>
      <c r="J1" s="14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.75" customHeight="1" x14ac:dyDescent="0.25">
      <c r="A2" s="1"/>
      <c r="B2" s="340" t="s">
        <v>49</v>
      </c>
      <c r="C2" s="341"/>
      <c r="D2" s="342"/>
      <c r="E2" s="328" t="s">
        <v>50</v>
      </c>
      <c r="F2" s="329"/>
      <c r="G2" s="330"/>
      <c r="H2" s="329"/>
      <c r="I2" s="329"/>
      <c r="J2" s="330"/>
      <c r="K2" s="329"/>
      <c r="L2" s="329"/>
      <c r="M2" s="329"/>
      <c r="N2" s="329"/>
      <c r="O2" s="329"/>
      <c r="P2" s="329"/>
      <c r="Q2" s="329"/>
      <c r="R2" s="329"/>
      <c r="S2" s="330"/>
      <c r="T2" s="1"/>
    </row>
    <row r="3" spans="1:20" ht="18.75" customHeight="1" thickBot="1" x14ac:dyDescent="0.3">
      <c r="A3" s="1"/>
      <c r="B3" s="343">
        <v>0.4</v>
      </c>
      <c r="C3" s="344"/>
      <c r="D3" s="345"/>
      <c r="E3" s="331" t="s">
        <v>295</v>
      </c>
      <c r="F3" s="332"/>
      <c r="G3" s="333"/>
      <c r="H3" s="332"/>
      <c r="I3" s="332"/>
      <c r="J3" s="333"/>
      <c r="K3" s="332"/>
      <c r="L3" s="332"/>
      <c r="M3" s="332"/>
      <c r="N3" s="332"/>
      <c r="O3" s="332"/>
      <c r="P3" s="332"/>
      <c r="Q3" s="332"/>
      <c r="R3" s="332"/>
      <c r="S3" s="333"/>
      <c r="T3" s="101"/>
    </row>
    <row r="4" spans="1:20" ht="30" customHeight="1" x14ac:dyDescent="0.25">
      <c r="A4" s="1"/>
      <c r="B4" s="339" t="s">
        <v>52</v>
      </c>
      <c r="C4" s="326" t="s">
        <v>53</v>
      </c>
      <c r="D4" s="326" t="s">
        <v>225</v>
      </c>
      <c r="E4" s="326" t="s">
        <v>54</v>
      </c>
      <c r="F4" s="458" t="s">
        <v>55</v>
      </c>
      <c r="G4" s="459"/>
      <c r="H4" s="326" t="s">
        <v>56</v>
      </c>
      <c r="I4" s="326" t="s">
        <v>57</v>
      </c>
      <c r="J4" s="225" t="s">
        <v>233</v>
      </c>
      <c r="K4" s="326" t="s">
        <v>58</v>
      </c>
      <c r="L4" s="326" t="s">
        <v>59</v>
      </c>
      <c r="M4" s="326" t="s">
        <v>60</v>
      </c>
      <c r="N4" s="326" t="s">
        <v>61</v>
      </c>
      <c r="O4" s="326" t="s">
        <v>62</v>
      </c>
      <c r="P4" s="326" t="s">
        <v>63</v>
      </c>
      <c r="Q4" s="326" t="s">
        <v>64</v>
      </c>
      <c r="R4" s="326" t="s">
        <v>65</v>
      </c>
      <c r="S4" s="326" t="s">
        <v>66</v>
      </c>
      <c r="T4" s="102"/>
    </row>
    <row r="5" spans="1:20" x14ac:dyDescent="0.25">
      <c r="A5" s="1"/>
      <c r="B5" s="327"/>
      <c r="C5" s="327"/>
      <c r="D5" s="336"/>
      <c r="E5" s="327"/>
      <c r="F5" s="460"/>
      <c r="G5" s="461"/>
      <c r="H5" s="327"/>
      <c r="I5" s="327"/>
      <c r="J5" s="226">
        <v>1.4999999999999999E-2</v>
      </c>
      <c r="K5" s="327"/>
      <c r="L5" s="327"/>
      <c r="M5" s="335"/>
      <c r="N5" s="335"/>
      <c r="O5" s="335"/>
      <c r="P5" s="335"/>
      <c r="Q5" s="327"/>
      <c r="R5" s="327"/>
      <c r="S5" s="327"/>
      <c r="T5" s="102"/>
    </row>
    <row r="6" spans="1:20" s="165" customFormat="1" x14ac:dyDescent="0.25">
      <c r="A6" s="166"/>
      <c r="B6" s="103" t="s">
        <v>85</v>
      </c>
      <c r="C6" s="104">
        <f t="shared" ref="C6" si="0">+E6*$B$3</f>
        <v>1.2000000000000002</v>
      </c>
      <c r="D6" s="205" t="e">
        <f>+ABS('Preço SFCR-REFUSOL BYD 400Wp'!$G$43-C6)</f>
        <v>#DIV/0!</v>
      </c>
      <c r="E6" s="105">
        <f>+'FRONIUS-BYD 335Wp'!E6</f>
        <v>3</v>
      </c>
      <c r="F6" s="112" t="str">
        <f>+IF(L6=0,"",ROUND(N6/(1-'Tabela de BDI'!$C$3),0))</f>
        <v/>
      </c>
      <c r="G6" s="112" t="str">
        <f>+IF(F6="","",ROUND(F6+(F6*'Preço SFCR-REFUSOL BYD 400Wp'!$H$44),0))</f>
        <v/>
      </c>
      <c r="H6" s="107"/>
      <c r="I6" s="106"/>
      <c r="J6" s="143"/>
      <c r="K6" s="146">
        <f>+J6/(1-$J$5)</f>
        <v>0</v>
      </c>
      <c r="L6" s="106">
        <f t="shared" ref="L6" si="1">+I6+K6</f>
        <v>0</v>
      </c>
      <c r="M6" s="106">
        <f>+'FRONIUS-BYD 335Wp'!L6</f>
        <v>2500</v>
      </c>
      <c r="N6" s="106">
        <f t="shared" ref="N6" si="2">+L6+M6</f>
        <v>2500</v>
      </c>
      <c r="O6" s="106" t="str">
        <f>+IF(F6="","",F6*'Tabela de BDI'!$C$7)</f>
        <v/>
      </c>
      <c r="P6" s="106" t="str">
        <f>IF(F6="","",F6*'Tabela de BDI'!$C$8)</f>
        <v/>
      </c>
      <c r="Q6" s="109" t="str">
        <f t="shared" ref="Q6" si="3">IF(F6="","",(F6-L6)/L6)</f>
        <v/>
      </c>
      <c r="R6" s="110" t="str">
        <f t="shared" ref="R6" si="4">IF(F6="","",(F6/C6)/1000)</f>
        <v/>
      </c>
      <c r="S6" s="111">
        <f>+'Tabela de BDI'!$F$9*C6</f>
        <v>144.00000000000003</v>
      </c>
      <c r="T6" s="102"/>
    </row>
    <row r="7" spans="1:20" x14ac:dyDescent="0.25">
      <c r="A7" s="1"/>
      <c r="B7" s="103" t="s">
        <v>85</v>
      </c>
      <c r="C7" s="104">
        <f t="shared" ref="C7:C63" si="5">+E7*$B$3</f>
        <v>1.6</v>
      </c>
      <c r="D7" s="205" t="e">
        <f>+ABS('Preço SFCR-REFUSOL BYD 400Wp'!$G$43-C7)</f>
        <v>#DIV/0!</v>
      </c>
      <c r="E7" s="105">
        <f>+'FRONIUS-BYD 335Wp'!E7</f>
        <v>4</v>
      </c>
      <c r="F7" s="112">
        <f>+IF(L7=0,"",ROUND(N7/(1-'Tabela de BDI'!$C$3),0))</f>
        <v>9901</v>
      </c>
      <c r="G7" s="112">
        <f>+IF(F7="","",ROUND(F7+(F7*'Preço SFCR-REFUSOL BYD 400Wp'!$H$44),0))</f>
        <v>10396</v>
      </c>
      <c r="H7" s="230" t="s">
        <v>86</v>
      </c>
      <c r="I7" s="106"/>
      <c r="J7" s="146">
        <v>5899.17</v>
      </c>
      <c r="K7" s="146">
        <f t="shared" ref="K7:K64" si="6">+J7/(1-$J$5)</f>
        <v>5989.0050761421326</v>
      </c>
      <c r="L7" s="106">
        <f t="shared" ref="L7:L63" si="7">+I7+K7</f>
        <v>5989.0050761421326</v>
      </c>
      <c r="M7" s="106">
        <f>+'FRONIUS-BYD 335Wp'!L7</f>
        <v>2625</v>
      </c>
      <c r="N7" s="106">
        <f t="shared" ref="N7:N63" si="8">+L7+M7</f>
        <v>8614.0050761421335</v>
      </c>
      <c r="O7" s="106">
        <f>+IF(F7="","",F7*'Tabela de BDI'!$C$7)</f>
        <v>792.08</v>
      </c>
      <c r="P7" s="106">
        <f>IF(F7="","",F7*'Tabela de BDI'!$C$8)</f>
        <v>495.05</v>
      </c>
      <c r="Q7" s="109">
        <f t="shared" ref="Q7:Q63" si="9">IF(F7="","",(F7-L7)/L7)</f>
        <v>0.65319612759083046</v>
      </c>
      <c r="R7" s="110">
        <f t="shared" ref="R7:R65" si="10">IF(F7="","",(F7/C7)/1000)</f>
        <v>6.1881250000000003</v>
      </c>
      <c r="S7" s="111">
        <f>+'Tabela de BDI'!$F$9*C7</f>
        <v>192</v>
      </c>
      <c r="T7" s="102"/>
    </row>
    <row r="8" spans="1:20" s="174" customFormat="1" x14ac:dyDescent="0.25">
      <c r="A8" s="175"/>
      <c r="B8" s="103" t="s">
        <v>85</v>
      </c>
      <c r="C8" s="104">
        <f t="shared" si="5"/>
        <v>2</v>
      </c>
      <c r="D8" s="205" t="e">
        <f>+ABS('Preço SFCR-REFUSOL BYD 400Wp'!$G$43-C8)</f>
        <v>#DIV/0!</v>
      </c>
      <c r="E8" s="105">
        <f>+'FRONIUS-BYD 335Wp'!E8</f>
        <v>5</v>
      </c>
      <c r="F8" s="112">
        <f>+IF(L8=0,"",ROUND(N8/(1-'Tabela de BDI'!$C$3),0))</f>
        <v>11206</v>
      </c>
      <c r="G8" s="112">
        <f>+IF(F8="","",ROUND(F8+(F8*'Preço SFCR-REFUSOL BYD 400Wp'!$H$44),0))</f>
        <v>11766</v>
      </c>
      <c r="H8" s="230" t="s">
        <v>86</v>
      </c>
      <c r="I8" s="106"/>
      <c r="J8" s="146">
        <v>6894.02</v>
      </c>
      <c r="K8" s="146">
        <f t="shared" si="6"/>
        <v>6999.0050761421326</v>
      </c>
      <c r="L8" s="106">
        <f t="shared" si="7"/>
        <v>6999.0050761421326</v>
      </c>
      <c r="M8" s="106">
        <f>+'FRONIUS-BYD 335Wp'!L8</f>
        <v>2750</v>
      </c>
      <c r="N8" s="106">
        <f t="shared" si="8"/>
        <v>9749.0050761421335</v>
      </c>
      <c r="O8" s="106">
        <f>+IF(F8="","",F8*'Tabela de BDI'!$C$7)</f>
        <v>896.48</v>
      </c>
      <c r="P8" s="106">
        <f>IF(F8="","",F8*'Tabela de BDI'!$C$8)</f>
        <v>560.30000000000007</v>
      </c>
      <c r="Q8" s="109">
        <f t="shared" si="9"/>
        <v>0.60108470819637871</v>
      </c>
      <c r="R8" s="110">
        <f t="shared" si="10"/>
        <v>5.6029999999999998</v>
      </c>
      <c r="S8" s="111">
        <f>+'Tabela de BDI'!$F$9*C8</f>
        <v>240</v>
      </c>
      <c r="T8" s="102"/>
    </row>
    <row r="9" spans="1:20" x14ac:dyDescent="0.25">
      <c r="A9" s="1"/>
      <c r="B9" s="103" t="s">
        <v>85</v>
      </c>
      <c r="C9" s="104">
        <f t="shared" ref="C9:C14" si="11">+E9*$B$3</f>
        <v>2.4000000000000004</v>
      </c>
      <c r="D9" s="205" t="e">
        <f>+ABS('Preço SFCR-REFUSOL BYD 400Wp'!$G$43-C9)</f>
        <v>#DIV/0!</v>
      </c>
      <c r="E9" s="105">
        <f>+'FRONIUS-BYD 335Wp'!E9</f>
        <v>6</v>
      </c>
      <c r="F9" s="112">
        <f>+IF(L9=0,"",ROUND(N9/(1-'Tabela de BDI'!$C$3),0))</f>
        <v>12487</v>
      </c>
      <c r="G9" s="112">
        <f>+IF(F9="","",ROUND(F9+(F9*'Preço SFCR-REFUSOL BYD 400Wp'!$H$44),0))</f>
        <v>13111</v>
      </c>
      <c r="H9" s="107" t="s">
        <v>240</v>
      </c>
      <c r="I9" s="106"/>
      <c r="J9" s="146">
        <v>7869.17</v>
      </c>
      <c r="K9" s="146">
        <f t="shared" si="6"/>
        <v>7989.0050761421326</v>
      </c>
      <c r="L9" s="106">
        <f t="shared" si="7"/>
        <v>7989.0050761421326</v>
      </c>
      <c r="M9" s="106">
        <f>+'FRONIUS-BYD 335Wp'!L9</f>
        <v>2875</v>
      </c>
      <c r="N9" s="106">
        <f t="shared" si="8"/>
        <v>10864.005076142133</v>
      </c>
      <c r="O9" s="106">
        <f>+IF(F9="","",F9*'Tabela de BDI'!$C$7)</f>
        <v>998.96</v>
      </c>
      <c r="P9" s="106">
        <f>IF(F9="","",F9*'Tabela de BDI'!$C$8)</f>
        <v>624.35</v>
      </c>
      <c r="Q9" s="109">
        <f t="shared" si="9"/>
        <v>0.56302316508602546</v>
      </c>
      <c r="R9" s="110">
        <f t="shared" si="10"/>
        <v>5.202916666666666</v>
      </c>
      <c r="S9" s="111">
        <f>+'Tabela de BDI'!$F$9*C9</f>
        <v>288.00000000000006</v>
      </c>
      <c r="T9" s="102"/>
    </row>
    <row r="10" spans="1:20" s="174" customFormat="1" x14ac:dyDescent="0.25">
      <c r="A10" s="175"/>
      <c r="B10" s="103" t="s">
        <v>85</v>
      </c>
      <c r="C10" s="104">
        <f t="shared" si="11"/>
        <v>2.8000000000000003</v>
      </c>
      <c r="D10" s="205" t="e">
        <f>+ABS('Preço SFCR-REFUSOL BYD 400Wp'!$G$43-C10)</f>
        <v>#DIV/0!</v>
      </c>
      <c r="E10" s="105">
        <f>+'FRONIUS-BYD 335Wp'!E10</f>
        <v>7</v>
      </c>
      <c r="F10" s="112">
        <f>+IF(L10=0,"",ROUND(N10/(1-'Tabela de BDI'!$C$3),0))</f>
        <v>13459</v>
      </c>
      <c r="G10" s="112">
        <f>+IF(F10="","",ROUND(F10+(F10*'Preço SFCR-REFUSOL BYD 400Wp'!$H$44),0))</f>
        <v>14132</v>
      </c>
      <c r="H10" s="107" t="s">
        <v>240</v>
      </c>
      <c r="I10" s="106"/>
      <c r="J10" s="146">
        <v>8578.3700000000008</v>
      </c>
      <c r="K10" s="146">
        <f t="shared" si="6"/>
        <v>8709.0050761421335</v>
      </c>
      <c r="L10" s="106">
        <f t="shared" si="7"/>
        <v>8709.0050761421335</v>
      </c>
      <c r="M10" s="106">
        <f>+'FRONIUS-BYD 335Wp'!L10</f>
        <v>3000</v>
      </c>
      <c r="N10" s="106">
        <f t="shared" si="8"/>
        <v>11709.005076142133</v>
      </c>
      <c r="O10" s="106">
        <f>+IF(F10="","",F10*'Tabela de BDI'!$C$7)</f>
        <v>1076.72</v>
      </c>
      <c r="P10" s="106">
        <f>IF(F10="","",F10*'Tabela de BDI'!$C$8)</f>
        <v>672.95</v>
      </c>
      <c r="Q10" s="109">
        <f t="shared" si="9"/>
        <v>0.5454118906039257</v>
      </c>
      <c r="R10" s="110">
        <f t="shared" si="10"/>
        <v>4.8067857142857138</v>
      </c>
      <c r="S10" s="111">
        <f>+'Tabela de BDI'!$F$9*C10</f>
        <v>336.00000000000006</v>
      </c>
      <c r="T10" s="102"/>
    </row>
    <row r="11" spans="1:20" x14ac:dyDescent="0.25">
      <c r="A11" s="1"/>
      <c r="B11" s="103" t="s">
        <v>85</v>
      </c>
      <c r="C11" s="104">
        <f t="shared" si="11"/>
        <v>3.2</v>
      </c>
      <c r="D11" s="205" t="e">
        <f>+ABS('Preço SFCR-REFUSOL BYD 400Wp'!$G$43-C11)</f>
        <v>#DIV/0!</v>
      </c>
      <c r="E11" s="105">
        <f>+'FRONIUS-BYD 335Wp'!E11</f>
        <v>8</v>
      </c>
      <c r="F11" s="112">
        <f>+IF(L11=0,"",ROUND(N11/(1-'Tabela de BDI'!$C$3),0))</f>
        <v>14430</v>
      </c>
      <c r="G11" s="112">
        <f>+IF(F11="","",ROUND(F11+(F11*'Preço SFCR-REFUSOL BYD 400Wp'!$H$44),0))</f>
        <v>15152</v>
      </c>
      <c r="H11" s="107" t="s">
        <v>240</v>
      </c>
      <c r="I11" s="106"/>
      <c r="J11" s="146">
        <v>9287.57</v>
      </c>
      <c r="K11" s="146">
        <f t="shared" si="6"/>
        <v>9429.0050761421317</v>
      </c>
      <c r="L11" s="106">
        <f t="shared" si="7"/>
        <v>9429.0050761421317</v>
      </c>
      <c r="M11" s="106">
        <f>+'FRONIUS-BYD 335Wp'!L11</f>
        <v>3125</v>
      </c>
      <c r="N11" s="106">
        <f t="shared" si="8"/>
        <v>12554.005076142132</v>
      </c>
      <c r="O11" s="106">
        <f>+IF(F11="","",F11*'Tabela de BDI'!$C$7)</f>
        <v>1154.4000000000001</v>
      </c>
      <c r="P11" s="106">
        <f>IF(F11="","",F11*'Tabela de BDI'!$C$8)</f>
        <v>721.5</v>
      </c>
      <c r="Q11" s="109">
        <f t="shared" si="9"/>
        <v>0.53038415861199439</v>
      </c>
      <c r="R11" s="110">
        <f t="shared" si="10"/>
        <v>4.5093750000000004</v>
      </c>
      <c r="S11" s="111">
        <f>+'Tabela de BDI'!$F$9*C11</f>
        <v>384</v>
      </c>
      <c r="T11" s="102"/>
    </row>
    <row r="12" spans="1:20" s="174" customFormat="1" x14ac:dyDescent="0.25">
      <c r="A12" s="175"/>
      <c r="B12" s="103" t="s">
        <v>85</v>
      </c>
      <c r="C12" s="104">
        <f t="shared" si="11"/>
        <v>3.6</v>
      </c>
      <c r="D12" s="205" t="e">
        <f>+ABS('Preço SFCR-REFUSOL BYD 400Wp'!$G$43-C12)</f>
        <v>#DIV/0!</v>
      </c>
      <c r="E12" s="105">
        <f>+'FRONIUS-BYD 335Wp'!E12</f>
        <v>9</v>
      </c>
      <c r="F12" s="112">
        <f>+IF(L12=0,"",ROUND(N12/(1-'Tabela de BDI'!$C$3),0))</f>
        <v>15734</v>
      </c>
      <c r="G12" s="112">
        <f>+IF(F12="","",ROUND(F12+(F12*'Preço SFCR-REFUSOL BYD 400Wp'!$H$44),0))</f>
        <v>16521</v>
      </c>
      <c r="H12" s="107" t="s">
        <v>240</v>
      </c>
      <c r="I12" s="106"/>
      <c r="J12" s="146">
        <v>10282.42</v>
      </c>
      <c r="K12" s="146">
        <f t="shared" si="6"/>
        <v>10439.005076142132</v>
      </c>
      <c r="L12" s="106">
        <f t="shared" si="7"/>
        <v>10439.005076142132</v>
      </c>
      <c r="M12" s="106">
        <f>+'FRONIUS-BYD 335Wp'!L12</f>
        <v>3250</v>
      </c>
      <c r="N12" s="106">
        <f t="shared" si="8"/>
        <v>13689.005076142132</v>
      </c>
      <c r="O12" s="106">
        <f>+IF(F12="","",F12*'Tabela de BDI'!$C$7)</f>
        <v>1258.72</v>
      </c>
      <c r="P12" s="106">
        <f>IF(F12="","",F12*'Tabela de BDI'!$C$8)</f>
        <v>786.7</v>
      </c>
      <c r="Q12" s="109">
        <f t="shared" si="9"/>
        <v>0.5072317606166642</v>
      </c>
      <c r="R12" s="110">
        <f t="shared" si="10"/>
        <v>4.3705555555555557</v>
      </c>
      <c r="S12" s="111">
        <f>+'Tabela de BDI'!$F$9*C12</f>
        <v>432</v>
      </c>
      <c r="T12" s="102"/>
    </row>
    <row r="13" spans="1:20" x14ac:dyDescent="0.25">
      <c r="A13" s="1"/>
      <c r="B13" s="103" t="s">
        <v>85</v>
      </c>
      <c r="C13" s="104">
        <f t="shared" si="11"/>
        <v>4</v>
      </c>
      <c r="D13" s="205" t="e">
        <f>+ABS('Preço SFCR-REFUSOL BYD 400Wp'!$G$43-C13)</f>
        <v>#DIV/0!</v>
      </c>
      <c r="E13" s="105">
        <f>+'FRONIUS-BYD 335Wp'!E13</f>
        <v>10</v>
      </c>
      <c r="F13" s="112">
        <f>+IF(L13=0,"",ROUND(N13/(1-'Tabela de BDI'!$C$3),0))</f>
        <v>16706</v>
      </c>
      <c r="G13" s="112">
        <f>+IF(F13="","",ROUND(F13+(F13*'Preço SFCR-REFUSOL BYD 400Wp'!$H$44),0))</f>
        <v>17541</v>
      </c>
      <c r="H13" s="107" t="s">
        <v>240</v>
      </c>
      <c r="I13" s="106"/>
      <c r="J13" s="146">
        <v>10991.62</v>
      </c>
      <c r="K13" s="146">
        <f t="shared" si="6"/>
        <v>11159.005076142133</v>
      </c>
      <c r="L13" s="106">
        <f t="shared" si="7"/>
        <v>11159.005076142133</v>
      </c>
      <c r="M13" s="106">
        <f>+'FRONIUS-BYD 335Wp'!L13</f>
        <v>3375</v>
      </c>
      <c r="N13" s="106">
        <f t="shared" si="8"/>
        <v>14534.005076142133</v>
      </c>
      <c r="O13" s="106">
        <f>+IF(F13="","",F13*'Tabela de BDI'!$C$7)</f>
        <v>1336.48</v>
      </c>
      <c r="P13" s="106">
        <f>IF(F13="","",F13*'Tabela de BDI'!$C$8)</f>
        <v>835.30000000000007</v>
      </c>
      <c r="Q13" s="109">
        <f t="shared" si="9"/>
        <v>0.49708687163493626</v>
      </c>
      <c r="R13" s="110">
        <f t="shared" si="10"/>
        <v>4.1764999999999999</v>
      </c>
      <c r="S13" s="111">
        <f>+'Tabela de BDI'!$F$9*C13</f>
        <v>480</v>
      </c>
      <c r="T13" s="114"/>
    </row>
    <row r="14" spans="1:20" s="174" customFormat="1" x14ac:dyDescent="0.25">
      <c r="A14" s="175"/>
      <c r="B14" s="103" t="s">
        <v>85</v>
      </c>
      <c r="C14" s="104">
        <f t="shared" si="11"/>
        <v>4.4000000000000004</v>
      </c>
      <c r="D14" s="205" t="e">
        <f>+ABS('Preço SFCR-REFUSOL BYD 400Wp'!$G$43-C14)</f>
        <v>#DIV/0!</v>
      </c>
      <c r="E14" s="105">
        <f>+'FRONIUS-BYD 335Wp'!E14</f>
        <v>11</v>
      </c>
      <c r="F14" s="112">
        <f>+IF(L14=0,"",ROUND(N14/(1-'Tabela de BDI'!$C$3),0))</f>
        <v>17677</v>
      </c>
      <c r="G14" s="112">
        <f>+IF(F14="","",ROUND(F14+(F14*'Preço SFCR-REFUSOL BYD 400Wp'!$H$44),0))</f>
        <v>18561</v>
      </c>
      <c r="H14" s="107" t="s">
        <v>240</v>
      </c>
      <c r="I14" s="106"/>
      <c r="J14" s="146">
        <v>11700.82</v>
      </c>
      <c r="K14" s="146">
        <f t="shared" si="6"/>
        <v>11879.005076142132</v>
      </c>
      <c r="L14" s="106">
        <f t="shared" si="7"/>
        <v>11879.005076142132</v>
      </c>
      <c r="M14" s="106">
        <f>+'FRONIUS-BYD 335Wp'!L14</f>
        <v>3500</v>
      </c>
      <c r="N14" s="106">
        <f t="shared" si="8"/>
        <v>15379.005076142132</v>
      </c>
      <c r="O14" s="106">
        <f>+IF(F14="","",F14*'Tabela de BDI'!$C$7)</f>
        <v>1414.16</v>
      </c>
      <c r="P14" s="106">
        <f>IF(F14="","",F14*'Tabela de BDI'!$C$8)</f>
        <v>883.85</v>
      </c>
      <c r="Q14" s="109">
        <f t="shared" si="9"/>
        <v>0.48808758702381544</v>
      </c>
      <c r="R14" s="110">
        <f t="shared" si="10"/>
        <v>4.0174999999999992</v>
      </c>
      <c r="S14" s="111">
        <f>+'Tabela de BDI'!$F$9*C14</f>
        <v>528</v>
      </c>
      <c r="T14" s="114"/>
    </row>
    <row r="15" spans="1:20" x14ac:dyDescent="0.25">
      <c r="A15" s="1"/>
      <c r="B15" s="103" t="s">
        <v>85</v>
      </c>
      <c r="C15" s="104">
        <f t="shared" si="5"/>
        <v>4.8000000000000007</v>
      </c>
      <c r="D15" s="205" t="e">
        <f>+ABS('Preço SFCR-REFUSOL BYD 400Wp'!$G$43-C15)</f>
        <v>#DIV/0!</v>
      </c>
      <c r="E15" s="105">
        <f>+'FRONIUS-BYD 335Wp'!E15</f>
        <v>12</v>
      </c>
      <c r="F15" s="112">
        <f>+IF(L15=0,"",ROUND(N15/(1-'Tabela de BDI'!$C$3),0))</f>
        <v>20752</v>
      </c>
      <c r="G15" s="112">
        <f>+IF(F15="","",ROUND(F15+(F15*'Preço SFCR-REFUSOL BYD 400Wp'!$H$44),0))</f>
        <v>21790</v>
      </c>
      <c r="H15" s="107" t="s">
        <v>241</v>
      </c>
      <c r="I15" s="106"/>
      <c r="J15" s="146">
        <v>14212.57</v>
      </c>
      <c r="K15" s="146">
        <f t="shared" si="6"/>
        <v>14429.005076142132</v>
      </c>
      <c r="L15" s="106">
        <f t="shared" si="7"/>
        <v>14429.005076142132</v>
      </c>
      <c r="M15" s="106">
        <f>+'FRONIUS-BYD 335Wp'!L15</f>
        <v>3625</v>
      </c>
      <c r="N15" s="106">
        <f t="shared" si="8"/>
        <v>18054.00507614213</v>
      </c>
      <c r="O15" s="106">
        <f>+IF(F15="","",F15*'Tabela de BDI'!$C$7)</f>
        <v>1660.16</v>
      </c>
      <c r="P15" s="106">
        <f>IF(F15="","",F15*'Tabela de BDI'!$C$8)</f>
        <v>1037.6000000000001</v>
      </c>
      <c r="Q15" s="109">
        <f t="shared" si="9"/>
        <v>0.4382142005281241</v>
      </c>
      <c r="R15" s="110">
        <f t="shared" si="10"/>
        <v>4.3233333333333333</v>
      </c>
      <c r="S15" s="111">
        <f>+'Tabela de BDI'!$F$9*C15</f>
        <v>576.00000000000011</v>
      </c>
      <c r="T15" s="114"/>
    </row>
    <row r="16" spans="1:20" s="286" customFormat="1" x14ac:dyDescent="0.25">
      <c r="A16" s="288"/>
      <c r="B16" s="103" t="s">
        <v>85</v>
      </c>
      <c r="C16" s="104">
        <f t="shared" ref="C16" si="12">+E16*$B$3</f>
        <v>5.2</v>
      </c>
      <c r="D16" s="205" t="e">
        <f>+ABS('Preço SFCR-REFUSOL BYD 400Wp'!$G$43-C16)</f>
        <v>#DIV/0!</v>
      </c>
      <c r="E16" s="105">
        <f>+'FRONIUS-BYD 335Wp'!E16</f>
        <v>13</v>
      </c>
      <c r="F16" s="112" t="str">
        <f>+IF(L16=0,"",ROUND(N16/(1-'Tabela de BDI'!$C$3),0))</f>
        <v/>
      </c>
      <c r="G16" s="112" t="str">
        <f>+IF(F16="","",ROUND(F16+(F16*'Preço SFCR-REFUSOL BYD 400Wp'!$H$44),0))</f>
        <v/>
      </c>
      <c r="H16" s="107"/>
      <c r="I16" s="106"/>
      <c r="J16" s="146"/>
      <c r="K16" s="146">
        <f t="shared" ref="K16" si="13">+J16/(1-$J$5)</f>
        <v>0</v>
      </c>
      <c r="L16" s="106">
        <f t="shared" ref="L16" si="14">+I16+K16</f>
        <v>0</v>
      </c>
      <c r="M16" s="106">
        <f>+'FRONIUS-BYD 335Wp'!L16</f>
        <v>3750</v>
      </c>
      <c r="N16" s="106">
        <f t="shared" ref="N16" si="15">+L16+M16</f>
        <v>3750</v>
      </c>
      <c r="O16" s="106" t="str">
        <f>+IF(F16="","",F16*'Tabela de BDI'!$C$7)</f>
        <v/>
      </c>
      <c r="P16" s="106" t="str">
        <f>IF(F16="","",F16*'Tabela de BDI'!$C$8)</f>
        <v/>
      </c>
      <c r="Q16" s="109" t="str">
        <f t="shared" ref="Q16" si="16">IF(F16="","",(F16-L16)/L16)</f>
        <v/>
      </c>
      <c r="R16" s="110" t="str">
        <f t="shared" ref="R16" si="17">IF(F16="","",(F16/C16)/1000)</f>
        <v/>
      </c>
      <c r="S16" s="111">
        <f>+'Tabela de BDI'!$F$9*C16</f>
        <v>624</v>
      </c>
      <c r="T16" s="114"/>
    </row>
    <row r="17" spans="1:20" x14ac:dyDescent="0.25">
      <c r="A17" s="1"/>
      <c r="B17" s="103" t="s">
        <v>85</v>
      </c>
      <c r="C17" s="104">
        <f t="shared" si="5"/>
        <v>5.6000000000000005</v>
      </c>
      <c r="D17" s="205" t="e">
        <f>+ABS('Preço SFCR-REFUSOL BYD 400Wp'!$G$43-C17)</f>
        <v>#DIV/0!</v>
      </c>
      <c r="E17" s="105">
        <f>+'FRONIUS-BYD 335Wp'!E17</f>
        <v>14</v>
      </c>
      <c r="F17" s="112">
        <f>+IF(L17=0,"",ROUND(N17/(1-'Tabela de BDI'!$C$3),0))</f>
        <v>23028</v>
      </c>
      <c r="G17" s="112">
        <f>+IF(F17="","",ROUND(F17+(F17*'Preço SFCR-REFUSOL BYD 400Wp'!$H$44),0))</f>
        <v>24179</v>
      </c>
      <c r="H17" s="107" t="s">
        <v>241</v>
      </c>
      <c r="I17" s="106"/>
      <c r="J17" s="146">
        <v>15916.62</v>
      </c>
      <c r="K17" s="146">
        <f t="shared" si="6"/>
        <v>16159.005076142133</v>
      </c>
      <c r="L17" s="106">
        <f t="shared" si="7"/>
        <v>16159.005076142133</v>
      </c>
      <c r="M17" s="106">
        <f>+'FRONIUS-BYD 335Wp'!L17</f>
        <v>3875</v>
      </c>
      <c r="N17" s="106">
        <f t="shared" si="8"/>
        <v>20034.005076142133</v>
      </c>
      <c r="O17" s="106">
        <f>+IF(F17="","",F17*'Tabela de BDI'!$C$7)</f>
        <v>1842.24</v>
      </c>
      <c r="P17" s="106">
        <f>IF(F17="","",F17*'Tabela de BDI'!$C$8)</f>
        <v>1151.4000000000001</v>
      </c>
      <c r="Q17" s="109">
        <f t="shared" si="9"/>
        <v>0.42508773847713888</v>
      </c>
      <c r="R17" s="110">
        <f t="shared" si="10"/>
        <v>4.1121428571428567</v>
      </c>
      <c r="S17" s="111">
        <f>+'Tabela de BDI'!$F$9*C17</f>
        <v>672.00000000000011</v>
      </c>
      <c r="T17" s="114"/>
    </row>
    <row r="18" spans="1:20" s="195" customFormat="1" x14ac:dyDescent="0.25">
      <c r="A18" s="196"/>
      <c r="B18" s="103" t="s">
        <v>85</v>
      </c>
      <c r="C18" s="104">
        <f t="shared" ref="C18" si="18">+E18*$B$3</f>
        <v>6</v>
      </c>
      <c r="D18" s="205" t="e">
        <f>+ABS('Preço SFCR-REFUSOL BYD 400Wp'!$G$43-C18)</f>
        <v>#DIV/0!</v>
      </c>
      <c r="E18" s="105">
        <f>+'FRONIUS-BYD 335Wp'!E18</f>
        <v>15</v>
      </c>
      <c r="F18" s="112" t="str">
        <f>+IF(L18=0,"",ROUND(N18/(1-'Tabela de BDI'!$C$3),0))</f>
        <v/>
      </c>
      <c r="G18" s="112" t="str">
        <f>+IF(F18="","",ROUND(F18+(F18*'Preço SFCR-REFUSOL BYD 400Wp'!$H$44),0))</f>
        <v/>
      </c>
      <c r="H18" s="167"/>
      <c r="I18" s="106"/>
      <c r="J18" s="146"/>
      <c r="K18" s="146">
        <f t="shared" si="6"/>
        <v>0</v>
      </c>
      <c r="L18" s="106">
        <f t="shared" ref="L18" si="19">+I18+K18</f>
        <v>0</v>
      </c>
      <c r="M18" s="106">
        <f>+'FRONIUS-BYD 335Wp'!L18</f>
        <v>4000</v>
      </c>
      <c r="N18" s="106">
        <f t="shared" ref="N18" si="20">+L18+M18</f>
        <v>4000</v>
      </c>
      <c r="O18" s="106" t="str">
        <f>+IF(F18="","",F18*'Tabela de BDI'!$C$7)</f>
        <v/>
      </c>
      <c r="P18" s="106" t="str">
        <f>IF(F18="","",F18*'Tabela de BDI'!$C$8)</f>
        <v/>
      </c>
      <c r="Q18" s="109" t="str">
        <f t="shared" ref="Q18" si="21">IF(F18="","",(F18-L18)/L18)</f>
        <v/>
      </c>
      <c r="R18" s="110" t="str">
        <f t="shared" ref="R18" si="22">IF(F18="","",(F18/C18)/1000)</f>
        <v/>
      </c>
      <c r="S18" s="111">
        <f>+'Tabela de BDI'!$F$9*C18</f>
        <v>720</v>
      </c>
      <c r="T18" s="114"/>
    </row>
    <row r="19" spans="1:20" x14ac:dyDescent="0.25">
      <c r="A19" s="1"/>
      <c r="B19" s="103" t="s">
        <v>85</v>
      </c>
      <c r="C19" s="104">
        <f t="shared" si="5"/>
        <v>6.4</v>
      </c>
      <c r="D19" s="205" t="e">
        <f>+ABS('Preço SFCR-REFUSOL BYD 400Wp'!$G$43-C19)</f>
        <v>#DIV/0!</v>
      </c>
      <c r="E19" s="105">
        <f>+'FRONIUS-BYD 335Wp'!E19</f>
        <v>16</v>
      </c>
      <c r="F19" s="112">
        <f>+IF(L19=0,"",ROUND(N19/(1-'Tabela de BDI'!$C$3),0))</f>
        <v>24740</v>
      </c>
      <c r="G19" s="112">
        <f>+IF(F19="","",ROUND(F19+(F19*'Preço SFCR-REFUSOL BYD 400Wp'!$H$44),0))</f>
        <v>25977</v>
      </c>
      <c r="H19" s="107" t="s">
        <v>241</v>
      </c>
      <c r="I19" s="106"/>
      <c r="J19" s="146">
        <v>17138.02</v>
      </c>
      <c r="K19" s="146">
        <f t="shared" si="6"/>
        <v>17399.005076142133</v>
      </c>
      <c r="L19" s="106">
        <f t="shared" si="7"/>
        <v>17399.005076142133</v>
      </c>
      <c r="M19" s="106">
        <f>+'FRONIUS-BYD 335Wp'!L19</f>
        <v>4125</v>
      </c>
      <c r="N19" s="106">
        <f t="shared" si="8"/>
        <v>21524.005076142133</v>
      </c>
      <c r="O19" s="106">
        <f>+IF(F19="","",F19*'Tabela de BDI'!$C$7)</f>
        <v>1979.2</v>
      </c>
      <c r="P19" s="106">
        <f>IF(F19="","",F19*'Tabela de BDI'!$C$8)</f>
        <v>1237</v>
      </c>
      <c r="Q19" s="109">
        <f t="shared" si="9"/>
        <v>0.42192038520202441</v>
      </c>
      <c r="R19" s="110">
        <f t="shared" si="10"/>
        <v>3.8656250000000001</v>
      </c>
      <c r="S19" s="111">
        <f>+'Tabela de BDI'!$F$9*C19</f>
        <v>768</v>
      </c>
      <c r="T19" s="114"/>
    </row>
    <row r="20" spans="1:20" x14ac:dyDescent="0.25">
      <c r="A20" s="1"/>
      <c r="B20" s="103" t="s">
        <v>85</v>
      </c>
      <c r="C20" s="104">
        <f t="shared" si="5"/>
        <v>7.2</v>
      </c>
      <c r="D20" s="205" t="e">
        <f>+ABS('Preço SFCR-REFUSOL BYD 400Wp'!$G$43-C20)</f>
        <v>#DIV/0!</v>
      </c>
      <c r="E20" s="105">
        <f>+'FRONIUS-BYD 335Wp'!E21</f>
        <v>18</v>
      </c>
      <c r="F20" s="112">
        <f>+IF(L20=0,"",ROUND(N20/(1-'Tabela de BDI'!$C$3),0))</f>
        <v>28693</v>
      </c>
      <c r="G20" s="112">
        <f>+IF(F20="","",ROUND(F20+(F20*'Preço SFCR-REFUSOL BYD 400Wp'!$H$44),0))</f>
        <v>30128</v>
      </c>
      <c r="H20" s="107" t="s">
        <v>297</v>
      </c>
      <c r="I20" s="106"/>
      <c r="J20" s="146">
        <f>J11+J13</f>
        <v>20279.190000000002</v>
      </c>
      <c r="K20" s="146">
        <f t="shared" si="6"/>
        <v>20588.010152284267</v>
      </c>
      <c r="L20" s="106">
        <f t="shared" si="7"/>
        <v>20588.010152284267</v>
      </c>
      <c r="M20" s="106">
        <f>+'FRONIUS-BYD 335Wp'!L21</f>
        <v>4375</v>
      </c>
      <c r="N20" s="106">
        <f t="shared" si="8"/>
        <v>24963.010152284267</v>
      </c>
      <c r="O20" s="106">
        <f>+IF(F20="","",F20*'Tabela de BDI'!$C$7)</f>
        <v>2295.44</v>
      </c>
      <c r="P20" s="106">
        <f>IF(F20="","",F20*'Tabela de BDI'!$C$8)</f>
        <v>1434.65</v>
      </c>
      <c r="Q20" s="109">
        <f t="shared" si="9"/>
        <v>0.39367524048051211</v>
      </c>
      <c r="R20" s="110">
        <f t="shared" si="10"/>
        <v>3.9851388888888888</v>
      </c>
      <c r="S20" s="111">
        <f>+'Tabela de BDI'!$F$9*C20</f>
        <v>864</v>
      </c>
      <c r="T20" s="114"/>
    </row>
    <row r="21" spans="1:20" s="228" customFormat="1" x14ac:dyDescent="0.25">
      <c r="A21" s="229"/>
      <c r="B21" s="103" t="s">
        <v>85</v>
      </c>
      <c r="C21" s="104">
        <f t="shared" ref="C21" si="23">+E21*$B$3</f>
        <v>7.6000000000000005</v>
      </c>
      <c r="D21" s="205" t="e">
        <f>+ABS('Preço SFCR-REFUSOL BYD 400Wp'!$G$43-C21)</f>
        <v>#DIV/0!</v>
      </c>
      <c r="E21" s="105">
        <f>+'FRONIUS-BYD 335Wp'!E22</f>
        <v>19</v>
      </c>
      <c r="F21" s="112">
        <f>+IF(L21=0,"",ROUND(N21/(1-'Tabela de BDI'!$C$3),0))</f>
        <v>29998</v>
      </c>
      <c r="G21" s="112">
        <f>+IF(F21="","",ROUND(F21+(F21*'Preço SFCR-REFUSOL BYD 400Wp'!$H$44),0))</f>
        <v>31498</v>
      </c>
      <c r="H21" s="107" t="s">
        <v>297</v>
      </c>
      <c r="I21" s="106"/>
      <c r="J21" s="146">
        <f>J13+J12</f>
        <v>21274.04</v>
      </c>
      <c r="K21" s="146">
        <f t="shared" ref="K21" si="24">+J21/(1-$J$5)</f>
        <v>21598.010152284267</v>
      </c>
      <c r="L21" s="106">
        <f t="shared" ref="L21" si="25">+I21+K21</f>
        <v>21598.010152284267</v>
      </c>
      <c r="M21" s="106">
        <f>+'FRONIUS-BYD 335Wp'!L22</f>
        <v>4500</v>
      </c>
      <c r="N21" s="106">
        <f t="shared" ref="N21" si="26">+L21+M21</f>
        <v>26098.010152284267</v>
      </c>
      <c r="O21" s="106">
        <f>+IF(F21="","",F21*'Tabela de BDI'!$C$7)</f>
        <v>2399.84</v>
      </c>
      <c r="P21" s="106">
        <f>IF(F21="","",F21*'Tabela de BDI'!$C$8)</f>
        <v>1499.9</v>
      </c>
      <c r="Q21" s="109">
        <f t="shared" ref="Q21" si="27">IF(F21="","",(F21-L21)/L21)</f>
        <v>0.38892424758061916</v>
      </c>
      <c r="R21" s="110">
        <f t="shared" ref="R21" si="28">IF(F21="","",(F21/C21)/1000)</f>
        <v>3.9471052631578947</v>
      </c>
      <c r="S21" s="111">
        <f>+'Tabela de BDI'!$F$9*C21</f>
        <v>912.00000000000011</v>
      </c>
      <c r="T21" s="114"/>
    </row>
    <row r="22" spans="1:20" x14ac:dyDescent="0.25">
      <c r="A22" s="1"/>
      <c r="B22" s="103" t="s">
        <v>85</v>
      </c>
      <c r="C22" s="104">
        <f t="shared" si="5"/>
        <v>8</v>
      </c>
      <c r="D22" s="205" t="e">
        <f>+ABS('Preço SFCR-REFUSOL BYD 400Wp'!$G$43-C22)</f>
        <v>#DIV/0!</v>
      </c>
      <c r="E22" s="105">
        <f>+'FRONIUS-BYD 335Wp'!E23</f>
        <v>20</v>
      </c>
      <c r="F22" s="112">
        <f>+IF(L22=0,"",ROUND(N22/(1-'Tabela de BDI'!$C$3),0))</f>
        <v>30969</v>
      </c>
      <c r="G22" s="112">
        <f>+IF(F22="","",ROUND(F22+(F22*'Preço SFCR-REFUSOL BYD 400Wp'!$H$44),0))</f>
        <v>32517</v>
      </c>
      <c r="H22" s="107" t="s">
        <v>297</v>
      </c>
      <c r="I22" s="106"/>
      <c r="J22" s="146">
        <f>2*J13</f>
        <v>21983.24</v>
      </c>
      <c r="K22" s="146">
        <f t="shared" si="6"/>
        <v>22318.010152284267</v>
      </c>
      <c r="L22" s="106">
        <f t="shared" si="7"/>
        <v>22318.010152284267</v>
      </c>
      <c r="M22" s="106">
        <f>+'FRONIUS-BYD 335Wp'!L23</f>
        <v>4625</v>
      </c>
      <c r="N22" s="106">
        <f t="shared" si="8"/>
        <v>26943.010152284267</v>
      </c>
      <c r="O22" s="106">
        <f>+IF(F22="","",F22*'Tabela de BDI'!$C$7)</f>
        <v>2477.52</v>
      </c>
      <c r="P22" s="106">
        <f>IF(F22="","",F22*'Tabela de BDI'!$C$8)</f>
        <v>1548.45</v>
      </c>
      <c r="Q22" s="109">
        <f t="shared" si="9"/>
        <v>0.38762370787927514</v>
      </c>
      <c r="R22" s="110">
        <f t="shared" si="10"/>
        <v>3.8711250000000001</v>
      </c>
      <c r="S22" s="111">
        <f>+'Tabela de BDI'!$F$9*C22</f>
        <v>960</v>
      </c>
      <c r="T22" s="114"/>
    </row>
    <row r="23" spans="1:20" x14ac:dyDescent="0.25">
      <c r="A23" s="1"/>
      <c r="B23" s="103" t="s">
        <v>85</v>
      </c>
      <c r="C23" s="104">
        <f t="shared" si="5"/>
        <v>8.8000000000000007</v>
      </c>
      <c r="D23" s="205" t="e">
        <f>+ABS('Preço SFCR-REFUSOL BYD 400Wp'!$G$43-C23)</f>
        <v>#DIV/0!</v>
      </c>
      <c r="E23" s="105">
        <f>+'FRONIUS-BYD 335Wp'!E25</f>
        <v>22</v>
      </c>
      <c r="F23" s="112">
        <f>+IF(L23=0,"",ROUND(N23/(1-'Tabela de BDI'!$C$3),0))</f>
        <v>32912</v>
      </c>
      <c r="G23" s="112">
        <f>+IF(F23="","",ROUND(F23+(F23*'Preço SFCR-REFUSOL BYD 400Wp'!$H$44),0))</f>
        <v>34558</v>
      </c>
      <c r="H23" s="107" t="s">
        <v>297</v>
      </c>
      <c r="I23" s="106"/>
      <c r="J23" s="146">
        <f>2*J14</f>
        <v>23401.64</v>
      </c>
      <c r="K23" s="146">
        <f t="shared" si="6"/>
        <v>23758.010152284263</v>
      </c>
      <c r="L23" s="106">
        <f t="shared" si="7"/>
        <v>23758.010152284263</v>
      </c>
      <c r="M23" s="106">
        <f>+'FRONIUS-BYD 335Wp'!L25</f>
        <v>4875</v>
      </c>
      <c r="N23" s="106">
        <f t="shared" si="8"/>
        <v>28633.010152284263</v>
      </c>
      <c r="O23" s="106">
        <f>+IF(F23="","",F23*'Tabela de BDI'!$C$7)</f>
        <v>2632.96</v>
      </c>
      <c r="P23" s="106">
        <f>IF(F23="","",F23*'Tabela de BDI'!$C$8)</f>
        <v>1645.6000000000001</v>
      </c>
      <c r="Q23" s="109">
        <f t="shared" si="9"/>
        <v>0.38530120111240068</v>
      </c>
      <c r="R23" s="110">
        <f t="shared" si="10"/>
        <v>3.7399999999999993</v>
      </c>
      <c r="S23" s="111">
        <f>+'Tabela de BDI'!$F$9*C23</f>
        <v>1056</v>
      </c>
      <c r="T23" s="114"/>
    </row>
    <row r="24" spans="1:20" s="228" customFormat="1" x14ac:dyDescent="0.25">
      <c r="A24" s="229"/>
      <c r="B24" s="103" t="s">
        <v>85</v>
      </c>
      <c r="C24" s="104">
        <f t="shared" ref="C24" si="29">+E24*$B$3</f>
        <v>9.2000000000000011</v>
      </c>
      <c r="D24" s="205" t="e">
        <f>+ABS('Preço SFCR-REFUSOL BYD 400Wp'!$G$43-C24)</f>
        <v>#DIV/0!</v>
      </c>
      <c r="E24" s="105">
        <f>+'FRONIUS-BYD 335Wp'!E26</f>
        <v>23</v>
      </c>
      <c r="F24" s="112" t="str">
        <f>+IF(L24=0,"",ROUND(N24/(1-'Tabela de BDI'!$C$3),0))</f>
        <v/>
      </c>
      <c r="G24" s="112" t="str">
        <f>+IF(F24="","",ROUND(F24+(F24*'Preço SFCR-REFUSOL BYD 400Wp'!$H$44),0))</f>
        <v/>
      </c>
      <c r="H24" s="107"/>
      <c r="I24" s="106"/>
      <c r="J24" s="146"/>
      <c r="K24" s="146">
        <f t="shared" ref="K24" si="30">+J24/(1-$J$5)</f>
        <v>0</v>
      </c>
      <c r="L24" s="106">
        <f t="shared" ref="L24" si="31">+I24+K24</f>
        <v>0</v>
      </c>
      <c r="M24" s="106">
        <f>+'FRONIUS-BYD 335Wp'!L26</f>
        <v>5000</v>
      </c>
      <c r="N24" s="106">
        <f t="shared" ref="N24" si="32">+L24+M24</f>
        <v>5000</v>
      </c>
      <c r="O24" s="106" t="str">
        <f>+IF(F24="","",F24*'Tabela de BDI'!$C$7)</f>
        <v/>
      </c>
      <c r="P24" s="106" t="str">
        <f>IF(F24="","",F24*'Tabela de BDI'!$C$8)</f>
        <v/>
      </c>
      <c r="Q24" s="109" t="str">
        <f t="shared" ref="Q24" si="33">IF(F24="","",(F24-L24)/L24)</f>
        <v/>
      </c>
      <c r="R24" s="110" t="str">
        <f t="shared" ref="R24" si="34">IF(F24="","",(F24/C24)/1000)</f>
        <v/>
      </c>
      <c r="S24" s="111">
        <f>+'Tabela de BDI'!$F$9*C24</f>
        <v>1104.0000000000002</v>
      </c>
      <c r="T24" s="114"/>
    </row>
    <row r="25" spans="1:20" x14ac:dyDescent="0.25">
      <c r="A25" s="1"/>
      <c r="B25" s="103" t="s">
        <v>85</v>
      </c>
      <c r="C25" s="104">
        <f t="shared" si="5"/>
        <v>9.6000000000000014</v>
      </c>
      <c r="D25" s="205" t="e">
        <f>+ABS('Preço SFCR-REFUSOL BYD 400Wp'!$G$43-C25)</f>
        <v>#DIV/0!</v>
      </c>
      <c r="E25" s="105">
        <f>+'FRONIUS-BYD 335Wp'!E27</f>
        <v>24</v>
      </c>
      <c r="F25" s="112" t="str">
        <f>+IF(L25=0,"",ROUND(N25/(1-'Tabela de BDI'!$C$3),0))</f>
        <v/>
      </c>
      <c r="G25" s="112" t="str">
        <f>+IF(F25="","",ROUND(F25+(F25*'Preço SFCR-REFUSOL BYD 400Wp'!$H$44),0))</f>
        <v/>
      </c>
      <c r="H25" s="107" t="s">
        <v>298</v>
      </c>
      <c r="I25" s="106"/>
      <c r="J25" s="143"/>
      <c r="K25" s="146">
        <f t="shared" si="6"/>
        <v>0</v>
      </c>
      <c r="L25" s="106">
        <f t="shared" si="7"/>
        <v>0</v>
      </c>
      <c r="M25" s="106">
        <f>+'FRONIUS-BYD 335Wp'!L27</f>
        <v>5125</v>
      </c>
      <c r="N25" s="106">
        <f t="shared" si="8"/>
        <v>5125</v>
      </c>
      <c r="O25" s="106" t="str">
        <f>+IF(F25="","",F25*'Tabela de BDI'!$C$7)</f>
        <v/>
      </c>
      <c r="P25" s="106" t="str">
        <f>IF(F25="","",F25*'Tabela de BDI'!$C$8)</f>
        <v/>
      </c>
      <c r="Q25" s="109" t="str">
        <f t="shared" si="9"/>
        <v/>
      </c>
      <c r="R25" s="110" t="str">
        <f t="shared" si="10"/>
        <v/>
      </c>
      <c r="S25" s="111">
        <f>+'Tabela de BDI'!$F$9*C25</f>
        <v>1152.0000000000002</v>
      </c>
      <c r="T25" s="114"/>
    </row>
    <row r="26" spans="1:20" s="207" customFormat="1" x14ac:dyDescent="0.25">
      <c r="A26" s="208"/>
      <c r="B26" s="103" t="s">
        <v>85</v>
      </c>
      <c r="C26" s="104">
        <f t="shared" ref="C26" si="35">+E26*$B$3</f>
        <v>10</v>
      </c>
      <c r="D26" s="205" t="e">
        <f>+ABS('Preço SFCR-REFUSOL BYD 400Wp'!$G$43-C26)</f>
        <v>#DIV/0!</v>
      </c>
      <c r="E26" s="105">
        <f>+'FRONIUS-BYD 335Wp'!E28</f>
        <v>25</v>
      </c>
      <c r="F26" s="112" t="str">
        <f>+IF(L26=0,"",ROUND(N26/(1-'Tabela de BDI'!$C$3),0))</f>
        <v/>
      </c>
      <c r="G26" s="112" t="str">
        <f>+IF(F26="","",ROUND(F26+(F26*'Preço SFCR-REFUSOL BYD 400Wp'!$H$44),0))</f>
        <v/>
      </c>
      <c r="H26" s="107"/>
      <c r="I26" s="106"/>
      <c r="J26" s="143"/>
      <c r="K26" s="146">
        <f t="shared" si="6"/>
        <v>0</v>
      </c>
      <c r="L26" s="106">
        <f t="shared" ref="L26" si="36">+I26+K26</f>
        <v>0</v>
      </c>
      <c r="M26" s="106">
        <f>+'FRONIUS-BYD 335Wp'!L28</f>
        <v>5250</v>
      </c>
      <c r="N26" s="106">
        <f t="shared" ref="N26" si="37">+L26+M26</f>
        <v>5250</v>
      </c>
      <c r="O26" s="106" t="str">
        <f>+IF(F26="","",F26*'Tabela de BDI'!$C$7)</f>
        <v/>
      </c>
      <c r="P26" s="106" t="str">
        <f>IF(F26="","",F26*'Tabela de BDI'!$C$8)</f>
        <v/>
      </c>
      <c r="Q26" s="109" t="str">
        <f t="shared" ref="Q26" si="38">IF(F26="","",(F26-L26)/L26)</f>
        <v/>
      </c>
      <c r="R26" s="110" t="str">
        <f t="shared" ref="R26" si="39">IF(F26="","",(F26/C26)/1000)</f>
        <v/>
      </c>
      <c r="S26" s="111">
        <f>+'Tabela de BDI'!$F$9*C26</f>
        <v>1200</v>
      </c>
      <c r="T26" s="114"/>
    </row>
    <row r="27" spans="1:20" x14ac:dyDescent="0.25">
      <c r="A27" s="1"/>
      <c r="B27" s="103" t="s">
        <v>85</v>
      </c>
      <c r="C27" s="104">
        <f t="shared" si="5"/>
        <v>10.4</v>
      </c>
      <c r="D27" s="205" t="e">
        <f>+ABS('Preço SFCR-REFUSOL BYD 400Wp'!$G$43-C27)</f>
        <v>#DIV/0!</v>
      </c>
      <c r="E27" s="105">
        <f>+'FRONIUS-BYD 335Wp'!E29</f>
        <v>26</v>
      </c>
      <c r="F27" s="112">
        <f>+IF(L27=0,"",ROUND(N27/(1-'Tabela de BDI'!$C$3),0))</f>
        <v>41337</v>
      </c>
      <c r="G27" s="112">
        <f>+IF(F27="","",ROUND(F27+(F27*'Preço SFCR-REFUSOL BYD 400Wp'!$H$44),0))</f>
        <v>43404</v>
      </c>
      <c r="H27" s="107" t="s">
        <v>242</v>
      </c>
      <c r="I27" s="106"/>
      <c r="J27" s="143">
        <f>+J17+J15</f>
        <v>30129.190000000002</v>
      </c>
      <c r="K27" s="146">
        <f t="shared" si="6"/>
        <v>30588.010152284267</v>
      </c>
      <c r="L27" s="106">
        <f t="shared" si="7"/>
        <v>30588.010152284267</v>
      </c>
      <c r="M27" s="106">
        <f>+'FRONIUS-BYD 335Wp'!L29</f>
        <v>5375</v>
      </c>
      <c r="N27" s="106">
        <f t="shared" si="8"/>
        <v>35963.010152284267</v>
      </c>
      <c r="O27" s="106">
        <f>+IF(F27="","",F27*'Tabela de BDI'!$C$7)</f>
        <v>3306.96</v>
      </c>
      <c r="P27" s="106">
        <f>IF(F27="","",F27*'Tabela de BDI'!$C$8)</f>
        <v>2066.85</v>
      </c>
      <c r="Q27" s="109">
        <f t="shared" si="9"/>
        <v>0.35141187001708296</v>
      </c>
      <c r="R27" s="110">
        <f t="shared" si="10"/>
        <v>3.9747115384615381</v>
      </c>
      <c r="S27" s="111">
        <f>+'Tabela de BDI'!$F$9*C27</f>
        <v>1248</v>
      </c>
      <c r="T27" s="114"/>
    </row>
    <row r="28" spans="1:20" x14ac:dyDescent="0.25">
      <c r="A28" s="1"/>
      <c r="B28" s="103" t="s">
        <v>85</v>
      </c>
      <c r="C28" s="104">
        <f t="shared" si="5"/>
        <v>11.200000000000001</v>
      </c>
      <c r="D28" s="205" t="e">
        <f>+ABS('Preço SFCR-REFUSOL BYD 400Wp'!$G$43-C28)</f>
        <v>#DIV/0!</v>
      </c>
      <c r="E28" s="105">
        <f>+'FRONIUS-BYD 335Wp'!E30</f>
        <v>28</v>
      </c>
      <c r="F28" s="112">
        <f>+IF(L28=0,"",ROUND(N28/(1-'Tabela de BDI'!$C$3),0))</f>
        <v>43613</v>
      </c>
      <c r="G28" s="112">
        <f>+IF(F28="","",ROUND(F28+(F28*'Preço SFCR-REFUSOL BYD 400Wp'!$H$44),0))</f>
        <v>45794</v>
      </c>
      <c r="H28" s="107" t="s">
        <v>242</v>
      </c>
      <c r="I28" s="106"/>
      <c r="J28" s="143">
        <f>2*J17</f>
        <v>31833.24</v>
      </c>
      <c r="K28" s="146">
        <f t="shared" si="6"/>
        <v>32318.010152284267</v>
      </c>
      <c r="L28" s="106">
        <f t="shared" si="7"/>
        <v>32318.010152284267</v>
      </c>
      <c r="M28" s="106">
        <f>+'FRONIUS-BYD 335Wp'!L30</f>
        <v>5625</v>
      </c>
      <c r="N28" s="106">
        <f t="shared" si="8"/>
        <v>37943.010152284267</v>
      </c>
      <c r="O28" s="106">
        <f>+IF(F28="","",F28*'Tabela de BDI'!$C$7)</f>
        <v>3489.04</v>
      </c>
      <c r="P28" s="106">
        <f>IF(F28="","",F28*'Tabela de BDI'!$C$8)</f>
        <v>2180.65</v>
      </c>
      <c r="Q28" s="109">
        <f t="shared" si="9"/>
        <v>0.34949521317968252</v>
      </c>
      <c r="R28" s="110">
        <f t="shared" si="10"/>
        <v>3.894017857142857</v>
      </c>
      <c r="S28" s="111">
        <f>+'Tabela de BDI'!$F$9*C28</f>
        <v>1344.0000000000002</v>
      </c>
      <c r="T28" s="114"/>
    </row>
    <row r="29" spans="1:20" x14ac:dyDescent="0.25">
      <c r="A29" s="1"/>
      <c r="B29" s="103" t="s">
        <v>85</v>
      </c>
      <c r="C29" s="104">
        <f t="shared" si="5"/>
        <v>12</v>
      </c>
      <c r="D29" s="205" t="e">
        <f>+ABS('Preço SFCR-REFUSOL BYD 400Wp'!$G$43-C29)</f>
        <v>#DIV/0!</v>
      </c>
      <c r="E29" s="105">
        <f>+'FRONIUS-BYD 335Wp'!E31</f>
        <v>30</v>
      </c>
      <c r="F29" s="112">
        <f>+IF(L29=0,"",ROUND(N29/(1-'Tabela de BDI'!$C$3),0))</f>
        <v>45325</v>
      </c>
      <c r="G29" s="112">
        <f>+IF(F29="","",ROUND(F29+(F29*'Preço SFCR-REFUSOL BYD 400Wp'!$H$44),0))</f>
        <v>47591</v>
      </c>
      <c r="H29" s="107" t="s">
        <v>242</v>
      </c>
      <c r="I29" s="106"/>
      <c r="J29" s="106">
        <f>+J19+J17</f>
        <v>33054.639999999999</v>
      </c>
      <c r="K29" s="146">
        <f t="shared" si="6"/>
        <v>33558.010152284267</v>
      </c>
      <c r="L29" s="106">
        <f t="shared" si="7"/>
        <v>33558.010152284267</v>
      </c>
      <c r="M29" s="106">
        <f>+'FRONIUS-BYD 335Wp'!L31</f>
        <v>5875</v>
      </c>
      <c r="N29" s="106">
        <f t="shared" si="8"/>
        <v>39433.010152284267</v>
      </c>
      <c r="O29" s="106">
        <f>+IF(F29="","",F29*'Tabela de BDI'!$C$7)</f>
        <v>3626</v>
      </c>
      <c r="P29" s="106">
        <f>IF(F29="","",F29*'Tabela de BDI'!$C$8)</f>
        <v>2266.25</v>
      </c>
      <c r="Q29" s="109">
        <f t="shared" si="9"/>
        <v>0.35064623302507592</v>
      </c>
      <c r="R29" s="110">
        <f t="shared" si="10"/>
        <v>3.7770833333333336</v>
      </c>
      <c r="S29" s="111">
        <f>+'Tabela de BDI'!$F$9*C29</f>
        <v>1440</v>
      </c>
      <c r="T29" s="114"/>
    </row>
    <row r="30" spans="1:20" x14ac:dyDescent="0.25">
      <c r="A30" s="1"/>
      <c r="B30" s="103" t="s">
        <v>85</v>
      </c>
      <c r="C30" s="104">
        <f t="shared" si="5"/>
        <v>12.8</v>
      </c>
      <c r="D30" s="205" t="e">
        <f>+ABS('Preço SFCR-REFUSOL BYD 400Wp'!$G$43-C30)</f>
        <v>#DIV/0!</v>
      </c>
      <c r="E30" s="105">
        <f>+'FRONIUS-BYD 335Wp'!E32</f>
        <v>32</v>
      </c>
      <c r="F30" s="112">
        <f>+IF(L30=0,"",ROUND(N30/(1-'Tabela de BDI'!$C$3),0))</f>
        <v>47038</v>
      </c>
      <c r="G30" s="112">
        <f>+IF(F30="","",ROUND(F30+(F30*'Preço SFCR-REFUSOL BYD 400Wp'!$H$44),0))</f>
        <v>49390</v>
      </c>
      <c r="H30" s="107" t="s">
        <v>242</v>
      </c>
      <c r="I30" s="106"/>
      <c r="J30" s="106">
        <f>+J19*2</f>
        <v>34276.04</v>
      </c>
      <c r="K30" s="146">
        <f t="shared" si="6"/>
        <v>34798.010152284267</v>
      </c>
      <c r="L30" s="106">
        <f t="shared" si="7"/>
        <v>34798.010152284267</v>
      </c>
      <c r="M30" s="106">
        <f>+'FRONIUS-BYD 335Wp'!L32</f>
        <v>6125</v>
      </c>
      <c r="N30" s="106">
        <f t="shared" si="8"/>
        <v>40923.010152284267</v>
      </c>
      <c r="O30" s="106">
        <f>+IF(F30="","",F30*'Tabela de BDI'!$C$7)</f>
        <v>3763.04</v>
      </c>
      <c r="P30" s="106">
        <f>IF(F30="","",F30*'Tabela de BDI'!$C$8)</f>
        <v>2351.9</v>
      </c>
      <c r="Q30" s="109">
        <f t="shared" si="9"/>
        <v>0.35174395875369491</v>
      </c>
      <c r="R30" s="110">
        <f t="shared" si="10"/>
        <v>3.67484375</v>
      </c>
      <c r="S30" s="111">
        <f>+'Tabela de BDI'!$F$9*C30</f>
        <v>1536</v>
      </c>
      <c r="T30" s="114"/>
    </row>
    <row r="31" spans="1:20" ht="15.75" customHeight="1" x14ac:dyDescent="0.25">
      <c r="A31" s="1"/>
      <c r="B31" s="103" t="s">
        <v>85</v>
      </c>
      <c r="C31" s="104">
        <f t="shared" si="5"/>
        <v>13.600000000000001</v>
      </c>
      <c r="D31" s="205" t="e">
        <f>+ABS('Preço SFCR-REFUSOL BYD 400Wp'!$G$43-C31)</f>
        <v>#DIV/0!</v>
      </c>
      <c r="E31" s="105">
        <f>+'FRONIUS-BYD 335Wp'!E33</f>
        <v>34</v>
      </c>
      <c r="F31" s="112" t="str">
        <f>+IF(L31=0,"",ROUND(N31/(1-'Tabela de BDI'!$C$3),0))</f>
        <v/>
      </c>
      <c r="G31" s="112"/>
      <c r="H31" s="167"/>
      <c r="I31" s="145"/>
      <c r="J31" s="106"/>
      <c r="K31" s="146">
        <f t="shared" si="6"/>
        <v>0</v>
      </c>
      <c r="L31" s="106">
        <f t="shared" si="7"/>
        <v>0</v>
      </c>
      <c r="M31" s="106">
        <f>+'FRONIUS-BYD 335Wp'!L33</f>
        <v>7000</v>
      </c>
      <c r="N31" s="106">
        <f t="shared" si="8"/>
        <v>7000</v>
      </c>
      <c r="O31" s="106" t="str">
        <f>+IF(F31="","",F31*'Tabela de BDI'!$C$7)</f>
        <v/>
      </c>
      <c r="P31" s="106" t="str">
        <f>IF(F31="","",F31*'Tabela de BDI'!$C$8)</f>
        <v/>
      </c>
      <c r="Q31" s="109" t="str">
        <f t="shared" si="9"/>
        <v/>
      </c>
      <c r="R31" s="110" t="str">
        <f t="shared" si="10"/>
        <v/>
      </c>
      <c r="S31" s="111">
        <f>+'Tabela de BDI'!$F$9*C31</f>
        <v>1632.0000000000002</v>
      </c>
      <c r="T31" s="114"/>
    </row>
    <row r="32" spans="1:20" ht="15.75" customHeight="1" x14ac:dyDescent="0.25">
      <c r="A32" s="1"/>
      <c r="B32" s="103" t="s">
        <v>85</v>
      </c>
      <c r="C32" s="104">
        <f t="shared" si="5"/>
        <v>14.4</v>
      </c>
      <c r="D32" s="205" t="e">
        <f>+ABS('Preço SFCR-REFUSOL BYD 400Wp'!$G$43-C32)</f>
        <v>#DIV/0!</v>
      </c>
      <c r="E32" s="105">
        <f>+'FRONIUS-BYD 335Wp'!E34</f>
        <v>36</v>
      </c>
      <c r="F32" s="112" t="str">
        <f>+IF(L32=0,"",ROUND(N32/(1-'Tabela de BDI'!$C$3),0))</f>
        <v/>
      </c>
      <c r="G32" s="112"/>
      <c r="H32" s="107"/>
      <c r="I32" s="106"/>
      <c r="J32" s="106"/>
      <c r="K32" s="146">
        <f t="shared" si="6"/>
        <v>0</v>
      </c>
      <c r="L32" s="106">
        <f t="shared" si="7"/>
        <v>0</v>
      </c>
      <c r="M32" s="106">
        <f>+'FRONIUS-BYD 335Wp'!L34</f>
        <v>7250</v>
      </c>
      <c r="N32" s="106">
        <f t="shared" si="8"/>
        <v>7250</v>
      </c>
      <c r="O32" s="106" t="str">
        <f>+IF(F32="","",F32*'Tabela de BDI'!$C$7)</f>
        <v/>
      </c>
      <c r="P32" s="106" t="str">
        <f>IF(F32="","",F32*'Tabela de BDI'!$C$8)</f>
        <v/>
      </c>
      <c r="Q32" s="109" t="str">
        <f t="shared" si="9"/>
        <v/>
      </c>
      <c r="R32" s="110" t="str">
        <f t="shared" si="10"/>
        <v/>
      </c>
      <c r="S32" s="111">
        <f>+'Tabela de BDI'!$F$9*C32</f>
        <v>1728</v>
      </c>
      <c r="T32" s="114"/>
    </row>
    <row r="33" spans="1:20" ht="15.75" customHeight="1" x14ac:dyDescent="0.25">
      <c r="A33" s="1"/>
      <c r="B33" s="103" t="s">
        <v>85</v>
      </c>
      <c r="C33" s="104">
        <f t="shared" si="5"/>
        <v>15.200000000000001</v>
      </c>
      <c r="D33" s="205" t="e">
        <f>+ABS('Preço SFCR-REFUSOL BYD 400Wp'!$G$43-C33)</f>
        <v>#DIV/0!</v>
      </c>
      <c r="E33" s="105">
        <f>+'FRONIUS-BYD 335Wp'!E35</f>
        <v>38</v>
      </c>
      <c r="F33" s="112" t="str">
        <f>+IF(L33=0,"",ROUND(N33/(1-'Tabela de BDI'!$C$3),0))</f>
        <v/>
      </c>
      <c r="G33" s="112"/>
      <c r="H33" s="107"/>
      <c r="I33" s="106"/>
      <c r="J33" s="106"/>
      <c r="K33" s="146">
        <f t="shared" si="6"/>
        <v>0</v>
      </c>
      <c r="L33" s="106">
        <f t="shared" si="7"/>
        <v>0</v>
      </c>
      <c r="M33" s="106">
        <f>+'FRONIUS-BYD 335Wp'!L35</f>
        <v>7500</v>
      </c>
      <c r="N33" s="106">
        <f t="shared" si="8"/>
        <v>7500</v>
      </c>
      <c r="O33" s="106" t="str">
        <f>+IF(F33="","",F33*'Tabela de BDI'!$C$7)</f>
        <v/>
      </c>
      <c r="P33" s="106" t="str">
        <f>IF(F33="","",F33*'Tabela de BDI'!$C$8)</f>
        <v/>
      </c>
      <c r="Q33" s="109" t="str">
        <f t="shared" si="9"/>
        <v/>
      </c>
      <c r="R33" s="110" t="str">
        <f t="shared" si="10"/>
        <v/>
      </c>
      <c r="S33" s="111">
        <f>+'Tabela de BDI'!$F$9*C33</f>
        <v>1824.0000000000002</v>
      </c>
      <c r="T33" s="114"/>
    </row>
    <row r="34" spans="1:20" ht="15.75" customHeight="1" x14ac:dyDescent="0.25">
      <c r="A34" s="1"/>
      <c r="B34" s="103" t="s">
        <v>85</v>
      </c>
      <c r="C34" s="104">
        <f t="shared" si="5"/>
        <v>16</v>
      </c>
      <c r="D34" s="205" t="e">
        <f>+ABS('Preço SFCR-REFUSOL BYD 400Wp'!$G$43-C34)</f>
        <v>#DIV/0!</v>
      </c>
      <c r="E34" s="105">
        <f>+'FRONIUS-BYD 335Wp'!E36</f>
        <v>40</v>
      </c>
      <c r="F34" s="112" t="str">
        <f>+IF(L34=0,"",ROUND(N34/(1-'Tabela de BDI'!$C$3),0))</f>
        <v/>
      </c>
      <c r="G34" s="112"/>
      <c r="H34" s="107"/>
      <c r="I34" s="106"/>
      <c r="J34" s="106"/>
      <c r="K34" s="146">
        <f t="shared" si="6"/>
        <v>0</v>
      </c>
      <c r="L34" s="106">
        <f t="shared" si="7"/>
        <v>0</v>
      </c>
      <c r="M34" s="106">
        <f>+'FRONIUS-BYD 335Wp'!L36</f>
        <v>7750</v>
      </c>
      <c r="N34" s="106">
        <f t="shared" si="8"/>
        <v>7750</v>
      </c>
      <c r="O34" s="106" t="str">
        <f>+IF(F34="","",F34*'Tabela de BDI'!$C$7)</f>
        <v/>
      </c>
      <c r="P34" s="106" t="str">
        <f>IF(F34="","",F34*'Tabela de BDI'!$C$8)</f>
        <v/>
      </c>
      <c r="Q34" s="109" t="str">
        <f t="shared" si="9"/>
        <v/>
      </c>
      <c r="R34" s="110" t="str">
        <f t="shared" si="10"/>
        <v/>
      </c>
      <c r="S34" s="111">
        <f>+'Tabela de BDI'!$F$9*C34</f>
        <v>1920</v>
      </c>
      <c r="T34" s="114"/>
    </row>
    <row r="35" spans="1:20" ht="15.75" customHeight="1" x14ac:dyDescent="0.25">
      <c r="A35" s="1"/>
      <c r="B35" s="103" t="s">
        <v>85</v>
      </c>
      <c r="C35" s="104">
        <f t="shared" si="5"/>
        <v>16.8</v>
      </c>
      <c r="D35" s="205" t="e">
        <f>+ABS('Preço SFCR-REFUSOL BYD 400Wp'!$G$43-C35)</f>
        <v>#DIV/0!</v>
      </c>
      <c r="E35" s="105">
        <f>+'FRONIUS-BYD 335Wp'!E37</f>
        <v>42</v>
      </c>
      <c r="F35" s="112" t="str">
        <f>+IF(L35=0,"",ROUND(N35/(1-'Tabela de BDI'!$C$3),0))</f>
        <v/>
      </c>
      <c r="G35" s="112"/>
      <c r="H35" s="107"/>
      <c r="I35" s="106"/>
      <c r="J35" s="106"/>
      <c r="K35" s="146">
        <f t="shared" si="6"/>
        <v>0</v>
      </c>
      <c r="L35" s="106">
        <f t="shared" si="7"/>
        <v>0</v>
      </c>
      <c r="M35" s="106">
        <f>+'FRONIUS-BYD 335Wp'!L37</f>
        <v>8000</v>
      </c>
      <c r="N35" s="106">
        <f t="shared" si="8"/>
        <v>8000</v>
      </c>
      <c r="O35" s="106" t="str">
        <f>+IF(F35="","",F35*'Tabela de BDI'!$C$7)</f>
        <v/>
      </c>
      <c r="P35" s="106" t="str">
        <f>IF(F35="","",F35*'Tabela de BDI'!$C$8)</f>
        <v/>
      </c>
      <c r="Q35" s="109" t="str">
        <f t="shared" si="9"/>
        <v/>
      </c>
      <c r="R35" s="110" t="str">
        <f t="shared" si="10"/>
        <v/>
      </c>
      <c r="S35" s="111">
        <f>+'Tabela de BDI'!$F$9*C35</f>
        <v>2016</v>
      </c>
      <c r="T35" s="114"/>
    </row>
    <row r="36" spans="1:20" ht="15.75" customHeight="1" x14ac:dyDescent="0.25">
      <c r="A36" s="1"/>
      <c r="B36" s="103" t="s">
        <v>85</v>
      </c>
      <c r="C36" s="104">
        <f t="shared" si="5"/>
        <v>17.600000000000001</v>
      </c>
      <c r="D36" s="205" t="e">
        <f>+ABS('Preço SFCR-REFUSOL BYD 400Wp'!$G$43-C36)</f>
        <v>#DIV/0!</v>
      </c>
      <c r="E36" s="105">
        <f>+'FRONIUS-BYD 335Wp'!E38</f>
        <v>44</v>
      </c>
      <c r="F36" s="112" t="str">
        <f>+IF(L36=0,"",ROUND(N36/(1-'Tabela de BDI'!$C$3),0))</f>
        <v/>
      </c>
      <c r="G36" s="112"/>
      <c r="H36" s="107"/>
      <c r="I36" s="106"/>
      <c r="J36" s="106"/>
      <c r="K36" s="146">
        <f t="shared" si="6"/>
        <v>0</v>
      </c>
      <c r="L36" s="106">
        <f t="shared" si="7"/>
        <v>0</v>
      </c>
      <c r="M36" s="106">
        <f>+'FRONIUS-BYD 335Wp'!L38</f>
        <v>8250</v>
      </c>
      <c r="N36" s="106">
        <f t="shared" si="8"/>
        <v>8250</v>
      </c>
      <c r="O36" s="106" t="str">
        <f>+IF(F36="","",F36*'Tabela de BDI'!$C$7)</f>
        <v/>
      </c>
      <c r="P36" s="106" t="str">
        <f>IF(F36="","",F36*'Tabela de BDI'!$C$8)</f>
        <v/>
      </c>
      <c r="Q36" s="109" t="str">
        <f t="shared" si="9"/>
        <v/>
      </c>
      <c r="R36" s="110" t="str">
        <f t="shared" si="10"/>
        <v/>
      </c>
      <c r="S36" s="111">
        <f>+'Tabela de BDI'!$F$9*C36</f>
        <v>2112</v>
      </c>
      <c r="T36" s="114"/>
    </row>
    <row r="37" spans="1:20" ht="15.75" customHeight="1" x14ac:dyDescent="0.25">
      <c r="A37" s="1"/>
      <c r="B37" s="103" t="s">
        <v>85</v>
      </c>
      <c r="C37" s="104">
        <f t="shared" si="5"/>
        <v>18.400000000000002</v>
      </c>
      <c r="D37" s="205" t="e">
        <f>+ABS('Preço SFCR-REFUSOL BYD 400Wp'!$G$43-C37)</f>
        <v>#DIV/0!</v>
      </c>
      <c r="E37" s="105">
        <f>+'FRONIUS-BYD 335Wp'!E39</f>
        <v>46</v>
      </c>
      <c r="F37" s="112" t="str">
        <f>+IF(L37=0,"",ROUND(N37/(1-'Tabela de BDI'!$C$3),0))</f>
        <v/>
      </c>
      <c r="G37" s="112"/>
      <c r="H37" s="107"/>
      <c r="I37" s="106"/>
      <c r="J37" s="106"/>
      <c r="K37" s="146">
        <f t="shared" si="6"/>
        <v>0</v>
      </c>
      <c r="L37" s="106">
        <f t="shared" si="7"/>
        <v>0</v>
      </c>
      <c r="M37" s="106">
        <f>+'FRONIUS-BYD 335Wp'!L39</f>
        <v>8500</v>
      </c>
      <c r="N37" s="106">
        <f t="shared" si="8"/>
        <v>8500</v>
      </c>
      <c r="O37" s="106" t="str">
        <f>+IF(F37="","",F37*'Tabela de BDI'!$C$7)</f>
        <v/>
      </c>
      <c r="P37" s="106" t="str">
        <f>IF(F37="","",F37*'Tabela de BDI'!$C$8)</f>
        <v/>
      </c>
      <c r="Q37" s="109" t="str">
        <f t="shared" si="9"/>
        <v/>
      </c>
      <c r="R37" s="110" t="str">
        <f t="shared" si="10"/>
        <v/>
      </c>
      <c r="S37" s="111">
        <f>+'Tabela de BDI'!$F$9*C37</f>
        <v>2208.0000000000005</v>
      </c>
      <c r="T37" s="114"/>
    </row>
    <row r="38" spans="1:20" ht="15.75" customHeight="1" x14ac:dyDescent="0.25">
      <c r="A38" s="1"/>
      <c r="B38" s="103" t="s">
        <v>85</v>
      </c>
      <c r="C38" s="104">
        <f t="shared" si="5"/>
        <v>19.200000000000003</v>
      </c>
      <c r="D38" s="205" t="e">
        <f>+ABS('Preço SFCR-REFUSOL BYD 400Wp'!$G$43-C38)</f>
        <v>#DIV/0!</v>
      </c>
      <c r="E38" s="105">
        <f>+'FRONIUS-BYD 335Wp'!E40</f>
        <v>48</v>
      </c>
      <c r="F38" s="112" t="str">
        <f>+IF(L38=0,"",ROUND(N38/(1-'Tabela de BDI'!$C$3),0))</f>
        <v/>
      </c>
      <c r="G38" s="112"/>
      <c r="H38" s="107"/>
      <c r="I38" s="106"/>
      <c r="J38" s="106"/>
      <c r="K38" s="146">
        <f t="shared" si="6"/>
        <v>0</v>
      </c>
      <c r="L38" s="106">
        <f t="shared" si="7"/>
        <v>0</v>
      </c>
      <c r="M38" s="106">
        <f>+'FRONIUS-BYD 335Wp'!L40</f>
        <v>8750</v>
      </c>
      <c r="N38" s="106">
        <f t="shared" si="8"/>
        <v>8750</v>
      </c>
      <c r="O38" s="106" t="str">
        <f>+IF(F38="","",F38*'Tabela de BDI'!$C$7)</f>
        <v/>
      </c>
      <c r="P38" s="106" t="str">
        <f>IF(F38="","",F38*'Tabela de BDI'!$C$8)</f>
        <v/>
      </c>
      <c r="Q38" s="109" t="str">
        <f t="shared" si="9"/>
        <v/>
      </c>
      <c r="R38" s="110" t="str">
        <f t="shared" si="10"/>
        <v/>
      </c>
      <c r="S38" s="111">
        <f>+'Tabela de BDI'!$F$9*C38</f>
        <v>2304.0000000000005</v>
      </c>
      <c r="T38" s="114"/>
    </row>
    <row r="39" spans="1:20" ht="15.75" customHeight="1" x14ac:dyDescent="0.25">
      <c r="A39" s="1"/>
      <c r="B39" s="103" t="s">
        <v>85</v>
      </c>
      <c r="C39" s="104">
        <f t="shared" si="5"/>
        <v>20</v>
      </c>
      <c r="D39" s="205" t="e">
        <f>+ABS('Preço SFCR-REFUSOL BYD 400Wp'!$G$43-C39)</f>
        <v>#DIV/0!</v>
      </c>
      <c r="E39" s="105">
        <f>+'FRONIUS-BYD 335Wp'!E41</f>
        <v>50</v>
      </c>
      <c r="F39" s="112" t="str">
        <f>+IF(L39=0,"",ROUND(N39/(1-'Tabela de BDI'!$C$3),0))</f>
        <v/>
      </c>
      <c r="G39" s="112"/>
      <c r="H39" s="107"/>
      <c r="I39" s="106"/>
      <c r="J39" s="146"/>
      <c r="K39" s="146">
        <f t="shared" si="6"/>
        <v>0</v>
      </c>
      <c r="L39" s="106">
        <f t="shared" si="7"/>
        <v>0</v>
      </c>
      <c r="M39" s="106">
        <f>+'FRONIUS-BYD 335Wp'!L41</f>
        <v>9000</v>
      </c>
      <c r="N39" s="106">
        <f t="shared" si="8"/>
        <v>9000</v>
      </c>
      <c r="O39" s="106" t="str">
        <f>+IF(F39="","",F39*'Tabela de BDI'!$C$7)</f>
        <v/>
      </c>
      <c r="P39" s="106" t="str">
        <f>IF(F39="","",F39*'Tabela de BDI'!$C$8)</f>
        <v/>
      </c>
      <c r="Q39" s="109" t="str">
        <f t="shared" si="9"/>
        <v/>
      </c>
      <c r="R39" s="110" t="str">
        <f t="shared" si="10"/>
        <v/>
      </c>
      <c r="S39" s="111">
        <f>+'Tabela de BDI'!$F$9*C39</f>
        <v>2400</v>
      </c>
      <c r="T39" s="114"/>
    </row>
    <row r="40" spans="1:20" ht="15.75" customHeight="1" x14ac:dyDescent="0.25">
      <c r="A40" s="1"/>
      <c r="B40" s="103" t="s">
        <v>85</v>
      </c>
      <c r="C40" s="104">
        <f t="shared" si="5"/>
        <v>20.8</v>
      </c>
      <c r="D40" s="205" t="e">
        <f>+ABS('Preço SFCR-REFUSOL BYD 400Wp'!$G$43-C40)</f>
        <v>#DIV/0!</v>
      </c>
      <c r="E40" s="105">
        <f>+'FRONIUS-BYD 335Wp'!E42</f>
        <v>52</v>
      </c>
      <c r="F40" s="112" t="str">
        <f>+IF(L40=0,"",ROUND(N40/(1-'Tabela de BDI'!$C$3),0))</f>
        <v/>
      </c>
      <c r="G40" s="112"/>
      <c r="H40" s="107"/>
      <c r="I40" s="106"/>
      <c r="J40" s="146"/>
      <c r="K40" s="146">
        <f t="shared" si="6"/>
        <v>0</v>
      </c>
      <c r="L40" s="106">
        <f t="shared" si="7"/>
        <v>0</v>
      </c>
      <c r="M40" s="106">
        <f>+'FRONIUS-BYD 335Wp'!L42</f>
        <v>9250</v>
      </c>
      <c r="N40" s="106">
        <f t="shared" si="8"/>
        <v>9250</v>
      </c>
      <c r="O40" s="106" t="str">
        <f>+IF(F40="","",F40*'Tabela de BDI'!$C$7)</f>
        <v/>
      </c>
      <c r="P40" s="106" t="str">
        <f>IF(F40="","",F40*'Tabela de BDI'!$C$8)</f>
        <v/>
      </c>
      <c r="Q40" s="109" t="str">
        <f t="shared" si="9"/>
        <v/>
      </c>
      <c r="R40" s="110" t="str">
        <f t="shared" si="10"/>
        <v/>
      </c>
      <c r="S40" s="111">
        <f>+'Tabela de BDI'!$F$9*C40</f>
        <v>2496</v>
      </c>
      <c r="T40" s="114"/>
    </row>
    <row r="41" spans="1:20" ht="15.75" customHeight="1" x14ac:dyDescent="0.25">
      <c r="A41" s="1"/>
      <c r="B41" s="116" t="s">
        <v>89</v>
      </c>
      <c r="C41" s="104">
        <f t="shared" si="5"/>
        <v>21.6</v>
      </c>
      <c r="D41" s="205" t="e">
        <f>+ABS('Preço SFCR-REFUSOL BYD 400Wp'!$G$43-C41)</f>
        <v>#DIV/0!</v>
      </c>
      <c r="E41" s="105">
        <f>+'FRONIUS-BYD 335Wp'!E43</f>
        <v>54</v>
      </c>
      <c r="F41" s="112" t="str">
        <f>+IF(L41=0,"",ROUND(N41/(1-'Tabela de BDI'!$C$3),0))</f>
        <v/>
      </c>
      <c r="G41" s="112"/>
      <c r="H41" s="107"/>
      <c r="I41" s="106"/>
      <c r="J41" s="143"/>
      <c r="K41" s="146">
        <f t="shared" si="6"/>
        <v>0</v>
      </c>
      <c r="L41" s="106">
        <f t="shared" si="7"/>
        <v>0</v>
      </c>
      <c r="M41" s="106">
        <f>+'FRONIUS-BYD 335Wp'!L43</f>
        <v>9500</v>
      </c>
      <c r="N41" s="106">
        <f t="shared" si="8"/>
        <v>9500</v>
      </c>
      <c r="O41" s="106" t="str">
        <f>+IF(F41="","",F41*'Tabela de BDI'!$C$7)</f>
        <v/>
      </c>
      <c r="P41" s="106" t="str">
        <f>IF(F41="","",F41*'Tabela de BDI'!$C$8)</f>
        <v/>
      </c>
      <c r="Q41" s="109" t="str">
        <f t="shared" si="9"/>
        <v/>
      </c>
      <c r="R41" s="110" t="str">
        <f t="shared" si="10"/>
        <v/>
      </c>
      <c r="S41" s="111">
        <f>+'Tabela de BDI'!$F$9*C41</f>
        <v>2592</v>
      </c>
      <c r="T41" s="114"/>
    </row>
    <row r="42" spans="1:20" ht="15.75" customHeight="1" x14ac:dyDescent="0.25">
      <c r="A42" s="1"/>
      <c r="B42" s="116" t="s">
        <v>89</v>
      </c>
      <c r="C42" s="104">
        <f t="shared" si="5"/>
        <v>22.400000000000002</v>
      </c>
      <c r="D42" s="205" t="e">
        <f>+ABS('Preço SFCR-REFUSOL BYD 400Wp'!$G$43-C42)</f>
        <v>#DIV/0!</v>
      </c>
      <c r="E42" s="105">
        <f>+'FRONIUS-BYD 335Wp'!E44</f>
        <v>56</v>
      </c>
      <c r="F42" s="112" t="str">
        <f>+IF(L42=0,"",ROUND(N42/(1-'Tabela de BDI'!$C$3),0))</f>
        <v/>
      </c>
      <c r="G42" s="112"/>
      <c r="H42" s="107"/>
      <c r="I42" s="106"/>
      <c r="J42" s="146"/>
      <c r="K42" s="146">
        <f t="shared" si="6"/>
        <v>0</v>
      </c>
      <c r="L42" s="106">
        <f t="shared" si="7"/>
        <v>0</v>
      </c>
      <c r="M42" s="106">
        <f>+'FRONIUS-BYD 335Wp'!L44</f>
        <v>9750</v>
      </c>
      <c r="N42" s="106">
        <f t="shared" si="8"/>
        <v>9750</v>
      </c>
      <c r="O42" s="106" t="str">
        <f>+IF(F42="","",F42*'Tabela de BDI'!$C$7)</f>
        <v/>
      </c>
      <c r="P42" s="106" t="str">
        <f>IF(F42="","",F42*'Tabela de BDI'!$C$8)</f>
        <v/>
      </c>
      <c r="Q42" s="109" t="str">
        <f t="shared" si="9"/>
        <v/>
      </c>
      <c r="R42" s="110" t="str">
        <f t="shared" si="10"/>
        <v/>
      </c>
      <c r="S42" s="111">
        <f>+'Tabela de BDI'!$F$9*C42</f>
        <v>2688.0000000000005</v>
      </c>
      <c r="T42" s="114"/>
    </row>
    <row r="43" spans="1:20" ht="15.75" customHeight="1" x14ac:dyDescent="0.25">
      <c r="A43" s="1"/>
      <c r="B43" s="116" t="s">
        <v>89</v>
      </c>
      <c r="C43" s="104">
        <f t="shared" si="5"/>
        <v>23.200000000000003</v>
      </c>
      <c r="D43" s="205" t="e">
        <f>+ABS('Preço SFCR-REFUSOL BYD 400Wp'!$G$43-C43)</f>
        <v>#DIV/0!</v>
      </c>
      <c r="E43" s="105">
        <f>+'FRONIUS-BYD 335Wp'!E45</f>
        <v>58</v>
      </c>
      <c r="F43" s="112" t="str">
        <f>+IF(L43=0,"",ROUND(N43/(1-'Tabela de BDI'!$C$3),0))</f>
        <v/>
      </c>
      <c r="G43" s="112"/>
      <c r="H43" s="107"/>
      <c r="I43" s="106"/>
      <c r="J43" s="146"/>
      <c r="K43" s="146">
        <f t="shared" si="6"/>
        <v>0</v>
      </c>
      <c r="L43" s="106">
        <f t="shared" si="7"/>
        <v>0</v>
      </c>
      <c r="M43" s="106">
        <f>+'FRONIUS-BYD 335Wp'!L45</f>
        <v>10000</v>
      </c>
      <c r="N43" s="106">
        <f t="shared" si="8"/>
        <v>10000</v>
      </c>
      <c r="O43" s="106" t="str">
        <f>+IF(F43="","",F43*'Tabela de BDI'!$C$7)</f>
        <v/>
      </c>
      <c r="P43" s="106" t="str">
        <f>IF(F43="","",F43*'Tabela de BDI'!$C$8)</f>
        <v/>
      </c>
      <c r="Q43" s="109" t="str">
        <f t="shared" si="9"/>
        <v/>
      </c>
      <c r="R43" s="110" t="str">
        <f t="shared" si="10"/>
        <v/>
      </c>
      <c r="S43" s="111">
        <f>+'Tabela de BDI'!$F$9*C43</f>
        <v>2784.0000000000005</v>
      </c>
      <c r="T43" s="114"/>
    </row>
    <row r="44" spans="1:20" ht="15.75" customHeight="1" x14ac:dyDescent="0.25">
      <c r="A44" s="1"/>
      <c r="B44" s="116" t="s">
        <v>89</v>
      </c>
      <c r="C44" s="104">
        <f t="shared" si="5"/>
        <v>24</v>
      </c>
      <c r="D44" s="205" t="e">
        <f>+ABS('Preço SFCR-REFUSOL BYD 400Wp'!$G$43-C44)</f>
        <v>#DIV/0!</v>
      </c>
      <c r="E44" s="105">
        <f>+'FRONIUS-BYD 335Wp'!E46</f>
        <v>60</v>
      </c>
      <c r="F44" s="112" t="str">
        <f>+IF(L44=0,"",ROUND(N44/(1-'Tabela de BDI'!$C$3),0))</f>
        <v/>
      </c>
      <c r="G44" s="112"/>
      <c r="H44" s="147"/>
      <c r="I44" s="106"/>
      <c r="J44" s="143"/>
      <c r="K44" s="146">
        <f t="shared" si="6"/>
        <v>0</v>
      </c>
      <c r="L44" s="106">
        <f t="shared" si="7"/>
        <v>0</v>
      </c>
      <c r="M44" s="106">
        <f>+'FRONIUS-BYD 335Wp'!L46</f>
        <v>10250</v>
      </c>
      <c r="N44" s="106">
        <f t="shared" si="8"/>
        <v>10250</v>
      </c>
      <c r="O44" s="106" t="str">
        <f>+IF(F44="","",F44*'Tabela de BDI'!$C$7)</f>
        <v/>
      </c>
      <c r="P44" s="106" t="str">
        <f>IF(F44="","",F44*'Tabela de BDI'!$C$8)</f>
        <v/>
      </c>
      <c r="Q44" s="109" t="str">
        <f t="shared" si="9"/>
        <v/>
      </c>
      <c r="R44" s="110" t="str">
        <f t="shared" si="10"/>
        <v/>
      </c>
      <c r="S44" s="111">
        <f>+'Tabela de BDI'!$F$9*C44</f>
        <v>2880</v>
      </c>
      <c r="T44" s="114"/>
    </row>
    <row r="45" spans="1:20" ht="15.75" customHeight="1" x14ac:dyDescent="0.25">
      <c r="A45" s="1"/>
      <c r="B45" s="116" t="s">
        <v>89</v>
      </c>
      <c r="C45" s="104">
        <f t="shared" si="5"/>
        <v>24.8</v>
      </c>
      <c r="D45" s="205" t="e">
        <f>+ABS('Preço SFCR-REFUSOL BYD 400Wp'!$G$43-C45)</f>
        <v>#DIV/0!</v>
      </c>
      <c r="E45" s="105">
        <f>+'FRONIUS-BYD 335Wp'!E47</f>
        <v>62</v>
      </c>
      <c r="F45" s="112" t="str">
        <f>+IF(L45=0,"",ROUND(N45/(1-'Tabela de BDI'!$C$3),0))</f>
        <v/>
      </c>
      <c r="G45" s="112"/>
      <c r="H45" s="107"/>
      <c r="I45" s="106"/>
      <c r="J45" s="121"/>
      <c r="K45" s="146">
        <f t="shared" si="6"/>
        <v>0</v>
      </c>
      <c r="L45" s="106">
        <f t="shared" si="7"/>
        <v>0</v>
      </c>
      <c r="M45" s="106">
        <f>+'FRONIUS-BYD 335Wp'!L47</f>
        <v>10500</v>
      </c>
      <c r="N45" s="106">
        <f t="shared" si="8"/>
        <v>10500</v>
      </c>
      <c r="O45" s="106" t="str">
        <f>+IF(F45="","",F45*'Tabela de BDI'!$C$7)</f>
        <v/>
      </c>
      <c r="P45" s="106" t="str">
        <f>IF(F45="","",F45*'Tabela de BDI'!$C$8)</f>
        <v/>
      </c>
      <c r="Q45" s="109" t="str">
        <f t="shared" si="9"/>
        <v/>
      </c>
      <c r="R45" s="110" t="str">
        <f t="shared" si="10"/>
        <v/>
      </c>
      <c r="S45" s="111">
        <f>+'Tabela de BDI'!$F$9*C45</f>
        <v>2976</v>
      </c>
      <c r="T45" s="114"/>
    </row>
    <row r="46" spans="1:20" ht="15.75" customHeight="1" x14ac:dyDescent="0.25">
      <c r="A46" s="1"/>
      <c r="B46" s="116" t="s">
        <v>89</v>
      </c>
      <c r="C46" s="104">
        <f t="shared" si="5"/>
        <v>25.6</v>
      </c>
      <c r="D46" s="205" t="e">
        <f>+ABS('Preço SFCR-REFUSOL BYD 400Wp'!$G$43-C46)</f>
        <v>#DIV/0!</v>
      </c>
      <c r="E46" s="105">
        <f>+'FRONIUS-BYD 335Wp'!E48</f>
        <v>64</v>
      </c>
      <c r="F46" s="112" t="str">
        <f>+IF(L46=0,"",ROUND(N46/(1-'Tabela de BDI'!$C$3),0))</f>
        <v/>
      </c>
      <c r="G46" s="112"/>
      <c r="H46" s="107"/>
      <c r="I46" s="106"/>
      <c r="J46" s="121"/>
      <c r="K46" s="146">
        <f t="shared" si="6"/>
        <v>0</v>
      </c>
      <c r="L46" s="106">
        <f t="shared" si="7"/>
        <v>0</v>
      </c>
      <c r="M46" s="106">
        <f>+'FRONIUS-BYD 335Wp'!L48</f>
        <v>10750</v>
      </c>
      <c r="N46" s="106">
        <f t="shared" si="8"/>
        <v>10750</v>
      </c>
      <c r="O46" s="106" t="str">
        <f>+IF(F46="","",F46*'Tabela de BDI'!$C$7)</f>
        <v/>
      </c>
      <c r="P46" s="106" t="str">
        <f>IF(F46="","",F46*'Tabela de BDI'!$C$8)</f>
        <v/>
      </c>
      <c r="Q46" s="109" t="str">
        <f t="shared" si="9"/>
        <v/>
      </c>
      <c r="R46" s="110" t="str">
        <f t="shared" si="10"/>
        <v/>
      </c>
      <c r="S46" s="111">
        <f>+'Tabela de BDI'!$F$9*C46</f>
        <v>3072</v>
      </c>
      <c r="T46" s="114"/>
    </row>
    <row r="47" spans="1:20" ht="15.75" customHeight="1" x14ac:dyDescent="0.25">
      <c r="A47" s="1"/>
      <c r="B47" s="116" t="s">
        <v>89</v>
      </c>
      <c r="C47" s="104">
        <f t="shared" si="5"/>
        <v>26.400000000000002</v>
      </c>
      <c r="D47" s="205" t="e">
        <f>+ABS('Preço SFCR-REFUSOL BYD 400Wp'!$G$43-C47)</f>
        <v>#DIV/0!</v>
      </c>
      <c r="E47" s="181">
        <v>66</v>
      </c>
      <c r="F47" s="112" t="str">
        <f>+IF(L47=0,"",ROUND(N47/(1-'Tabela de BDI'!$C$3),0))</f>
        <v/>
      </c>
      <c r="G47" s="112"/>
      <c r="H47" s="107"/>
      <c r="I47" s="106"/>
      <c r="J47" s="143"/>
      <c r="K47" s="146">
        <f t="shared" si="6"/>
        <v>0</v>
      </c>
      <c r="L47" s="106">
        <f t="shared" si="7"/>
        <v>0</v>
      </c>
      <c r="M47" s="168">
        <v>13000</v>
      </c>
      <c r="N47" s="106">
        <f t="shared" si="8"/>
        <v>13000</v>
      </c>
      <c r="O47" s="106" t="str">
        <f>+IF(F47="","",F47*'Tabela de BDI'!$C$7)</f>
        <v/>
      </c>
      <c r="P47" s="106" t="str">
        <f>IF(F47="","",F47*'Tabela de BDI'!$C$8)</f>
        <v/>
      </c>
      <c r="Q47" s="109" t="str">
        <f t="shared" si="9"/>
        <v/>
      </c>
      <c r="R47" s="110" t="str">
        <f t="shared" si="10"/>
        <v/>
      </c>
      <c r="S47" s="111">
        <f>+'Tabela de BDI'!$F$9*C47</f>
        <v>3168.0000000000005</v>
      </c>
      <c r="T47" s="114"/>
    </row>
    <row r="48" spans="1:20" ht="15.75" customHeight="1" x14ac:dyDescent="0.25">
      <c r="A48" s="1"/>
      <c r="B48" s="116" t="s">
        <v>89</v>
      </c>
      <c r="C48" s="104">
        <f t="shared" si="5"/>
        <v>27.200000000000003</v>
      </c>
      <c r="D48" s="205" t="e">
        <f>+ABS('Preço SFCR-REFUSOL BYD 400Wp'!$G$43-C48)</f>
        <v>#DIV/0!</v>
      </c>
      <c r="E48" s="181">
        <v>68</v>
      </c>
      <c r="F48" s="112" t="str">
        <f>+IF(L48=0,"",ROUND(N48/(1-'Tabela de BDI'!$C$3),0))</f>
        <v/>
      </c>
      <c r="G48" s="112"/>
      <c r="H48" s="107"/>
      <c r="I48" s="106"/>
      <c r="J48" s="121"/>
      <c r="K48" s="146">
        <f t="shared" si="6"/>
        <v>0</v>
      </c>
      <c r="L48" s="106">
        <f t="shared" si="7"/>
        <v>0</v>
      </c>
      <c r="M48" s="151">
        <f>+M47+((E48-E47)*125)</f>
        <v>13250</v>
      </c>
      <c r="N48" s="106">
        <f t="shared" si="8"/>
        <v>13250</v>
      </c>
      <c r="O48" s="106" t="str">
        <f>+IF(F48="","",F48*'Tabela de BDI'!$C$7)</f>
        <v/>
      </c>
      <c r="P48" s="106" t="str">
        <f>IF(F48="","",F48*'Tabela de BDI'!$C$8)</f>
        <v/>
      </c>
      <c r="Q48" s="109" t="str">
        <f t="shared" si="9"/>
        <v/>
      </c>
      <c r="R48" s="110" t="str">
        <f t="shared" si="10"/>
        <v/>
      </c>
      <c r="S48" s="111">
        <f>+'Tabela de BDI'!$F$9*C48</f>
        <v>3264.0000000000005</v>
      </c>
      <c r="T48" s="114"/>
    </row>
    <row r="49" spans="1:20" ht="15.75" customHeight="1" x14ac:dyDescent="0.25">
      <c r="A49" s="1"/>
      <c r="B49" s="116" t="s">
        <v>89</v>
      </c>
      <c r="C49" s="104">
        <f t="shared" si="5"/>
        <v>28.8</v>
      </c>
      <c r="D49" s="205" t="e">
        <f>+ABS('Preço SFCR-REFUSOL BYD 400Wp'!$G$43-C49)</f>
        <v>#DIV/0!</v>
      </c>
      <c r="E49" s="181">
        <v>72</v>
      </c>
      <c r="F49" s="112" t="str">
        <f>+IF(L49=0,"",ROUND(N49/(1-'Tabela de BDI'!$C$3),0))</f>
        <v/>
      </c>
      <c r="G49" s="112"/>
      <c r="H49" s="107"/>
      <c r="I49" s="106"/>
      <c r="J49" s="121"/>
      <c r="K49" s="146">
        <f t="shared" si="6"/>
        <v>0</v>
      </c>
      <c r="L49" s="106">
        <f t="shared" si="7"/>
        <v>0</v>
      </c>
      <c r="M49" s="151">
        <f t="shared" ref="M49:M64" si="40">+M48+((E49-E48)*125)</f>
        <v>13750</v>
      </c>
      <c r="N49" s="106">
        <f t="shared" si="8"/>
        <v>13750</v>
      </c>
      <c r="O49" s="106" t="str">
        <f>+IF(F49="","",F49*'Tabela de BDI'!$C$7)</f>
        <v/>
      </c>
      <c r="P49" s="106" t="str">
        <f>IF(F49="","",F49*'Tabela de BDI'!$C$8)</f>
        <v/>
      </c>
      <c r="Q49" s="109" t="str">
        <f t="shared" si="9"/>
        <v/>
      </c>
      <c r="R49" s="110" t="str">
        <f t="shared" si="10"/>
        <v/>
      </c>
      <c r="S49" s="111">
        <f>+'Tabela de BDI'!$F$9*C49</f>
        <v>3456</v>
      </c>
      <c r="T49" s="114"/>
    </row>
    <row r="50" spans="1:20" ht="15.75" customHeight="1" x14ac:dyDescent="0.25">
      <c r="A50" s="1"/>
      <c r="B50" s="116" t="s">
        <v>89</v>
      </c>
      <c r="C50" s="104">
        <f t="shared" si="5"/>
        <v>30.400000000000002</v>
      </c>
      <c r="D50" s="205" t="e">
        <f>+ABS('Preço SFCR-REFUSOL BYD 400Wp'!$G$43-C50)</f>
        <v>#DIV/0!</v>
      </c>
      <c r="E50" s="181">
        <v>76</v>
      </c>
      <c r="F50" s="112" t="str">
        <f>+IF(L50=0,"",ROUND(N50/(1-'Tabela de BDI'!$C$3),0))</f>
        <v/>
      </c>
      <c r="G50" s="112"/>
      <c r="H50" s="107"/>
      <c r="I50" s="106"/>
      <c r="J50" s="143"/>
      <c r="K50" s="146">
        <f t="shared" si="6"/>
        <v>0</v>
      </c>
      <c r="L50" s="106">
        <f t="shared" si="7"/>
        <v>0</v>
      </c>
      <c r="M50" s="151">
        <f t="shared" si="40"/>
        <v>14250</v>
      </c>
      <c r="N50" s="106">
        <f t="shared" si="8"/>
        <v>14250</v>
      </c>
      <c r="O50" s="106" t="str">
        <f>+IF(F50="","",F50*'Tabela de BDI'!$C$7)</f>
        <v/>
      </c>
      <c r="P50" s="106" t="str">
        <f>IF(F50="","",F50*'Tabela de BDI'!$C$8)</f>
        <v/>
      </c>
      <c r="Q50" s="109" t="str">
        <f t="shared" si="9"/>
        <v/>
      </c>
      <c r="R50" s="110" t="str">
        <f t="shared" si="10"/>
        <v/>
      </c>
      <c r="S50" s="111">
        <f>+'Tabela de BDI'!$F$9*C50</f>
        <v>3648.0000000000005</v>
      </c>
      <c r="T50" s="114"/>
    </row>
    <row r="51" spans="1:20" ht="15.75" customHeight="1" x14ac:dyDescent="0.25">
      <c r="A51" s="1"/>
      <c r="B51" s="116" t="s">
        <v>89</v>
      </c>
      <c r="C51" s="104">
        <f t="shared" si="5"/>
        <v>31.200000000000003</v>
      </c>
      <c r="D51" s="205" t="e">
        <f>+ABS('Preço SFCR-REFUSOL BYD 400Wp'!$G$43-C51)</f>
        <v>#DIV/0!</v>
      </c>
      <c r="E51" s="181">
        <v>78</v>
      </c>
      <c r="F51" s="112" t="str">
        <f>+IF(L51=0,"",ROUND(N51/(1-'Tabela de BDI'!$C$3),0))</f>
        <v/>
      </c>
      <c r="G51" s="112"/>
      <c r="H51" s="107"/>
      <c r="I51" s="106"/>
      <c r="J51" s="143"/>
      <c r="K51" s="146">
        <f t="shared" si="6"/>
        <v>0</v>
      </c>
      <c r="L51" s="106">
        <f t="shared" si="7"/>
        <v>0</v>
      </c>
      <c r="M51" s="151">
        <f t="shared" si="40"/>
        <v>14500</v>
      </c>
      <c r="N51" s="106">
        <f t="shared" si="8"/>
        <v>14500</v>
      </c>
      <c r="O51" s="106" t="str">
        <f>+IF(F51="","",F51*'Tabela de BDI'!$C$7)</f>
        <v/>
      </c>
      <c r="P51" s="106" t="str">
        <f>IF(F51="","",F51*'Tabela de BDI'!$C$8)</f>
        <v/>
      </c>
      <c r="Q51" s="109" t="str">
        <f t="shared" si="9"/>
        <v/>
      </c>
      <c r="R51" s="110" t="str">
        <f t="shared" si="10"/>
        <v/>
      </c>
      <c r="S51" s="111">
        <f>+'Tabela de BDI'!$F$9*C51</f>
        <v>3744.0000000000005</v>
      </c>
      <c r="T51" s="114"/>
    </row>
    <row r="52" spans="1:20" ht="15.75" customHeight="1" x14ac:dyDescent="0.25">
      <c r="A52" s="1"/>
      <c r="B52" s="116" t="s">
        <v>89</v>
      </c>
      <c r="C52" s="104">
        <f t="shared" si="5"/>
        <v>32</v>
      </c>
      <c r="D52" s="205" t="e">
        <f>+ABS('Preço SFCR-REFUSOL BYD 400Wp'!$G$43-C52)</f>
        <v>#DIV/0!</v>
      </c>
      <c r="E52" s="181">
        <v>80</v>
      </c>
      <c r="F52" s="112" t="str">
        <f>+IF(L52=0,"",ROUND(N52/(1-'Tabela de BDI'!$C$3),0))</f>
        <v/>
      </c>
      <c r="G52" s="112"/>
      <c r="H52" s="107"/>
      <c r="I52" s="106"/>
      <c r="J52" s="143"/>
      <c r="K52" s="146">
        <f t="shared" si="6"/>
        <v>0</v>
      </c>
      <c r="L52" s="106">
        <f t="shared" si="7"/>
        <v>0</v>
      </c>
      <c r="M52" s="151">
        <f t="shared" si="40"/>
        <v>14750</v>
      </c>
      <c r="N52" s="106">
        <f t="shared" si="8"/>
        <v>14750</v>
      </c>
      <c r="O52" s="106" t="str">
        <f>+IF(F52="","",F52*'Tabela de BDI'!$C$7)</f>
        <v/>
      </c>
      <c r="P52" s="106" t="str">
        <f>IF(F52="","",F52*'Tabela de BDI'!$C$8)</f>
        <v/>
      </c>
      <c r="Q52" s="109" t="str">
        <f t="shared" si="9"/>
        <v/>
      </c>
      <c r="R52" s="110" t="str">
        <f t="shared" si="10"/>
        <v/>
      </c>
      <c r="S52" s="111">
        <f>+'Tabela de BDI'!$F$9*C52</f>
        <v>3840</v>
      </c>
      <c r="T52" s="114"/>
    </row>
    <row r="53" spans="1:20" ht="15.75" customHeight="1" x14ac:dyDescent="0.25">
      <c r="A53" s="1"/>
      <c r="B53" s="116" t="s">
        <v>89</v>
      </c>
      <c r="C53" s="104">
        <f t="shared" si="5"/>
        <v>33.6</v>
      </c>
      <c r="D53" s="205" t="e">
        <f>+ABS('Preço SFCR-REFUSOL BYD 400Wp'!$G$43-C53)</f>
        <v>#DIV/0!</v>
      </c>
      <c r="E53" s="181">
        <v>84</v>
      </c>
      <c r="F53" s="112" t="str">
        <f>+IF(L53=0,"",ROUND(N53/(1-'Tabela de BDI'!$C$3),0))</f>
        <v/>
      </c>
      <c r="G53" s="112"/>
      <c r="H53" s="107"/>
      <c r="I53" s="106"/>
      <c r="J53" s="143"/>
      <c r="K53" s="146">
        <f t="shared" si="6"/>
        <v>0</v>
      </c>
      <c r="L53" s="106">
        <f t="shared" si="7"/>
        <v>0</v>
      </c>
      <c r="M53" s="151">
        <f t="shared" si="40"/>
        <v>15250</v>
      </c>
      <c r="N53" s="106">
        <f t="shared" si="8"/>
        <v>15250</v>
      </c>
      <c r="O53" s="106" t="str">
        <f>+IF(F53="","",F53*'Tabela de BDI'!$C$7)</f>
        <v/>
      </c>
      <c r="P53" s="106" t="str">
        <f>IF(F53="","",F53*'Tabela de BDI'!$C$8)</f>
        <v/>
      </c>
      <c r="Q53" s="109" t="str">
        <f t="shared" si="9"/>
        <v/>
      </c>
      <c r="R53" s="110" t="str">
        <f t="shared" si="10"/>
        <v/>
      </c>
      <c r="S53" s="111">
        <f>+'Tabela de BDI'!$F$9*C53</f>
        <v>4032</v>
      </c>
      <c r="T53" s="114"/>
    </row>
    <row r="54" spans="1:20" ht="15.75" customHeight="1" x14ac:dyDescent="0.25">
      <c r="A54" s="1"/>
      <c r="B54" s="116" t="s">
        <v>89</v>
      </c>
      <c r="C54" s="104">
        <f t="shared" si="5"/>
        <v>35.200000000000003</v>
      </c>
      <c r="D54" s="205" t="e">
        <f>+ABS('Preço SFCR-REFUSOL BYD 400Wp'!$G$43-C54)</f>
        <v>#DIV/0!</v>
      </c>
      <c r="E54" s="181">
        <v>88</v>
      </c>
      <c r="F54" s="112" t="str">
        <f>+IF(L54=0,"",ROUND(N54/(1-'Tabela de BDI'!$C$3),0))</f>
        <v/>
      </c>
      <c r="G54" s="112"/>
      <c r="H54" s="147"/>
      <c r="I54" s="106"/>
      <c r="J54" s="143"/>
      <c r="K54" s="146">
        <f t="shared" si="6"/>
        <v>0</v>
      </c>
      <c r="L54" s="106">
        <f t="shared" si="7"/>
        <v>0</v>
      </c>
      <c r="M54" s="151">
        <f t="shared" si="40"/>
        <v>15750</v>
      </c>
      <c r="N54" s="106">
        <f t="shared" si="8"/>
        <v>15750</v>
      </c>
      <c r="O54" s="106" t="str">
        <f>+IF(F54="","",F54*'Tabela de BDI'!$C$7)</f>
        <v/>
      </c>
      <c r="P54" s="106" t="str">
        <f>IF(F54="","",F54*'Tabela de BDI'!$C$8)</f>
        <v/>
      </c>
      <c r="Q54" s="109" t="str">
        <f t="shared" si="9"/>
        <v/>
      </c>
      <c r="R54" s="110" t="str">
        <f t="shared" si="10"/>
        <v/>
      </c>
      <c r="S54" s="111">
        <f>+'Tabela de BDI'!$F$9*C54</f>
        <v>4224</v>
      </c>
      <c r="T54" s="114"/>
    </row>
    <row r="55" spans="1:20" ht="15.75" customHeight="1" x14ac:dyDescent="0.25">
      <c r="A55" s="1"/>
      <c r="B55" s="116" t="s">
        <v>89</v>
      </c>
      <c r="C55" s="104">
        <f t="shared" si="5"/>
        <v>36</v>
      </c>
      <c r="D55" s="205" t="e">
        <f>+ABS('Preço SFCR-REFUSOL BYD 400Wp'!$G$43-C55)</f>
        <v>#DIV/0!</v>
      </c>
      <c r="E55" s="181">
        <v>90</v>
      </c>
      <c r="F55" s="112" t="str">
        <f>+IF(L55=0,"",ROUND(N55/(1-'Tabela de BDI'!$C$3),0))</f>
        <v/>
      </c>
      <c r="G55" s="112"/>
      <c r="H55" s="107"/>
      <c r="I55" s="106"/>
      <c r="J55" s="143"/>
      <c r="K55" s="146">
        <f t="shared" si="6"/>
        <v>0</v>
      </c>
      <c r="L55" s="106">
        <f t="shared" si="7"/>
        <v>0</v>
      </c>
      <c r="M55" s="151">
        <f t="shared" si="40"/>
        <v>16000</v>
      </c>
      <c r="N55" s="106">
        <f t="shared" si="8"/>
        <v>16000</v>
      </c>
      <c r="O55" s="106" t="str">
        <f>+IF(F55="","",F55*'Tabela de BDI'!$C$7)</f>
        <v/>
      </c>
      <c r="P55" s="106" t="str">
        <f>IF(F55="","",F55*'Tabela de BDI'!$C$8)</f>
        <v/>
      </c>
      <c r="Q55" s="109" t="str">
        <f t="shared" si="9"/>
        <v/>
      </c>
      <c r="R55" s="110" t="str">
        <f t="shared" si="10"/>
        <v/>
      </c>
      <c r="S55" s="111">
        <f>+'Tabela de BDI'!$F$9*C55</f>
        <v>4320</v>
      </c>
      <c r="T55" s="114"/>
    </row>
    <row r="56" spans="1:20" ht="15.75" customHeight="1" x14ac:dyDescent="0.25">
      <c r="A56" s="1"/>
      <c r="B56" s="116" t="s">
        <v>89</v>
      </c>
      <c r="C56" s="104">
        <f t="shared" si="5"/>
        <v>36.800000000000004</v>
      </c>
      <c r="D56" s="205" t="e">
        <f>+ABS('Preço SFCR-REFUSOL BYD 400Wp'!$G$43-C56)</f>
        <v>#DIV/0!</v>
      </c>
      <c r="E56" s="181">
        <v>92</v>
      </c>
      <c r="F56" s="112" t="str">
        <f>+IF(L56=0,"",ROUND(N56/(1-'Tabela de BDI'!$C$3),0))</f>
        <v/>
      </c>
      <c r="G56" s="112"/>
      <c r="H56" s="107"/>
      <c r="I56" s="106"/>
      <c r="J56" s="143"/>
      <c r="K56" s="146">
        <f t="shared" si="6"/>
        <v>0</v>
      </c>
      <c r="L56" s="106">
        <f t="shared" si="7"/>
        <v>0</v>
      </c>
      <c r="M56" s="151">
        <f t="shared" si="40"/>
        <v>16250</v>
      </c>
      <c r="N56" s="106">
        <f t="shared" si="8"/>
        <v>16250</v>
      </c>
      <c r="O56" s="106" t="str">
        <f>+IF(F56="","",F56*'Tabela de BDI'!$C$7)</f>
        <v/>
      </c>
      <c r="P56" s="106" t="str">
        <f>IF(F56="","",F56*'Tabela de BDI'!$C$8)</f>
        <v/>
      </c>
      <c r="Q56" s="109" t="str">
        <f t="shared" si="9"/>
        <v/>
      </c>
      <c r="R56" s="110" t="str">
        <f t="shared" si="10"/>
        <v/>
      </c>
      <c r="S56" s="111">
        <f>+'Tabela de BDI'!$F$9*C56</f>
        <v>4416.0000000000009</v>
      </c>
      <c r="T56" s="114"/>
    </row>
    <row r="57" spans="1:20" ht="15.75" customHeight="1" x14ac:dyDescent="0.25">
      <c r="A57" s="1"/>
      <c r="B57" s="116" t="s">
        <v>89</v>
      </c>
      <c r="C57" s="104">
        <f t="shared" si="5"/>
        <v>38</v>
      </c>
      <c r="D57" s="205" t="e">
        <f>+ABS('Preço SFCR-REFUSOL BYD 400Wp'!$G$43-C57)</f>
        <v>#DIV/0!</v>
      </c>
      <c r="E57" s="181">
        <v>95</v>
      </c>
      <c r="F57" s="112" t="str">
        <f>+IF(L57=0,"",ROUND(N57/(1-'Tabela de BDI'!$C$3),0))</f>
        <v/>
      </c>
      <c r="G57" s="112"/>
      <c r="H57" s="107"/>
      <c r="I57" s="106"/>
      <c r="J57" s="143"/>
      <c r="K57" s="146">
        <f t="shared" si="6"/>
        <v>0</v>
      </c>
      <c r="L57" s="106">
        <f t="shared" si="7"/>
        <v>0</v>
      </c>
      <c r="M57" s="151">
        <f t="shared" si="40"/>
        <v>16625</v>
      </c>
      <c r="N57" s="106">
        <f t="shared" si="8"/>
        <v>16625</v>
      </c>
      <c r="O57" s="106" t="str">
        <f>+IF(F57="","",F57*'Tabela de BDI'!$C$7)</f>
        <v/>
      </c>
      <c r="P57" s="106" t="str">
        <f>IF(F57="","",F57*'Tabela de BDI'!$C$8)</f>
        <v/>
      </c>
      <c r="Q57" s="109" t="str">
        <f t="shared" si="9"/>
        <v/>
      </c>
      <c r="R57" s="110" t="str">
        <f t="shared" si="10"/>
        <v/>
      </c>
      <c r="S57" s="111">
        <f>+'Tabela de BDI'!$F$9*C57</f>
        <v>4560</v>
      </c>
      <c r="T57" s="114"/>
    </row>
    <row r="58" spans="1:20" ht="15.75" customHeight="1" x14ac:dyDescent="0.25">
      <c r="A58" s="1"/>
      <c r="B58" s="116" t="s">
        <v>89</v>
      </c>
      <c r="C58" s="104">
        <f t="shared" si="5"/>
        <v>38.400000000000006</v>
      </c>
      <c r="D58" s="205" t="e">
        <f>+ABS('Preço SFCR-REFUSOL BYD 400Wp'!$G$43-C58)</f>
        <v>#DIV/0!</v>
      </c>
      <c r="E58" s="181">
        <v>96</v>
      </c>
      <c r="F58" s="112" t="str">
        <f>+IF(L58=0,"",ROUND(N58/(1-'Tabela de BDI'!$C$3),0))</f>
        <v/>
      </c>
      <c r="G58" s="112"/>
      <c r="H58" s="147"/>
      <c r="I58" s="106"/>
      <c r="J58" s="143"/>
      <c r="K58" s="146">
        <f t="shared" si="6"/>
        <v>0</v>
      </c>
      <c r="L58" s="106">
        <f t="shared" si="7"/>
        <v>0</v>
      </c>
      <c r="M58" s="151">
        <f t="shared" si="40"/>
        <v>16750</v>
      </c>
      <c r="N58" s="106">
        <f t="shared" si="8"/>
        <v>16750</v>
      </c>
      <c r="O58" s="106" t="str">
        <f>+IF(F58="","",F58*'Tabela de BDI'!$C$7)</f>
        <v/>
      </c>
      <c r="P58" s="106" t="str">
        <f>IF(F58="","",F58*'Tabela de BDI'!$C$8)</f>
        <v/>
      </c>
      <c r="Q58" s="109" t="str">
        <f t="shared" si="9"/>
        <v/>
      </c>
      <c r="R58" s="110" t="str">
        <f t="shared" si="10"/>
        <v/>
      </c>
      <c r="S58" s="111">
        <f>+'Tabela de BDI'!$F$9*C58</f>
        <v>4608.0000000000009</v>
      </c>
      <c r="T58" s="114"/>
    </row>
    <row r="59" spans="1:20" ht="15.75" customHeight="1" x14ac:dyDescent="0.25">
      <c r="A59" s="1"/>
      <c r="B59" s="116" t="s">
        <v>89</v>
      </c>
      <c r="C59" s="104">
        <f t="shared" si="5"/>
        <v>39.200000000000003</v>
      </c>
      <c r="D59" s="205" t="e">
        <f>+ABS('Preço SFCR-REFUSOL BYD 400Wp'!$G$43-C59)</f>
        <v>#DIV/0!</v>
      </c>
      <c r="E59" s="181">
        <v>98</v>
      </c>
      <c r="F59" s="112" t="str">
        <f>+IF(L59=0,"",ROUND(N59/(1-'Tabela de BDI'!$C$3),0))</f>
        <v/>
      </c>
      <c r="G59" s="112"/>
      <c r="H59" s="107"/>
      <c r="I59" s="106"/>
      <c r="J59" s="143"/>
      <c r="K59" s="146">
        <f t="shared" si="6"/>
        <v>0</v>
      </c>
      <c r="L59" s="106">
        <f t="shared" si="7"/>
        <v>0</v>
      </c>
      <c r="M59" s="151">
        <f t="shared" si="40"/>
        <v>17000</v>
      </c>
      <c r="N59" s="106">
        <f t="shared" si="8"/>
        <v>17000</v>
      </c>
      <c r="O59" s="106" t="str">
        <f>+IF(F59="","",F59*'Tabela de BDI'!$C$7)</f>
        <v/>
      </c>
      <c r="P59" s="106" t="str">
        <f>IF(F59="","",F59*'Tabela de BDI'!$C$8)</f>
        <v/>
      </c>
      <c r="Q59" s="109" t="str">
        <f t="shared" si="9"/>
        <v/>
      </c>
      <c r="R59" s="110" t="str">
        <f t="shared" si="10"/>
        <v/>
      </c>
      <c r="S59" s="111">
        <f>+'Tabela de BDI'!$F$9*C59</f>
        <v>4704</v>
      </c>
      <c r="T59" s="114"/>
    </row>
    <row r="60" spans="1:20" ht="15.75" customHeight="1" x14ac:dyDescent="0.25">
      <c r="A60" s="1"/>
      <c r="B60" s="116" t="s">
        <v>89</v>
      </c>
      <c r="C60" s="104">
        <f t="shared" si="5"/>
        <v>40</v>
      </c>
      <c r="D60" s="205" t="e">
        <f>+ABS('Preço SFCR-REFUSOL BYD 400Wp'!$G$43-C60)</f>
        <v>#DIV/0!</v>
      </c>
      <c r="E60" s="181">
        <v>100</v>
      </c>
      <c r="F60" s="112" t="str">
        <f>+IF(L60=0,"",ROUND(N60/(1-'Tabela de BDI'!$C$3),0))</f>
        <v/>
      </c>
      <c r="G60" s="112"/>
      <c r="H60" s="107"/>
      <c r="I60" s="106"/>
      <c r="J60" s="143"/>
      <c r="K60" s="146">
        <f>+J60/(1-$J$5)</f>
        <v>0</v>
      </c>
      <c r="L60" s="106">
        <f t="shared" si="7"/>
        <v>0</v>
      </c>
      <c r="M60" s="151">
        <f t="shared" si="40"/>
        <v>17250</v>
      </c>
      <c r="N60" s="106">
        <f t="shared" si="8"/>
        <v>17250</v>
      </c>
      <c r="O60" s="106" t="str">
        <f>+IF(F60="","",F60*'Tabela de BDI'!$C$7)</f>
        <v/>
      </c>
      <c r="P60" s="106" t="str">
        <f>IF(F60="","",F60*'Tabela de BDI'!$C$8)</f>
        <v/>
      </c>
      <c r="Q60" s="109" t="str">
        <f t="shared" si="9"/>
        <v/>
      </c>
      <c r="R60" s="110" t="str">
        <f t="shared" si="10"/>
        <v/>
      </c>
      <c r="S60" s="111">
        <f>+'Tabela de BDI'!$F$9*C60</f>
        <v>4800</v>
      </c>
      <c r="T60" s="114"/>
    </row>
    <row r="61" spans="1:20" ht="15.75" customHeight="1" x14ac:dyDescent="0.25">
      <c r="A61" s="1"/>
      <c r="B61" s="116" t="s">
        <v>89</v>
      </c>
      <c r="C61" s="104">
        <f t="shared" si="5"/>
        <v>40.800000000000004</v>
      </c>
      <c r="D61" s="205" t="e">
        <f>+ABS('Preço SFCR-REFUSOL BYD 400Wp'!$G$43-C61)</f>
        <v>#DIV/0!</v>
      </c>
      <c r="E61" s="181">
        <v>102</v>
      </c>
      <c r="F61" s="112" t="str">
        <f>+IF(L61=0,"",ROUND(N61/(1-'Tabela de BDI'!$C$3),0))</f>
        <v/>
      </c>
      <c r="G61" s="112"/>
      <c r="H61" s="107"/>
      <c r="I61" s="106"/>
      <c r="J61" s="143"/>
      <c r="K61" s="146">
        <f t="shared" si="6"/>
        <v>0</v>
      </c>
      <c r="L61" s="106">
        <f t="shared" si="7"/>
        <v>0</v>
      </c>
      <c r="M61" s="151">
        <f t="shared" si="40"/>
        <v>17500</v>
      </c>
      <c r="N61" s="106">
        <f t="shared" si="8"/>
        <v>17500</v>
      </c>
      <c r="O61" s="106" t="str">
        <f>+IF(F61="","",F61*'Tabela de BDI'!$C$7)</f>
        <v/>
      </c>
      <c r="P61" s="106" t="str">
        <f>IF(F61="","",F61*'Tabela de BDI'!$C$8)</f>
        <v/>
      </c>
      <c r="Q61" s="109" t="str">
        <f t="shared" si="9"/>
        <v/>
      </c>
      <c r="R61" s="110" t="str">
        <f t="shared" si="10"/>
        <v/>
      </c>
      <c r="S61" s="111">
        <f>+'Tabela de BDI'!$F$9*C61</f>
        <v>4896.0000000000009</v>
      </c>
      <c r="T61" s="114"/>
    </row>
    <row r="62" spans="1:20" ht="15.75" customHeight="1" x14ac:dyDescent="0.25">
      <c r="A62" s="1"/>
      <c r="B62" s="116" t="s">
        <v>89</v>
      </c>
      <c r="C62" s="104">
        <f t="shared" si="5"/>
        <v>41.6</v>
      </c>
      <c r="D62" s="205" t="e">
        <f>+ABS('Preço SFCR-REFUSOL BYD 400Wp'!$G$43-C62)</f>
        <v>#DIV/0!</v>
      </c>
      <c r="E62" s="181">
        <v>104</v>
      </c>
      <c r="F62" s="112" t="str">
        <f>+IF(L62=0,"",ROUND(N62/(1-'Tabela de BDI'!$C$3),0))</f>
        <v/>
      </c>
      <c r="G62" s="112"/>
      <c r="H62" s="107"/>
      <c r="I62" s="106"/>
      <c r="J62" s="143"/>
      <c r="K62" s="146">
        <f t="shared" si="6"/>
        <v>0</v>
      </c>
      <c r="L62" s="106">
        <f t="shared" si="7"/>
        <v>0</v>
      </c>
      <c r="M62" s="151">
        <f t="shared" si="40"/>
        <v>17750</v>
      </c>
      <c r="N62" s="106">
        <f t="shared" si="8"/>
        <v>17750</v>
      </c>
      <c r="O62" s="106" t="str">
        <f>+IF(F62="","",F62*'Tabela de BDI'!$C$7)</f>
        <v/>
      </c>
      <c r="P62" s="106" t="str">
        <f>IF(F62="","",F62*'Tabela de BDI'!$C$8)</f>
        <v/>
      </c>
      <c r="Q62" s="109" t="str">
        <f t="shared" si="9"/>
        <v/>
      </c>
      <c r="R62" s="110" t="str">
        <f t="shared" si="10"/>
        <v/>
      </c>
      <c r="S62" s="111">
        <f>+'Tabela de BDI'!$F$9*C62</f>
        <v>4992</v>
      </c>
      <c r="T62" s="114"/>
    </row>
    <row r="63" spans="1:20" ht="15.75" customHeight="1" x14ac:dyDescent="0.25">
      <c r="A63" s="1"/>
      <c r="B63" s="116" t="s">
        <v>89</v>
      </c>
      <c r="C63" s="104">
        <f t="shared" si="5"/>
        <v>43.2</v>
      </c>
      <c r="D63" s="205" t="e">
        <f>+ABS('Preço SFCR-REFUSOL BYD 400Wp'!$G$43-C63)</f>
        <v>#DIV/0!</v>
      </c>
      <c r="E63" s="181">
        <v>108</v>
      </c>
      <c r="F63" s="112" t="str">
        <f>+IF(L63=0,"",ROUND(N63/(1-'Tabela de BDI'!$C$3),0))</f>
        <v/>
      </c>
      <c r="G63" s="112"/>
      <c r="H63" s="107"/>
      <c r="I63" s="106"/>
      <c r="J63" s="143"/>
      <c r="K63" s="146">
        <f t="shared" si="6"/>
        <v>0</v>
      </c>
      <c r="L63" s="106">
        <f t="shared" si="7"/>
        <v>0</v>
      </c>
      <c r="M63" s="151">
        <f t="shared" si="40"/>
        <v>18250</v>
      </c>
      <c r="N63" s="106">
        <f t="shared" si="8"/>
        <v>18250</v>
      </c>
      <c r="O63" s="106" t="str">
        <f>+IF(F63="","",F63*'Tabela de BDI'!$C$7)</f>
        <v/>
      </c>
      <c r="P63" s="106" t="str">
        <f>IF(F63="","",F63*'Tabela de BDI'!$C$8)</f>
        <v/>
      </c>
      <c r="Q63" s="109" t="str">
        <f t="shared" si="9"/>
        <v/>
      </c>
      <c r="R63" s="110" t="str">
        <f t="shared" si="10"/>
        <v/>
      </c>
      <c r="S63" s="111">
        <f>+'Tabela de BDI'!$F$9*C63</f>
        <v>5184</v>
      </c>
      <c r="T63" s="114"/>
    </row>
    <row r="64" spans="1:20" ht="15.75" customHeight="1" x14ac:dyDescent="0.25">
      <c r="A64" s="1"/>
      <c r="B64" s="116" t="s">
        <v>89</v>
      </c>
      <c r="C64" s="104">
        <f t="shared" ref="C64" si="41">+E64*$B$3</f>
        <v>44</v>
      </c>
      <c r="D64" s="205" t="e">
        <f>+ABS('Preço SFCR-REFUSOL BYD 400Wp'!$G$43-C64)</f>
        <v>#DIV/0!</v>
      </c>
      <c r="E64" s="181">
        <v>110</v>
      </c>
      <c r="F64" s="112" t="str">
        <f>+IF(L64=0,"",ROUND(N64/(1-'Tabela de BDI'!$C$3),0))</f>
        <v/>
      </c>
      <c r="G64" s="112"/>
      <c r="H64" s="147" t="s">
        <v>215</v>
      </c>
      <c r="I64" s="106"/>
      <c r="J64" s="143"/>
      <c r="K64" s="146">
        <f t="shared" si="6"/>
        <v>0</v>
      </c>
      <c r="L64" s="106">
        <f t="shared" ref="L64" si="42">+I64+K64</f>
        <v>0</v>
      </c>
      <c r="M64" s="151">
        <f t="shared" si="40"/>
        <v>18500</v>
      </c>
      <c r="N64" s="106">
        <f t="shared" ref="N64" si="43">+L64+M64</f>
        <v>18500</v>
      </c>
      <c r="O64" s="106" t="str">
        <f>+IF(F64="","",F64*'Tabela de BDI'!$C$7)</f>
        <v/>
      </c>
      <c r="P64" s="106" t="str">
        <f>IF(F64="","",F64*'Tabela de BDI'!$C$8)</f>
        <v/>
      </c>
      <c r="Q64" s="109" t="str">
        <f t="shared" ref="Q64" si="44">IF(F64="","",(F64-L64)/L64)</f>
        <v/>
      </c>
      <c r="R64" s="110" t="str">
        <f t="shared" ref="R64" si="45">IF(F64="","",(F64/C64)/1000)</f>
        <v/>
      </c>
      <c r="S64" s="111">
        <f>+'Tabela de BDI'!$F$9*C64</f>
        <v>5280</v>
      </c>
      <c r="T64" s="114"/>
    </row>
    <row r="65" spans="1:20" ht="15.75" customHeight="1" x14ac:dyDescent="0.25">
      <c r="A65" s="1"/>
      <c r="B65" s="117"/>
      <c r="C65" s="104"/>
      <c r="D65" s="201"/>
      <c r="E65" s="105"/>
      <c r="F65" s="106"/>
      <c r="G65" s="143"/>
      <c r="H65" s="107"/>
      <c r="I65" s="106"/>
      <c r="J65" s="143"/>
      <c r="K65" s="106"/>
      <c r="L65" s="106"/>
      <c r="M65" s="106"/>
      <c r="N65" s="106"/>
      <c r="O65" s="106"/>
      <c r="P65" s="106"/>
      <c r="Q65" s="106"/>
      <c r="R65" s="110" t="str">
        <f t="shared" si="10"/>
        <v/>
      </c>
      <c r="S65" s="111"/>
      <c r="T65" s="114"/>
    </row>
    <row r="66" spans="1:20" ht="15.75" customHeight="1" x14ac:dyDescent="0.25">
      <c r="A66" s="1"/>
      <c r="B66" s="1"/>
      <c r="C66" s="1"/>
      <c r="D66" s="199"/>
      <c r="E66" s="1"/>
      <c r="F66" s="1"/>
      <c r="G66" s="311"/>
      <c r="H66" s="1"/>
      <c r="I66" s="1"/>
      <c r="J66" s="142"/>
      <c r="K66" s="1"/>
      <c r="L66" s="118"/>
      <c r="M66" s="118"/>
      <c r="N66" s="118"/>
      <c r="O66" s="118"/>
      <c r="P66" s="118"/>
      <c r="Q66" s="118"/>
      <c r="R66" s="118"/>
      <c r="S66" s="1"/>
      <c r="T66" s="1"/>
    </row>
    <row r="67" spans="1:20" ht="15.75" customHeight="1" x14ac:dyDescent="0.25">
      <c r="A67" s="1"/>
      <c r="B67" s="337" t="s">
        <v>79</v>
      </c>
      <c r="C67" s="338"/>
      <c r="D67" s="198"/>
      <c r="E67" s="1"/>
      <c r="F67" s="119"/>
      <c r="G67" s="119"/>
      <c r="H67" s="1"/>
      <c r="I67" s="1"/>
      <c r="J67" s="142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75" customHeight="1" x14ac:dyDescent="0.25">
      <c r="A68" s="1"/>
      <c r="B68" s="119">
        <v>44390</v>
      </c>
      <c r="C68" s="1"/>
      <c r="D68" s="199"/>
      <c r="E68" s="1"/>
      <c r="F68" s="1"/>
      <c r="G68" s="311"/>
      <c r="H68" s="1"/>
      <c r="I68" s="1"/>
      <c r="J68" s="142"/>
      <c r="K68" s="1"/>
      <c r="S68" s="1"/>
      <c r="T68" s="1"/>
    </row>
    <row r="69" spans="1:20" ht="15.75" customHeight="1" x14ac:dyDescent="0.25">
      <c r="A69" s="1"/>
      <c r="B69" s="1"/>
      <c r="C69" s="1"/>
      <c r="D69" s="199"/>
      <c r="E69" s="1"/>
      <c r="F69" s="1"/>
      <c r="G69" s="311"/>
      <c r="H69" s="1"/>
      <c r="I69" s="1"/>
      <c r="J69" s="142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 x14ac:dyDescent="0.25">
      <c r="A70" s="1"/>
      <c r="B70" s="1"/>
      <c r="C70" s="1"/>
      <c r="D70" s="199"/>
      <c r="E70" s="1"/>
      <c r="F70" s="1"/>
      <c r="G70" s="311"/>
      <c r="H70" s="1"/>
      <c r="I70" s="1"/>
      <c r="J70" s="142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 x14ac:dyDescent="0.25">
      <c r="A71" s="1"/>
      <c r="B71" s="1"/>
      <c r="C71" s="1"/>
      <c r="D71" s="199"/>
      <c r="E71" s="1"/>
      <c r="F71" s="1"/>
      <c r="G71" s="311"/>
      <c r="H71" s="1"/>
      <c r="I71" s="1"/>
      <c r="J71" s="142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 x14ac:dyDescent="0.25">
      <c r="A72" s="1"/>
      <c r="B72" s="1"/>
      <c r="C72" s="1"/>
      <c r="D72" s="199"/>
      <c r="E72" s="1"/>
      <c r="F72" s="1"/>
      <c r="G72" s="311"/>
      <c r="H72" s="1"/>
      <c r="I72" s="1"/>
      <c r="J72" s="142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 x14ac:dyDescent="0.25">
      <c r="A73" s="1"/>
      <c r="B73" s="1"/>
      <c r="C73" s="1"/>
      <c r="D73" s="199"/>
      <c r="E73" s="1"/>
      <c r="F73" s="1"/>
      <c r="G73" s="311"/>
      <c r="H73" s="1"/>
      <c r="I73" s="1"/>
      <c r="J73" s="142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 x14ac:dyDescent="0.25">
      <c r="A74" s="1"/>
      <c r="B74" s="1"/>
      <c r="C74" s="1"/>
      <c r="D74" s="199"/>
      <c r="E74" s="1"/>
      <c r="F74" s="1"/>
      <c r="G74" s="311"/>
      <c r="H74" s="1"/>
      <c r="I74" s="1"/>
      <c r="J74" s="142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 x14ac:dyDescent="0.25">
      <c r="A75" s="1"/>
      <c r="B75" s="1"/>
      <c r="C75" s="1"/>
      <c r="D75" s="199"/>
      <c r="E75" s="1"/>
      <c r="F75" s="1"/>
      <c r="G75" s="311"/>
      <c r="H75" s="1"/>
      <c r="I75" s="1"/>
      <c r="J75" s="142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 x14ac:dyDescent="0.25">
      <c r="A76" s="1"/>
      <c r="B76" s="1"/>
      <c r="C76" s="1"/>
      <c r="D76" s="199"/>
      <c r="E76" s="1"/>
      <c r="F76" s="1"/>
      <c r="G76" s="311"/>
      <c r="H76" s="1"/>
      <c r="I76" s="1"/>
      <c r="J76" s="142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 x14ac:dyDescent="0.25">
      <c r="A77" s="1"/>
      <c r="B77" s="1"/>
      <c r="C77" s="1"/>
      <c r="D77" s="199"/>
      <c r="E77" s="1"/>
      <c r="F77" s="1"/>
      <c r="G77" s="311"/>
      <c r="H77" s="1"/>
      <c r="I77" s="1"/>
      <c r="J77" s="142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 x14ac:dyDescent="0.25">
      <c r="A78" s="1"/>
      <c r="B78" s="1"/>
      <c r="C78" s="1"/>
      <c r="D78" s="199"/>
      <c r="E78" s="1"/>
      <c r="F78" s="1"/>
      <c r="G78" s="311"/>
      <c r="H78" s="1"/>
      <c r="I78" s="1"/>
      <c r="J78" s="142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 x14ac:dyDescent="0.25">
      <c r="A79" s="1"/>
      <c r="B79" s="1"/>
      <c r="C79" s="1"/>
      <c r="D79" s="199"/>
      <c r="E79" s="1"/>
      <c r="F79" s="1"/>
      <c r="G79" s="311"/>
      <c r="H79" s="1"/>
      <c r="I79" s="1"/>
      <c r="J79" s="142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 x14ac:dyDescent="0.25">
      <c r="A80" s="1"/>
      <c r="B80" s="1"/>
      <c r="C80" s="1"/>
      <c r="D80" s="199"/>
      <c r="E80" s="1"/>
      <c r="F80" s="1"/>
      <c r="G80" s="311"/>
      <c r="H80" s="1"/>
      <c r="I80" s="1"/>
      <c r="J80" s="142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 x14ac:dyDescent="0.25">
      <c r="A81" s="1"/>
      <c r="B81" s="1"/>
      <c r="C81" s="1"/>
      <c r="D81" s="199"/>
      <c r="E81" s="1"/>
      <c r="F81" s="1"/>
      <c r="G81" s="311"/>
      <c r="H81" s="1"/>
      <c r="I81" s="1"/>
      <c r="J81" s="142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 x14ac:dyDescent="0.25">
      <c r="A82" s="1"/>
      <c r="B82" s="1"/>
      <c r="C82" s="1"/>
      <c r="D82" s="199"/>
      <c r="E82" s="1"/>
      <c r="F82" s="1"/>
      <c r="G82" s="311"/>
      <c r="H82" s="1"/>
      <c r="I82" s="1"/>
      <c r="J82" s="142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 x14ac:dyDescent="0.25">
      <c r="A83" s="1"/>
      <c r="B83" s="1"/>
      <c r="C83" s="1"/>
      <c r="D83" s="199"/>
      <c r="E83" s="1"/>
      <c r="F83" s="1"/>
      <c r="G83" s="311"/>
      <c r="H83" s="1"/>
      <c r="I83" s="1"/>
      <c r="J83" s="142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 x14ac:dyDescent="0.25">
      <c r="A84" s="1"/>
      <c r="B84" s="1"/>
      <c r="C84" s="1"/>
      <c r="D84" s="199"/>
      <c r="E84" s="1"/>
      <c r="F84" s="1"/>
      <c r="G84" s="311"/>
      <c r="H84" s="1"/>
      <c r="I84" s="1"/>
      <c r="J84" s="142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 x14ac:dyDescent="0.25">
      <c r="A85" s="1"/>
      <c r="B85" s="1"/>
      <c r="C85" s="1"/>
      <c r="D85" s="199"/>
      <c r="E85" s="1"/>
      <c r="F85" s="1"/>
      <c r="G85" s="311"/>
      <c r="H85" s="1"/>
      <c r="I85" s="1"/>
      <c r="J85" s="142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 x14ac:dyDescent="0.25">
      <c r="A86" s="1"/>
      <c r="B86" s="1"/>
      <c r="C86" s="1"/>
      <c r="D86" s="199"/>
      <c r="E86" s="1"/>
      <c r="F86" s="1"/>
      <c r="G86" s="311"/>
      <c r="H86" s="1"/>
      <c r="I86" s="1"/>
      <c r="J86" s="142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 x14ac:dyDescent="0.25">
      <c r="A87" s="1"/>
      <c r="B87" s="1"/>
      <c r="C87" s="1"/>
      <c r="D87" s="199"/>
      <c r="E87" s="1"/>
      <c r="F87" s="1"/>
      <c r="G87" s="311"/>
      <c r="H87" s="1"/>
      <c r="I87" s="1"/>
      <c r="J87" s="142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 x14ac:dyDescent="0.25">
      <c r="A88" s="1"/>
      <c r="B88" s="1"/>
      <c r="C88" s="1"/>
      <c r="D88" s="199"/>
      <c r="E88" s="1"/>
      <c r="F88" s="1"/>
      <c r="G88" s="311"/>
      <c r="H88" s="1"/>
      <c r="I88" s="1"/>
      <c r="J88" s="142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 x14ac:dyDescent="0.25">
      <c r="A89" s="1"/>
      <c r="B89" s="1"/>
      <c r="C89" s="1"/>
      <c r="D89" s="199"/>
      <c r="E89" s="1"/>
      <c r="F89" s="1"/>
      <c r="G89" s="311"/>
      <c r="H89" s="1"/>
      <c r="I89" s="1"/>
      <c r="J89" s="142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 x14ac:dyDescent="0.25">
      <c r="A90" s="1"/>
      <c r="B90" s="1"/>
      <c r="C90" s="1"/>
      <c r="D90" s="199"/>
      <c r="E90" s="1"/>
      <c r="F90" s="1"/>
      <c r="G90" s="311"/>
      <c r="H90" s="1"/>
      <c r="I90" s="1"/>
      <c r="J90" s="142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 x14ac:dyDescent="0.25">
      <c r="A91" s="1"/>
      <c r="B91" s="1"/>
      <c r="C91" s="1"/>
      <c r="D91" s="199"/>
      <c r="E91" s="1"/>
      <c r="F91" s="1"/>
      <c r="G91" s="311"/>
      <c r="H91" s="1"/>
      <c r="I91" s="1"/>
      <c r="J91" s="142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 x14ac:dyDescent="0.25">
      <c r="A92" s="1"/>
      <c r="B92" s="1"/>
      <c r="C92" s="1"/>
      <c r="D92" s="199"/>
      <c r="E92" s="1"/>
      <c r="F92" s="1"/>
      <c r="G92" s="311"/>
      <c r="H92" s="1"/>
      <c r="I92" s="1"/>
      <c r="J92" s="142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 x14ac:dyDescent="0.25">
      <c r="A93" s="1"/>
      <c r="B93" s="1"/>
      <c r="C93" s="1"/>
      <c r="D93" s="199"/>
      <c r="E93" s="1"/>
      <c r="F93" s="1"/>
      <c r="G93" s="311"/>
      <c r="H93" s="1"/>
      <c r="I93" s="1"/>
      <c r="J93" s="142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 x14ac:dyDescent="0.25">
      <c r="A94" s="1"/>
      <c r="B94" s="1"/>
      <c r="C94" s="1"/>
      <c r="D94" s="199"/>
      <c r="E94" s="1"/>
      <c r="F94" s="1"/>
      <c r="G94" s="311"/>
      <c r="H94" s="1"/>
      <c r="I94" s="1"/>
      <c r="J94" s="142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 x14ac:dyDescent="0.25">
      <c r="A95" s="1"/>
      <c r="B95" s="1"/>
      <c r="C95" s="1"/>
      <c r="D95" s="199"/>
      <c r="E95" s="1"/>
      <c r="F95" s="1"/>
      <c r="G95" s="311"/>
      <c r="H95" s="1"/>
      <c r="I95" s="1"/>
      <c r="J95" s="142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 x14ac:dyDescent="0.25">
      <c r="A96" s="1"/>
      <c r="B96" s="1"/>
      <c r="C96" s="1"/>
      <c r="D96" s="199"/>
      <c r="E96" s="1"/>
      <c r="F96" s="1"/>
      <c r="G96" s="311"/>
      <c r="H96" s="1"/>
      <c r="I96" s="1"/>
      <c r="J96" s="142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 x14ac:dyDescent="0.25">
      <c r="A97" s="1"/>
      <c r="B97" s="1"/>
      <c r="C97" s="1"/>
      <c r="D97" s="199"/>
      <c r="E97" s="1"/>
      <c r="F97" s="1"/>
      <c r="G97" s="311"/>
      <c r="H97" s="1"/>
      <c r="I97" s="1"/>
      <c r="J97" s="142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 x14ac:dyDescent="0.25">
      <c r="A98" s="1"/>
      <c r="B98" s="1"/>
      <c r="C98" s="1"/>
      <c r="D98" s="199"/>
      <c r="E98" s="1"/>
      <c r="F98" s="1"/>
      <c r="G98" s="311"/>
      <c r="H98" s="1"/>
      <c r="I98" s="1"/>
      <c r="J98" s="142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 x14ac:dyDescent="0.25">
      <c r="A99" s="1"/>
      <c r="B99" s="1"/>
      <c r="C99" s="1"/>
      <c r="D99" s="199"/>
      <c r="E99" s="1"/>
      <c r="F99" s="1"/>
      <c r="G99" s="311"/>
      <c r="H99" s="1"/>
      <c r="I99" s="1"/>
      <c r="J99" s="142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 x14ac:dyDescent="0.25">
      <c r="A100" s="1"/>
      <c r="B100" s="1"/>
      <c r="C100" s="1"/>
      <c r="D100" s="199"/>
      <c r="E100" s="1"/>
      <c r="F100" s="1"/>
      <c r="G100" s="311"/>
      <c r="H100" s="1"/>
      <c r="I100" s="1"/>
      <c r="J100" s="142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 x14ac:dyDescent="0.25">
      <c r="A101" s="1"/>
      <c r="B101" s="1"/>
      <c r="C101" s="1"/>
      <c r="D101" s="199"/>
      <c r="E101" s="1"/>
      <c r="F101" s="1"/>
      <c r="G101" s="311"/>
      <c r="H101" s="1"/>
      <c r="I101" s="1"/>
      <c r="J101" s="142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 x14ac:dyDescent="0.25">
      <c r="A102" s="1"/>
      <c r="B102" s="1"/>
      <c r="C102" s="1"/>
      <c r="D102" s="199"/>
      <c r="E102" s="1"/>
      <c r="F102" s="1"/>
      <c r="G102" s="311"/>
      <c r="H102" s="1"/>
      <c r="I102" s="1"/>
      <c r="J102" s="142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 x14ac:dyDescent="0.25">
      <c r="A103" s="1"/>
      <c r="B103" s="1"/>
      <c r="C103" s="1"/>
      <c r="D103" s="199"/>
      <c r="E103" s="1"/>
      <c r="F103" s="1"/>
      <c r="G103" s="311"/>
      <c r="H103" s="1"/>
      <c r="I103" s="1"/>
      <c r="J103" s="142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 x14ac:dyDescent="0.25">
      <c r="A104" s="1"/>
      <c r="B104" s="1"/>
      <c r="C104" s="1"/>
      <c r="D104" s="199"/>
      <c r="E104" s="1"/>
      <c r="F104" s="1"/>
      <c r="G104" s="311"/>
      <c r="H104" s="1"/>
      <c r="I104" s="1"/>
      <c r="J104" s="142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 x14ac:dyDescent="0.25">
      <c r="A105" s="1"/>
      <c r="B105" s="1"/>
      <c r="C105" s="1"/>
      <c r="D105" s="199"/>
      <c r="E105" s="1"/>
      <c r="F105" s="1"/>
      <c r="G105" s="311"/>
      <c r="H105" s="1"/>
      <c r="I105" s="1"/>
      <c r="J105" s="142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 x14ac:dyDescent="0.25">
      <c r="A106" s="1"/>
      <c r="B106" s="1"/>
      <c r="C106" s="1"/>
      <c r="D106" s="199"/>
      <c r="E106" s="1"/>
      <c r="F106" s="1"/>
      <c r="G106" s="311"/>
      <c r="H106" s="1"/>
      <c r="I106" s="1"/>
      <c r="J106" s="142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 x14ac:dyDescent="0.25">
      <c r="A107" s="1"/>
      <c r="B107" s="1"/>
      <c r="C107" s="1"/>
      <c r="D107" s="199"/>
      <c r="E107" s="1"/>
      <c r="F107" s="1"/>
      <c r="G107" s="311"/>
      <c r="H107" s="1"/>
      <c r="I107" s="1"/>
      <c r="J107" s="142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 x14ac:dyDescent="0.25">
      <c r="A108" s="1"/>
      <c r="B108" s="1"/>
      <c r="C108" s="1"/>
      <c r="D108" s="199"/>
      <c r="E108" s="1"/>
      <c r="F108" s="1"/>
      <c r="G108" s="311"/>
      <c r="H108" s="1"/>
      <c r="I108" s="1"/>
      <c r="J108" s="142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 x14ac:dyDescent="0.25">
      <c r="A109" s="1"/>
      <c r="B109" s="1"/>
      <c r="C109" s="1"/>
      <c r="D109" s="199"/>
      <c r="E109" s="1"/>
      <c r="F109" s="1"/>
      <c r="G109" s="311"/>
      <c r="H109" s="1"/>
      <c r="I109" s="1"/>
      <c r="J109" s="142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 x14ac:dyDescent="0.25">
      <c r="A110" s="1"/>
      <c r="B110" s="1"/>
      <c r="C110" s="1"/>
      <c r="D110" s="199"/>
      <c r="E110" s="1"/>
      <c r="F110" s="1"/>
      <c r="G110" s="311"/>
      <c r="H110" s="1"/>
      <c r="I110" s="1"/>
      <c r="J110" s="142"/>
      <c r="K110" s="1"/>
      <c r="L110" s="1"/>
      <c r="M110" s="1"/>
      <c r="N110" s="1"/>
      <c r="O110" s="1"/>
      <c r="P110" s="1"/>
      <c r="Q110" s="1"/>
      <c r="R110" s="1"/>
      <c r="S110" s="1"/>
      <c r="T110" s="1"/>
    </row>
  </sheetData>
  <mergeCells count="21">
    <mergeCell ref="B67:C67"/>
    <mergeCell ref="K4:K5"/>
    <mergeCell ref="L4:L5"/>
    <mergeCell ref="B4:B5"/>
    <mergeCell ref="C4:C5"/>
    <mergeCell ref="F4:G5"/>
    <mergeCell ref="M4:M5"/>
    <mergeCell ref="D4:D5"/>
    <mergeCell ref="E2:S2"/>
    <mergeCell ref="S4:S5"/>
    <mergeCell ref="P4:P5"/>
    <mergeCell ref="E3:S3"/>
    <mergeCell ref="E4:E5"/>
    <mergeCell ref="H4:H5"/>
    <mergeCell ref="I4:I5"/>
    <mergeCell ref="Q4:Q5"/>
    <mergeCell ref="R4:R5"/>
    <mergeCell ref="N4:N5"/>
    <mergeCell ref="O4:O5"/>
    <mergeCell ref="B2:D2"/>
    <mergeCell ref="B3:D3"/>
  </mergeCells>
  <pageMargins left="0.51181102362204722" right="0.51181102362204722" top="0.78740157480314965" bottom="0.78740157480314965" header="0" footer="0"/>
  <pageSetup paperSize="9" scale="35" orientation="portrait" r:id="rId1"/>
  <ignoredErrors>
    <ignoredError sqref="M27:M46 M7 M9 M11 M13 M17 M25 M19:M20 M22:M23 M15 J2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BCA4-28B9-4F80-A0F1-E58686F731D2}">
  <sheetPr>
    <pageSetUpPr fitToPage="1"/>
  </sheetPr>
  <dimension ref="A1:O101"/>
  <sheetViews>
    <sheetView showGridLines="0" zoomScale="70" zoomScaleNormal="70" workbookViewId="0">
      <pane ySplit="9" topLeftCell="A10" activePane="bottomLeft" state="frozen"/>
      <selection activeCell="H18" sqref="H18:I18"/>
      <selection pane="bottomLeft" activeCell="D14" sqref="D14"/>
    </sheetView>
  </sheetViews>
  <sheetFormatPr defaultColWidth="14.42578125" defaultRowHeight="15" customHeight="1" x14ac:dyDescent="0.25"/>
  <cols>
    <col min="1" max="1" width="8.7109375" style="221" customWidth="1"/>
    <col min="2" max="2" width="2.42578125" style="221" customWidth="1"/>
    <col min="3" max="3" width="42.28515625" style="221" customWidth="1"/>
    <col min="4" max="4" width="25" style="221" customWidth="1"/>
    <col min="5" max="5" width="15.140625" style="221" customWidth="1"/>
    <col min="6" max="6" width="25.42578125" style="221" bestFit="1" customWidth="1"/>
    <col min="7" max="7" width="9.42578125" style="221" bestFit="1" customWidth="1"/>
    <col min="8" max="8" width="15.85546875" style="221" bestFit="1" customWidth="1"/>
    <col min="9" max="9" width="9.42578125" style="221" bestFit="1" customWidth="1"/>
    <col min="10" max="10" width="18.85546875" style="221" customWidth="1"/>
    <col min="11" max="11" width="10.7109375" style="221" bestFit="1" customWidth="1"/>
    <col min="12" max="12" width="25" style="221" bestFit="1" customWidth="1"/>
    <col min="13" max="13" width="9.42578125" style="221" bestFit="1" customWidth="1"/>
    <col min="14" max="14" width="26" style="221" customWidth="1"/>
    <col min="15" max="15" width="14.42578125" style="221" customWidth="1"/>
    <col min="16" max="16384" width="14.42578125" style="221"/>
  </cols>
  <sheetData>
    <row r="1" spans="1:15" x14ac:dyDescent="0.25">
      <c r="A1" s="224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</row>
    <row r="2" spans="1:15" ht="15" customHeight="1" x14ac:dyDescent="0.25">
      <c r="A2" s="224"/>
      <c r="B2" s="224"/>
      <c r="C2" s="10" t="str">
        <f>+'Preço SFCR-FRONIUS-BYD'!C2</f>
        <v>Versão: Maio/2020</v>
      </c>
      <c r="D2" s="7"/>
      <c r="E2" s="7"/>
      <c r="F2" s="224"/>
      <c r="G2" s="224"/>
      <c r="H2" s="224"/>
      <c r="I2" s="224"/>
      <c r="J2" s="224"/>
      <c r="K2" s="224"/>
      <c r="L2" s="224"/>
      <c r="M2" s="224"/>
      <c r="N2" s="224" t="s">
        <v>292</v>
      </c>
      <c r="O2" s="308">
        <f>+(O3/1000)*(O4/1000)</f>
        <v>2.118312</v>
      </c>
    </row>
    <row r="3" spans="1:15" ht="15" customHeight="1" x14ac:dyDescent="0.25">
      <c r="A3" s="224"/>
      <c r="B3" s="280"/>
      <c r="C3" s="10"/>
      <c r="D3" s="12"/>
      <c r="E3" s="279"/>
      <c r="F3" s="279"/>
      <c r="G3" s="279"/>
      <c r="H3" s="279"/>
      <c r="I3" s="279"/>
      <c r="J3" s="224"/>
      <c r="K3" s="224"/>
      <c r="L3" s="224"/>
      <c r="M3" s="224"/>
      <c r="N3" s="224" t="s">
        <v>293</v>
      </c>
      <c r="O3" s="224">
        <v>1868</v>
      </c>
    </row>
    <row r="4" spans="1:15" ht="15" customHeight="1" x14ac:dyDescent="0.25">
      <c r="A4" s="224"/>
      <c r="B4" s="280"/>
      <c r="C4" s="10"/>
      <c r="D4" s="279"/>
      <c r="E4" s="279"/>
      <c r="F4" s="279"/>
      <c r="G4" s="279"/>
      <c r="H4" s="279"/>
      <c r="I4" s="279"/>
      <c r="J4" s="224"/>
      <c r="K4" s="224"/>
      <c r="L4" s="224"/>
      <c r="M4" s="224"/>
      <c r="N4" s="224" t="s">
        <v>294</v>
      </c>
      <c r="O4" s="224">
        <v>1134</v>
      </c>
    </row>
    <row r="5" spans="1:15" ht="15" customHeight="1" x14ac:dyDescent="0.25">
      <c r="A5" s="224"/>
      <c r="B5" s="280"/>
      <c r="C5" s="10"/>
      <c r="D5" s="12"/>
      <c r="E5" s="279"/>
      <c r="F5" s="279"/>
      <c r="G5" s="279"/>
      <c r="H5" s="279"/>
      <c r="I5" s="279"/>
      <c r="J5" s="224"/>
      <c r="K5" s="224"/>
      <c r="L5" s="224"/>
      <c r="M5" s="224"/>
      <c r="N5" s="224"/>
      <c r="O5" s="224"/>
    </row>
    <row r="6" spans="1:15" ht="15" customHeight="1" x14ac:dyDescent="0.25">
      <c r="A6" s="224"/>
      <c r="B6" s="280"/>
      <c r="C6" s="10"/>
      <c r="D6" s="279"/>
      <c r="E6" s="279"/>
      <c r="F6" s="279"/>
      <c r="G6" s="279"/>
      <c r="H6" s="279"/>
      <c r="I6" s="279"/>
      <c r="J6" s="224"/>
      <c r="K6" s="224"/>
      <c r="L6" s="224"/>
      <c r="M6" s="224"/>
      <c r="N6" s="224"/>
      <c r="O6" s="224"/>
    </row>
    <row r="7" spans="1:15" ht="15" customHeight="1" thickBot="1" x14ac:dyDescent="0.3">
      <c r="A7" s="224"/>
      <c r="B7" s="280"/>
      <c r="C7" s="279"/>
      <c r="D7" s="279"/>
      <c r="E7" s="279"/>
      <c r="F7" s="279"/>
      <c r="G7" s="99"/>
      <c r="H7" s="280"/>
      <c r="I7" s="280"/>
      <c r="J7" s="100"/>
      <c r="K7" s="100"/>
      <c r="L7" s="100"/>
      <c r="M7" s="100"/>
      <c r="N7" s="100"/>
      <c r="O7" s="224"/>
    </row>
    <row r="8" spans="1:15" ht="19.5" thickBot="1" x14ac:dyDescent="0.35">
      <c r="A8" s="224"/>
      <c r="B8" s="224"/>
      <c r="C8" s="377" t="s">
        <v>14</v>
      </c>
      <c r="D8" s="480" t="s">
        <v>254</v>
      </c>
      <c r="E8" s="481"/>
      <c r="F8" s="481"/>
      <c r="G8" s="482"/>
      <c r="H8" s="267"/>
      <c r="I8" s="268"/>
      <c r="J8" s="13"/>
      <c r="K8" s="13"/>
      <c r="L8" s="13"/>
      <c r="M8" s="14"/>
      <c r="N8" s="224"/>
      <c r="O8" s="224"/>
    </row>
    <row r="9" spans="1:15" ht="21" customHeight="1" thickBot="1" x14ac:dyDescent="0.35">
      <c r="A9" s="224"/>
      <c r="B9" s="224"/>
      <c r="C9" s="378"/>
      <c r="D9" s="249" t="s">
        <v>16</v>
      </c>
      <c r="E9" s="250" t="e">
        <f>+D10</f>
        <v>#DIV/0!</v>
      </c>
      <c r="F9" s="251" t="s">
        <v>16</v>
      </c>
      <c r="G9" s="252">
        <f>+F10</f>
        <v>0</v>
      </c>
      <c r="H9" s="259" t="s">
        <v>16</v>
      </c>
      <c r="I9" s="260">
        <f>+H10</f>
        <v>0</v>
      </c>
      <c r="J9" s="184" t="s">
        <v>16</v>
      </c>
      <c r="K9" s="185">
        <f>+J10</f>
        <v>0</v>
      </c>
      <c r="L9" s="186" t="s">
        <v>16</v>
      </c>
      <c r="M9" s="187">
        <f>+L10</f>
        <v>0</v>
      </c>
      <c r="N9" s="22"/>
      <c r="O9" s="224"/>
    </row>
    <row r="10" spans="1:15" ht="15.75" customHeight="1" x14ac:dyDescent="0.25">
      <c r="A10" s="224"/>
      <c r="B10" s="224"/>
      <c r="C10" s="23" t="s">
        <v>17</v>
      </c>
      <c r="D10" s="382" t="e">
        <f>+D11*D13/1000</f>
        <v>#DIV/0!</v>
      </c>
      <c r="E10" s="349"/>
      <c r="F10" s="383">
        <f>+F11*F13/1000</f>
        <v>0</v>
      </c>
      <c r="G10" s="349"/>
      <c r="H10" s="384">
        <f>+H11*H13/1000</f>
        <v>0</v>
      </c>
      <c r="I10" s="349"/>
      <c r="J10" s="348">
        <f>+J11*J13/1000</f>
        <v>0</v>
      </c>
      <c r="K10" s="349"/>
      <c r="L10" s="455">
        <f>+L11*L13/1000</f>
        <v>0</v>
      </c>
      <c r="M10" s="456"/>
      <c r="N10" s="2"/>
      <c r="O10" s="224"/>
    </row>
    <row r="11" spans="1:15" ht="15.75" customHeight="1" x14ac:dyDescent="0.25">
      <c r="A11" s="224"/>
      <c r="B11" s="224"/>
      <c r="C11" s="24" t="s">
        <v>18</v>
      </c>
      <c r="D11" s="374" t="e">
        <f>+VLOOKUP(MIN('GROWATT-JINKO 460Wp'!D:D),'GROWATT-JINKO 460Wp'!D:E,2,0)</f>
        <v>#DIV/0!</v>
      </c>
      <c r="E11" s="338"/>
      <c r="F11" s="375"/>
      <c r="G11" s="338"/>
      <c r="H11" s="376"/>
      <c r="I11" s="338"/>
      <c r="J11" s="352"/>
      <c r="K11" s="338"/>
      <c r="L11" s="353"/>
      <c r="M11" s="354"/>
      <c r="N11" s="2"/>
      <c r="O11" s="224"/>
    </row>
    <row r="12" spans="1:15" ht="15.75" customHeight="1" x14ac:dyDescent="0.25">
      <c r="A12" s="224"/>
      <c r="B12" s="224"/>
      <c r="C12" s="25" t="s">
        <v>19</v>
      </c>
      <c r="D12" s="367" t="s">
        <v>237</v>
      </c>
      <c r="E12" s="338"/>
      <c r="F12" s="368" t="str">
        <f t="shared" ref="F12:F13" si="0">+D12</f>
        <v>JINKO MONO - TIGER PRO</v>
      </c>
      <c r="G12" s="338"/>
      <c r="H12" s="369" t="str">
        <f>+F12</f>
        <v>JINKO MONO - TIGER PRO</v>
      </c>
      <c r="I12" s="338"/>
      <c r="J12" s="370" t="str">
        <f>+H12</f>
        <v>JINKO MONO - TIGER PRO</v>
      </c>
      <c r="K12" s="338"/>
      <c r="L12" s="363" t="str">
        <f>+J12</f>
        <v>JINKO MONO - TIGER PRO</v>
      </c>
      <c r="M12" s="354"/>
      <c r="N12" s="2"/>
      <c r="O12" s="224"/>
    </row>
    <row r="13" spans="1:15" ht="15.75" customHeight="1" x14ac:dyDescent="0.25">
      <c r="A13" s="224"/>
      <c r="B13" s="224"/>
      <c r="C13" s="24" t="s">
        <v>21</v>
      </c>
      <c r="D13" s="372">
        <v>460</v>
      </c>
      <c r="E13" s="338"/>
      <c r="F13" s="375">
        <f t="shared" si="0"/>
        <v>460</v>
      </c>
      <c r="G13" s="338"/>
      <c r="H13" s="376">
        <f>+D13</f>
        <v>460</v>
      </c>
      <c r="I13" s="338"/>
      <c r="J13" s="352">
        <f>+D13</f>
        <v>460</v>
      </c>
      <c r="K13" s="338"/>
      <c r="L13" s="364">
        <f>+D13</f>
        <v>460</v>
      </c>
      <c r="M13" s="354"/>
      <c r="N13" s="2"/>
      <c r="O13" s="224"/>
    </row>
    <row r="14" spans="1:15" ht="15.75" customHeight="1" x14ac:dyDescent="0.25">
      <c r="A14" s="224"/>
      <c r="B14" s="224"/>
      <c r="C14" s="25" t="s">
        <v>48</v>
      </c>
      <c r="D14" s="26" t="e">
        <f>+IF(D11="","",VLOOKUP(D11,'GROWATT-JINKO 460Wp'!$E$6:$H$73,4,0))</f>
        <v>#DIV/0!</v>
      </c>
      <c r="E14" s="27">
        <v>1</v>
      </c>
      <c r="F14" s="28" t="str">
        <f>+IF(F11="","",VLOOKUP(F11,'GROWATT-JINKO 460Wp'!$E$6:$H$73,4,0))</f>
        <v/>
      </c>
      <c r="G14" s="29">
        <v>1</v>
      </c>
      <c r="H14" s="30" t="str">
        <f>+IF(H11="","",VLOOKUP(H11,'GROWATT-JINKO 460Wp'!$E$6:$H$73,4,0))</f>
        <v/>
      </c>
      <c r="I14" s="31">
        <v>1</v>
      </c>
      <c r="J14" s="32" t="str">
        <f>+IF(J11="","",VLOOKUP(J11,'GROWATT-JINKO 460Wp'!$E$6:$H$73,4,0))</f>
        <v/>
      </c>
      <c r="K14" s="33">
        <v>1</v>
      </c>
      <c r="L14" s="34" t="str">
        <f>+IF(L11="","",VLOOKUP(L11,'GROWATT-JINKO 460Wp'!$E$6:$H$73,4,0))</f>
        <v/>
      </c>
      <c r="M14" s="35">
        <v>1</v>
      </c>
      <c r="N14" s="2"/>
      <c r="O14" s="224"/>
    </row>
    <row r="15" spans="1:15" ht="15.75" hidden="1" customHeight="1" x14ac:dyDescent="0.25">
      <c r="A15" s="224"/>
      <c r="B15" s="224"/>
      <c r="C15" s="36" t="s">
        <v>23</v>
      </c>
      <c r="D15" s="37" t="s">
        <v>24</v>
      </c>
      <c r="E15" s="38"/>
      <c r="F15" s="39" t="s">
        <v>24</v>
      </c>
      <c r="G15" s="40"/>
      <c r="H15" s="41" t="s">
        <v>24</v>
      </c>
      <c r="I15" s="42"/>
      <c r="J15" s="43" t="s">
        <v>24</v>
      </c>
      <c r="K15" s="44"/>
      <c r="L15" s="45" t="s">
        <v>24</v>
      </c>
      <c r="M15" s="46">
        <v>0</v>
      </c>
      <c r="N15" s="2"/>
      <c r="O15" s="224"/>
    </row>
    <row r="16" spans="1:15" ht="15.75" customHeight="1" x14ac:dyDescent="0.25">
      <c r="A16" s="224"/>
      <c r="B16" s="224"/>
      <c r="C16" s="24" t="s">
        <v>25</v>
      </c>
      <c r="D16" s="373" t="e">
        <f>+D11*$O$2</f>
        <v>#DIV/0!</v>
      </c>
      <c r="E16" s="338"/>
      <c r="F16" s="472">
        <f>+F11*$O$2</f>
        <v>0</v>
      </c>
      <c r="G16" s="473"/>
      <c r="H16" s="474">
        <f>+H11*$O$2</f>
        <v>0</v>
      </c>
      <c r="I16" s="475"/>
      <c r="J16" s="476">
        <f>+J11*$O$2</f>
        <v>0</v>
      </c>
      <c r="K16" s="477"/>
      <c r="L16" s="478">
        <f>+L11*$O$2</f>
        <v>0</v>
      </c>
      <c r="M16" s="479"/>
      <c r="N16" s="2"/>
      <c r="O16" s="224"/>
    </row>
    <row r="17" spans="1:15" ht="15.75" customHeight="1" x14ac:dyDescent="0.25">
      <c r="A17" s="224"/>
      <c r="B17" s="224"/>
      <c r="C17" s="48" t="s">
        <v>26</v>
      </c>
      <c r="D17" s="371" t="e">
        <f>IF(E9=4.1,IF(D14="MIC 3.0KW",D11*400*$D$45/1000,D11*D13*$D$45/1000),D11*D13*$D$45/1000)</f>
        <v>#DIV/0!</v>
      </c>
      <c r="E17" s="349"/>
      <c r="F17" s="357">
        <f>IF(G9=4.1,IF(F14="MIC 3.0KW",F11*400*$D$45/1000,F11*F13*$D$45/1000),F11*F13*$D$45/1000)</f>
        <v>0</v>
      </c>
      <c r="G17" s="349"/>
      <c r="H17" s="358">
        <f>IF(I9=4.1,IF(H14="MIC 3.0KW",H11*400*$D$45/1000,H11*H13*$D$45/1000),H11*H13*$D$45/1000)</f>
        <v>0</v>
      </c>
      <c r="I17" s="349"/>
      <c r="J17" s="359">
        <f>IF(K9=4.1,IF(J14="MIC 3.0KW",J11*400*$D$45/1000,J11*J13*$D$45/1000),J11*J13*$D$45/1000)</f>
        <v>0</v>
      </c>
      <c r="K17" s="360"/>
      <c r="L17" s="361">
        <f>IF(M9=4.1,IF(L14="MIC 3.0KW",L11*400*$D$45/1000,L11*L13*$D$45/1000),L11*L13*$D$45/1000)</f>
        <v>0</v>
      </c>
      <c r="M17" s="454"/>
      <c r="N17" s="2"/>
      <c r="O17" s="224"/>
    </row>
    <row r="18" spans="1:15" ht="15.75" customHeight="1" x14ac:dyDescent="0.25">
      <c r="A18" s="224"/>
      <c r="B18" s="224"/>
      <c r="C18" s="24" t="s">
        <v>27</v>
      </c>
      <c r="D18" s="373" t="e">
        <f>+D17*12</f>
        <v>#DIV/0!</v>
      </c>
      <c r="E18" s="338"/>
      <c r="F18" s="355">
        <f>+F17*12</f>
        <v>0</v>
      </c>
      <c r="G18" s="338"/>
      <c r="H18" s="356">
        <f>+H17*12</f>
        <v>0</v>
      </c>
      <c r="I18" s="338"/>
      <c r="J18" s="365">
        <f>+J17*12</f>
        <v>0</v>
      </c>
      <c r="K18" s="338"/>
      <c r="L18" s="366">
        <f>+L17*12</f>
        <v>0</v>
      </c>
      <c r="M18" s="354"/>
      <c r="N18" s="2"/>
      <c r="O18" s="224"/>
    </row>
    <row r="19" spans="1:15" ht="15.75" customHeight="1" thickBot="1" x14ac:dyDescent="0.3">
      <c r="A19" s="224"/>
      <c r="B19" s="224"/>
      <c r="C19" s="50" t="s">
        <v>28</v>
      </c>
      <c r="D19" s="390" t="e">
        <f>+D17/$D$43</f>
        <v>#DIV/0!</v>
      </c>
      <c r="E19" s="391"/>
      <c r="F19" s="392" t="e">
        <f>+F17/$D$43</f>
        <v>#DIV/0!</v>
      </c>
      <c r="G19" s="391"/>
      <c r="H19" s="393" t="e">
        <f>+H17/$D$43</f>
        <v>#DIV/0!</v>
      </c>
      <c r="I19" s="391"/>
      <c r="J19" s="394" t="e">
        <f>+J17/$D$43</f>
        <v>#DIV/0!</v>
      </c>
      <c r="K19" s="391"/>
      <c r="L19" s="453" t="e">
        <f>+L17/$D$43</f>
        <v>#DIV/0!</v>
      </c>
      <c r="M19" s="420"/>
      <c r="N19" s="2"/>
      <c r="O19" s="224"/>
    </row>
    <row r="20" spans="1:15" ht="18.75" customHeight="1" thickBot="1" x14ac:dyDescent="0.4">
      <c r="A20" s="224"/>
      <c r="B20" s="224"/>
      <c r="C20" s="51"/>
      <c r="D20" s="52"/>
      <c r="E20" s="53"/>
      <c r="F20" s="223"/>
      <c r="G20" s="2"/>
      <c r="H20" s="223"/>
      <c r="I20" s="2"/>
      <c r="J20" s="55"/>
      <c r="K20" s="224"/>
      <c r="L20" s="223"/>
      <c r="M20" s="2"/>
      <c r="N20" s="2"/>
      <c r="O20" s="224"/>
    </row>
    <row r="21" spans="1:15" ht="43.5" hidden="1" customHeight="1" thickBot="1" x14ac:dyDescent="0.3">
      <c r="A21" s="224"/>
      <c r="B21" s="224"/>
      <c r="C21" s="188" t="s">
        <v>220</v>
      </c>
      <c r="D21" s="452" t="e">
        <f>+IF(D11="","",VLOOKUP(D11,'GROWATT-JINKO 460Wp'!$E$6:$F$73,2,0))</f>
        <v>#DIV/0!</v>
      </c>
      <c r="E21" s="398"/>
      <c r="F21" s="397" t="str">
        <f>+IF(F11="","",VLOOKUP(F11,'GROWATT-JINKO 460Wp'!$E$6:$F$73,2,0))</f>
        <v/>
      </c>
      <c r="G21" s="398"/>
      <c r="H21" s="399" t="str">
        <f>+IF(H11="","",VLOOKUP(H11,'GROWATT-JINKO 460Wp'!$E$6:$F$73,2,0))</f>
        <v/>
      </c>
      <c r="I21" s="398"/>
      <c r="J21" s="400" t="str">
        <f>+IF(J11="","",VLOOKUP(J11,'GROWATT-JINKO 460Wp'!$E$6:$F$73,2,0))</f>
        <v/>
      </c>
      <c r="K21" s="398"/>
      <c r="L21" s="401" t="str">
        <f>+IF(L11="","",VLOOKUP(L11,'GROWATT-JINKO 460Wp'!$E$6:$F$73,2,0))</f>
        <v/>
      </c>
      <c r="M21" s="381"/>
      <c r="N21" s="2"/>
      <c r="O21" s="224"/>
    </row>
    <row r="22" spans="1:15" ht="43.5" customHeight="1" thickBot="1" x14ac:dyDescent="0.3">
      <c r="A22" s="224"/>
      <c r="B22" s="224"/>
      <c r="C22" s="189" t="s">
        <v>29</v>
      </c>
      <c r="D22" s="452" t="e">
        <f>+ROUND(D21+(D21*$H$44),0)</f>
        <v>#DIV/0!</v>
      </c>
      <c r="E22" s="398"/>
      <c r="F22" s="397" t="e">
        <f>+ROUND(F21+(F21*$H$44),0)</f>
        <v>#VALUE!</v>
      </c>
      <c r="G22" s="398"/>
      <c r="H22" s="399" t="e">
        <f>+ROUND(H21+(H21*$H$44),0)</f>
        <v>#VALUE!</v>
      </c>
      <c r="I22" s="398"/>
      <c r="J22" s="400" t="e">
        <f>+ROUND(J21+(J21*$H$44),0)</f>
        <v>#VALUE!</v>
      </c>
      <c r="K22" s="398"/>
      <c r="L22" s="401" t="e">
        <f>+ROUND(L21+(L21*$H$44),0)</f>
        <v>#VALUE!</v>
      </c>
      <c r="M22" s="381"/>
      <c r="N22" s="2"/>
      <c r="O22" s="224"/>
    </row>
    <row r="23" spans="1:15" ht="12.75" customHeight="1" x14ac:dyDescent="0.35">
      <c r="A23" s="224"/>
      <c r="B23" s="224"/>
      <c r="C23" s="51"/>
      <c r="D23" s="56"/>
      <c r="E23" s="57"/>
      <c r="F23" s="56"/>
      <c r="G23" s="57"/>
      <c r="H23" s="56"/>
      <c r="I23" s="57"/>
      <c r="J23" s="223"/>
      <c r="K23" s="58"/>
      <c r="L23" s="223"/>
      <c r="M23" s="58"/>
      <c r="N23" s="2"/>
      <c r="O23" s="224"/>
    </row>
    <row r="24" spans="1:15" ht="15.75" customHeight="1" thickBot="1" x14ac:dyDescent="0.4">
      <c r="A24" s="224"/>
      <c r="B24" s="224"/>
      <c r="C24" s="214" t="s">
        <v>30</v>
      </c>
      <c r="D24" s="279"/>
      <c r="E24" s="279"/>
      <c r="F24" s="279"/>
      <c r="G24" s="279"/>
      <c r="H24" s="279"/>
      <c r="I24" s="57"/>
      <c r="J24" s="223"/>
      <c r="K24" s="58"/>
      <c r="L24" s="223"/>
      <c r="M24" s="58"/>
      <c r="N24" s="2"/>
      <c r="O24" s="224"/>
    </row>
    <row r="25" spans="1:15" ht="15" customHeight="1" x14ac:dyDescent="0.25">
      <c r="A25" s="224"/>
      <c r="B25" s="224"/>
      <c r="C25" s="232" t="s">
        <v>31</v>
      </c>
      <c r="D25" s="445" t="e">
        <f>+$D$42*D22</f>
        <v>#DIV/0!</v>
      </c>
      <c r="E25" s="446"/>
      <c r="F25" s="447" t="e">
        <f t="shared" ref="F25" si="1">+$D$42*F22</f>
        <v>#VALUE!</v>
      </c>
      <c r="G25" s="446"/>
      <c r="H25" s="448" t="e">
        <f t="shared" ref="H25" si="2">+$D$42*H22</f>
        <v>#VALUE!</v>
      </c>
      <c r="I25" s="446"/>
      <c r="J25" s="449" t="e">
        <f t="shared" ref="J25" si="3">+$D$42*J22</f>
        <v>#VALUE!</v>
      </c>
      <c r="K25" s="446"/>
      <c r="L25" s="450" t="e">
        <f t="shared" ref="L25" si="4">+$D$42*L22</f>
        <v>#VALUE!</v>
      </c>
      <c r="M25" s="451"/>
      <c r="N25" s="60" t="s">
        <v>32</v>
      </c>
      <c r="O25" s="224"/>
    </row>
    <row r="26" spans="1:15" ht="15" hidden="1" customHeight="1" x14ac:dyDescent="0.25">
      <c r="A26" s="224"/>
      <c r="B26" s="224"/>
      <c r="C26" s="233"/>
      <c r="D26" s="430" t="e">
        <f>+D22-D25</f>
        <v>#DIV/0!</v>
      </c>
      <c r="E26" s="431"/>
      <c r="F26" s="432" t="e">
        <f t="shared" ref="F26" si="5">+F22-F25</f>
        <v>#VALUE!</v>
      </c>
      <c r="G26" s="431"/>
      <c r="H26" s="433" t="e">
        <f t="shared" ref="H26" si="6">+H22-H25</f>
        <v>#VALUE!</v>
      </c>
      <c r="I26" s="431"/>
      <c r="J26" s="434" t="e">
        <f t="shared" ref="J26" si="7">+J22-J25</f>
        <v>#VALUE!</v>
      </c>
      <c r="K26" s="431"/>
      <c r="L26" s="435" t="e">
        <f t="shared" ref="L26" si="8">+L22-L25</f>
        <v>#VALUE!</v>
      </c>
      <c r="M26" s="436"/>
      <c r="N26" s="62"/>
      <c r="O26" s="224"/>
    </row>
    <row r="27" spans="1:15" ht="15" customHeight="1" x14ac:dyDescent="0.25">
      <c r="A27" s="224"/>
      <c r="B27" s="224"/>
      <c r="C27" s="234">
        <f>+'Preço SFCR-FRONIUS-BYD'!C27</f>
        <v>12</v>
      </c>
      <c r="D27" s="430" t="e">
        <f>+PMT(N27,C27,-$D$26)</f>
        <v>#DIV/0!</v>
      </c>
      <c r="E27" s="431"/>
      <c r="F27" s="432" t="e">
        <f>+PMT(N27,C27,-$F$26)</f>
        <v>#VALUE!</v>
      </c>
      <c r="G27" s="431"/>
      <c r="H27" s="433" t="e">
        <f>+PMT(N27,C27,-$H$26)</f>
        <v>#VALUE!</v>
      </c>
      <c r="I27" s="431"/>
      <c r="J27" s="434" t="e">
        <f>+PMT(N27,C27,-$J$26)</f>
        <v>#VALUE!</v>
      </c>
      <c r="K27" s="431"/>
      <c r="L27" s="435" t="e">
        <f>+PMT(N27,C27,-$L$26)</f>
        <v>#VALUE!</v>
      </c>
      <c r="M27" s="436"/>
      <c r="N27" s="90">
        <f>+'Preço SFCR-FRONIUS-BYD'!N27</f>
        <v>1.6799999999999999E-2</v>
      </c>
      <c r="O27" s="224"/>
    </row>
    <row r="28" spans="1:15" ht="15" customHeight="1" x14ac:dyDescent="0.25">
      <c r="A28" s="224"/>
      <c r="B28" s="224"/>
      <c r="C28" s="235">
        <f>+'Preço SFCR-FRONIUS-BYD'!C28</f>
        <v>24</v>
      </c>
      <c r="D28" s="430" t="e">
        <f t="shared" ref="D28:D31" si="9">+PMT(N28,C28,-$D$26)</f>
        <v>#DIV/0!</v>
      </c>
      <c r="E28" s="431"/>
      <c r="F28" s="432" t="e">
        <f t="shared" ref="F28:F31" si="10">+PMT(N28,C28,-$F$26)</f>
        <v>#VALUE!</v>
      </c>
      <c r="G28" s="431"/>
      <c r="H28" s="433" t="e">
        <f t="shared" ref="H28:H31" si="11">+PMT(N28,C28,-$H$26)</f>
        <v>#VALUE!</v>
      </c>
      <c r="I28" s="431"/>
      <c r="J28" s="434" t="e">
        <f t="shared" ref="J28:J31" si="12">+PMT(N28,C28,-$J$26)</f>
        <v>#VALUE!</v>
      </c>
      <c r="K28" s="431"/>
      <c r="L28" s="435" t="e">
        <f t="shared" ref="L28:L31" si="13">+PMT(N28,C28,-$L$26)</f>
        <v>#VALUE!</v>
      </c>
      <c r="M28" s="436"/>
      <c r="N28" s="90">
        <f>+'Preço SFCR-FRONIUS-BYD'!N28</f>
        <v>1.55E-2</v>
      </c>
      <c r="O28" s="224"/>
    </row>
    <row r="29" spans="1:15" ht="15" customHeight="1" x14ac:dyDescent="0.25">
      <c r="A29" s="224"/>
      <c r="B29" s="224"/>
      <c r="C29" s="234">
        <f>+'Preço SFCR-FRONIUS-BYD'!C29</f>
        <v>36</v>
      </c>
      <c r="D29" s="430" t="e">
        <f t="shared" si="9"/>
        <v>#DIV/0!</v>
      </c>
      <c r="E29" s="431"/>
      <c r="F29" s="432" t="e">
        <f t="shared" si="10"/>
        <v>#VALUE!</v>
      </c>
      <c r="G29" s="431"/>
      <c r="H29" s="433" t="e">
        <f t="shared" si="11"/>
        <v>#VALUE!</v>
      </c>
      <c r="I29" s="431"/>
      <c r="J29" s="434" t="e">
        <f t="shared" si="12"/>
        <v>#VALUE!</v>
      </c>
      <c r="K29" s="431"/>
      <c r="L29" s="435" t="e">
        <f t="shared" si="13"/>
        <v>#VALUE!</v>
      </c>
      <c r="M29" s="436"/>
      <c r="N29" s="90">
        <f>+'Preço SFCR-FRONIUS-BYD'!N29</f>
        <v>1.5800000000000002E-2</v>
      </c>
      <c r="O29" s="224"/>
    </row>
    <row r="30" spans="1:15" ht="15" customHeight="1" x14ac:dyDescent="0.25">
      <c r="A30" s="224"/>
      <c r="B30" s="224"/>
      <c r="C30" s="235">
        <f>+'Preço SFCR-FRONIUS-BYD'!C30</f>
        <v>48</v>
      </c>
      <c r="D30" s="430" t="e">
        <f t="shared" si="9"/>
        <v>#DIV/0!</v>
      </c>
      <c r="E30" s="431"/>
      <c r="F30" s="432" t="e">
        <f t="shared" si="10"/>
        <v>#VALUE!</v>
      </c>
      <c r="G30" s="431"/>
      <c r="H30" s="433" t="e">
        <f t="shared" si="11"/>
        <v>#VALUE!</v>
      </c>
      <c r="I30" s="431"/>
      <c r="J30" s="434" t="e">
        <f t="shared" si="12"/>
        <v>#VALUE!</v>
      </c>
      <c r="K30" s="431"/>
      <c r="L30" s="435" t="e">
        <f t="shared" si="13"/>
        <v>#VALUE!</v>
      </c>
      <c r="M30" s="436"/>
      <c r="N30" s="90">
        <f>+'Preço SFCR-FRONIUS-BYD'!N30</f>
        <v>1.61E-2</v>
      </c>
      <c r="O30" s="224"/>
    </row>
    <row r="31" spans="1:15" ht="15" customHeight="1" thickBot="1" x14ac:dyDescent="0.3">
      <c r="A31" s="224"/>
      <c r="B31" s="224"/>
      <c r="C31" s="236">
        <f>+'Preço SFCR-FRONIUS-BYD'!C31</f>
        <v>60</v>
      </c>
      <c r="D31" s="437" t="e">
        <f t="shared" si="9"/>
        <v>#DIV/0!</v>
      </c>
      <c r="E31" s="438"/>
      <c r="F31" s="439" t="e">
        <f t="shared" si="10"/>
        <v>#VALUE!</v>
      </c>
      <c r="G31" s="438"/>
      <c r="H31" s="440" t="e">
        <f t="shared" si="11"/>
        <v>#VALUE!</v>
      </c>
      <c r="I31" s="438"/>
      <c r="J31" s="441" t="e">
        <f t="shared" si="12"/>
        <v>#VALUE!</v>
      </c>
      <c r="K31" s="438"/>
      <c r="L31" s="442" t="e">
        <f t="shared" si="13"/>
        <v>#VALUE!</v>
      </c>
      <c r="M31" s="443"/>
      <c r="N31" s="90">
        <f>+'Preço SFCR-FRONIUS-BYD'!N31</f>
        <v>1.6400000000000001E-2</v>
      </c>
      <c r="O31" s="224"/>
    </row>
    <row r="32" spans="1:15" ht="9" customHeight="1" x14ac:dyDescent="0.25">
      <c r="A32" s="65"/>
      <c r="B32" s="65"/>
      <c r="C32" s="65"/>
      <c r="D32" s="65"/>
      <c r="E32" s="65"/>
      <c r="F32" s="65"/>
      <c r="G32" s="65"/>
      <c r="H32" s="422"/>
      <c r="I32" s="347"/>
      <c r="J32" s="65"/>
      <c r="K32" s="65"/>
      <c r="L32" s="65"/>
      <c r="M32" s="65"/>
      <c r="N32" s="65"/>
      <c r="O32" s="224"/>
    </row>
    <row r="33" spans="1:15" ht="14.25" customHeight="1" x14ac:dyDescent="0.25">
      <c r="A33" s="65"/>
      <c r="B33" s="65"/>
      <c r="C33" s="281" t="s">
        <v>266</v>
      </c>
      <c r="D33" s="65"/>
      <c r="E33" s="65"/>
      <c r="F33" s="65"/>
      <c r="G33" s="65"/>
      <c r="H33" s="223"/>
      <c r="I33" s="223"/>
      <c r="J33" s="65"/>
      <c r="K33" s="65"/>
      <c r="L33" s="65"/>
      <c r="M33" s="65"/>
      <c r="N33" s="65"/>
      <c r="O33" s="224"/>
    </row>
    <row r="34" spans="1:15" ht="14.25" customHeight="1" x14ac:dyDescent="0.25">
      <c r="A34" s="65"/>
      <c r="B34" s="65"/>
      <c r="C34" s="65"/>
      <c r="D34" s="65"/>
      <c r="E34" s="67"/>
      <c r="F34" s="68"/>
      <c r="G34" s="65"/>
      <c r="H34" s="223"/>
      <c r="I34" s="223"/>
      <c r="J34" s="65"/>
      <c r="K34" s="65"/>
      <c r="L34" s="65"/>
      <c r="M34" s="65"/>
      <c r="N34" s="65"/>
      <c r="O34" s="224"/>
    </row>
    <row r="35" spans="1:15" ht="14.25" customHeight="1" x14ac:dyDescent="0.25">
      <c r="A35" s="65"/>
      <c r="B35" s="65"/>
      <c r="C35" s="69"/>
      <c r="D35" s="70"/>
      <c r="E35" s="70"/>
      <c r="F35" s="70"/>
      <c r="G35" s="70"/>
      <c r="H35" s="71"/>
      <c r="I35" s="70"/>
      <c r="J35" s="70"/>
      <c r="K35" s="70"/>
      <c r="L35" s="72"/>
      <c r="M35" s="72"/>
      <c r="N35" s="72"/>
      <c r="O35" s="224"/>
    </row>
    <row r="36" spans="1:15" ht="14.25" customHeight="1" x14ac:dyDescent="0.25">
      <c r="A36" s="224"/>
      <c r="B36" s="224"/>
      <c r="C36" s="73" t="s">
        <v>34</v>
      </c>
      <c r="D36" s="416" t="e">
        <f>+D22/(D10*1000)</f>
        <v>#DIV/0!</v>
      </c>
      <c r="E36" s="417"/>
      <c r="F36" s="416" t="e">
        <f>+F22/(F10*1000)</f>
        <v>#VALUE!</v>
      </c>
      <c r="G36" s="338"/>
      <c r="H36" s="416" t="e">
        <f>+H22/(H10*1000)</f>
        <v>#VALUE!</v>
      </c>
      <c r="I36" s="338"/>
      <c r="J36" s="416" t="e">
        <f>+J22/(J10*1000)</f>
        <v>#VALUE!</v>
      </c>
      <c r="K36" s="338"/>
      <c r="L36" s="416" t="e">
        <f>+L22/(L10*1000)</f>
        <v>#VALUE!</v>
      </c>
      <c r="M36" s="338"/>
      <c r="N36" s="74"/>
      <c r="O36" s="224"/>
    </row>
    <row r="37" spans="1:15" ht="14.25" customHeight="1" x14ac:dyDescent="0.25">
      <c r="A37" s="224"/>
      <c r="B37" s="224"/>
      <c r="C37" s="75" t="s">
        <v>35</v>
      </c>
      <c r="D37" s="413" t="e">
        <f>+D17*$D$44</f>
        <v>#DIV/0!</v>
      </c>
      <c r="E37" s="338"/>
      <c r="F37" s="413">
        <f>+F17*$D$44</f>
        <v>0</v>
      </c>
      <c r="G37" s="338"/>
      <c r="H37" s="413">
        <f>+H17*$D$44</f>
        <v>0</v>
      </c>
      <c r="I37" s="338"/>
      <c r="J37" s="413">
        <f>+J17*$D$44</f>
        <v>0</v>
      </c>
      <c r="K37" s="338"/>
      <c r="L37" s="413">
        <f>+L17*$D$44</f>
        <v>0</v>
      </c>
      <c r="M37" s="338"/>
      <c r="N37" s="76"/>
      <c r="O37" s="224"/>
    </row>
    <row r="38" spans="1:15" ht="14.25" customHeight="1" x14ac:dyDescent="0.25">
      <c r="A38" s="224"/>
      <c r="B38" s="224"/>
      <c r="C38" s="75" t="s">
        <v>36</v>
      </c>
      <c r="D38" s="413" t="e">
        <f>+D22/D37</f>
        <v>#DIV/0!</v>
      </c>
      <c r="E38" s="338"/>
      <c r="F38" s="413" t="e">
        <f>+F22/F37</f>
        <v>#VALUE!</v>
      </c>
      <c r="G38" s="338"/>
      <c r="H38" s="413" t="e">
        <f>+H22/H37</f>
        <v>#VALUE!</v>
      </c>
      <c r="I38" s="338"/>
      <c r="J38" s="413" t="e">
        <f>+J22/J37</f>
        <v>#VALUE!</v>
      </c>
      <c r="K38" s="338"/>
      <c r="L38" s="413" t="e">
        <f>+L22/L37</f>
        <v>#VALUE!</v>
      </c>
      <c r="M38" s="338"/>
      <c r="N38" s="76"/>
      <c r="O38" s="224"/>
    </row>
    <row r="39" spans="1:15" ht="14.25" customHeight="1" x14ac:dyDescent="0.25">
      <c r="A39" s="224"/>
      <c r="B39" s="224"/>
      <c r="C39" s="75" t="s">
        <v>37</v>
      </c>
      <c r="D39" s="413" t="e">
        <f>+D22/D11</f>
        <v>#DIV/0!</v>
      </c>
      <c r="E39" s="338"/>
      <c r="F39" s="413" t="e">
        <f>+F22/F11</f>
        <v>#VALUE!</v>
      </c>
      <c r="G39" s="338"/>
      <c r="H39" s="413" t="e">
        <f>+H22/H11</f>
        <v>#VALUE!</v>
      </c>
      <c r="I39" s="338"/>
      <c r="J39" s="413" t="e">
        <f>+J22/J11</f>
        <v>#VALUE!</v>
      </c>
      <c r="K39" s="338"/>
      <c r="L39" s="413" t="e">
        <f>+L22/L11</f>
        <v>#VALUE!</v>
      </c>
      <c r="M39" s="338"/>
      <c r="N39" s="224"/>
      <c r="O39" s="224"/>
    </row>
    <row r="40" spans="1:15" ht="14.25" customHeight="1" x14ac:dyDescent="0.25">
      <c r="A40" s="224"/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</row>
    <row r="41" spans="1:15" ht="14.25" customHeight="1" x14ac:dyDescent="0.25">
      <c r="A41" s="224"/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</row>
    <row r="42" spans="1:15" ht="14.25" customHeight="1" x14ac:dyDescent="0.25">
      <c r="A42" s="224"/>
      <c r="B42" s="224"/>
      <c r="C42" s="77" t="s">
        <v>38</v>
      </c>
      <c r="D42" s="91">
        <f>+'Preço SFCR-FRONIUS-BYD'!D42</f>
        <v>0</v>
      </c>
      <c r="E42" s="65"/>
      <c r="F42" s="79"/>
      <c r="G42" s="79"/>
      <c r="H42" s="224"/>
      <c r="I42" s="224"/>
      <c r="J42" s="224"/>
      <c r="K42" s="224"/>
      <c r="L42" s="224"/>
      <c r="M42" s="224"/>
      <c r="N42" s="224"/>
      <c r="O42" s="224"/>
    </row>
    <row r="43" spans="1:15" ht="14.25" customHeight="1" x14ac:dyDescent="0.25">
      <c r="A43" s="224"/>
      <c r="B43" s="224"/>
      <c r="C43" s="80" t="s">
        <v>39</v>
      </c>
      <c r="D43" s="81" t="e">
        <f>+'Preço SFCR-FRONIUS-BYD'!D43</f>
        <v>#DIV/0!</v>
      </c>
      <c r="E43" s="82"/>
      <c r="F43" s="83" t="s">
        <v>40</v>
      </c>
      <c r="G43" s="71" t="e">
        <f>+D43/D45</f>
        <v>#DIV/0!</v>
      </c>
      <c r="H43" s="224"/>
      <c r="I43" s="224"/>
      <c r="J43" s="224"/>
      <c r="K43" s="224"/>
      <c r="L43" s="224"/>
      <c r="M43" s="224"/>
      <c r="N43" s="224"/>
      <c r="O43" s="224"/>
    </row>
    <row r="44" spans="1:15" ht="14.25" customHeight="1" x14ac:dyDescent="0.25">
      <c r="A44" s="224"/>
      <c r="B44" s="224"/>
      <c r="C44" s="84" t="s">
        <v>41</v>
      </c>
      <c r="D44" s="97">
        <f>+'Preço SFCR-FRONIUS-BYD'!D44</f>
        <v>0.85</v>
      </c>
      <c r="E44" s="70"/>
      <c r="F44" s="429" t="s">
        <v>42</v>
      </c>
      <c r="G44" s="412"/>
      <c r="H44" s="98">
        <v>0.05</v>
      </c>
      <c r="I44" s="224"/>
      <c r="J44" s="224"/>
      <c r="K44" s="224"/>
      <c r="L44" s="224"/>
      <c r="M44" s="224"/>
      <c r="N44" s="224"/>
      <c r="O44" s="224"/>
    </row>
    <row r="45" spans="1:15" ht="14.25" customHeight="1" x14ac:dyDescent="0.25">
      <c r="A45" s="224"/>
      <c r="B45" s="224"/>
      <c r="C45" s="87" t="s">
        <v>43</v>
      </c>
      <c r="D45" s="97">
        <v>120</v>
      </c>
      <c r="E45" s="70"/>
      <c r="F45" s="224"/>
      <c r="G45" s="224"/>
      <c r="H45" s="224"/>
      <c r="I45" s="224"/>
      <c r="J45" s="224"/>
      <c r="K45" s="224"/>
      <c r="L45" s="224"/>
      <c r="M45" s="224"/>
      <c r="N45" s="224"/>
      <c r="O45" s="224"/>
    </row>
    <row r="46" spans="1:15" ht="14.25" customHeight="1" x14ac:dyDescent="0.25">
      <c r="A46" s="224"/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</row>
    <row r="47" spans="1:15" ht="14.25" customHeight="1" x14ac:dyDescent="0.25">
      <c r="A47" s="224"/>
      <c r="B47" s="224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</row>
    <row r="48" spans="1:15" ht="14.25" customHeight="1" x14ac:dyDescent="0.25">
      <c r="A48" s="224"/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</row>
    <row r="49" spans="1:15" ht="14.25" customHeight="1" x14ac:dyDescent="0.25">
      <c r="A49" s="224"/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</row>
    <row r="50" spans="1:15" ht="14.25" customHeight="1" x14ac:dyDescent="0.25">
      <c r="A50" s="224"/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</row>
    <row r="51" spans="1:15" ht="14.25" customHeight="1" x14ac:dyDescent="0.25">
      <c r="A51" s="224"/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</row>
    <row r="52" spans="1:15" ht="14.25" customHeight="1" x14ac:dyDescent="0.25">
      <c r="A52" s="224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</row>
    <row r="53" spans="1:15" ht="14.25" customHeight="1" x14ac:dyDescent="0.25">
      <c r="A53" s="224"/>
      <c r="B53" s="224"/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</row>
    <row r="54" spans="1:15" ht="14.25" customHeight="1" x14ac:dyDescent="0.25">
      <c r="A54" s="224"/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</row>
    <row r="55" spans="1:15" ht="14.25" customHeight="1" x14ac:dyDescent="0.25">
      <c r="A55" s="224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</row>
    <row r="56" spans="1:15" ht="14.25" customHeight="1" x14ac:dyDescent="0.25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</row>
    <row r="57" spans="1:15" ht="14.25" customHeight="1" x14ac:dyDescent="0.25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</row>
    <row r="58" spans="1:15" ht="14.25" customHeight="1" x14ac:dyDescent="0.2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</row>
    <row r="59" spans="1:15" ht="14.25" customHeight="1" x14ac:dyDescent="0.25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</row>
    <row r="60" spans="1:15" ht="14.25" customHeight="1" x14ac:dyDescent="0.25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</row>
    <row r="61" spans="1:15" ht="14.25" customHeight="1" x14ac:dyDescent="0.25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</row>
    <row r="62" spans="1:15" ht="14.25" customHeight="1" x14ac:dyDescent="0.25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</row>
    <row r="63" spans="1:15" ht="14.25" customHeight="1" x14ac:dyDescent="0.25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</row>
    <row r="64" spans="1:15" ht="14.25" customHeight="1" x14ac:dyDescent="0.25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</row>
    <row r="65" spans="1:15" ht="14.25" customHeight="1" x14ac:dyDescent="0.25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</row>
    <row r="66" spans="1:15" ht="14.25" customHeight="1" x14ac:dyDescent="0.25">
      <c r="A66" s="224"/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224"/>
      <c r="O66" s="224"/>
    </row>
    <row r="67" spans="1:15" ht="14.25" customHeight="1" x14ac:dyDescent="0.25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</row>
    <row r="68" spans="1:15" ht="14.25" customHeight="1" x14ac:dyDescent="0.25">
      <c r="A68" s="224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224"/>
      <c r="O68" s="224"/>
    </row>
    <row r="69" spans="1:15" ht="14.25" customHeight="1" x14ac:dyDescent="0.25">
      <c r="A69" s="224"/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224"/>
      <c r="O69" s="224"/>
    </row>
    <row r="70" spans="1:15" ht="14.25" customHeight="1" x14ac:dyDescent="0.25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</row>
    <row r="71" spans="1:15" ht="14.25" customHeight="1" x14ac:dyDescent="0.25">
      <c r="A71" s="224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</row>
    <row r="72" spans="1:15" ht="14.25" customHeight="1" x14ac:dyDescent="0.25">
      <c r="A72" s="224"/>
      <c r="B72" s="224"/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224"/>
      <c r="O72" s="224"/>
    </row>
    <row r="73" spans="1:15" ht="14.25" customHeight="1" x14ac:dyDescent="0.25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</row>
    <row r="74" spans="1:15" ht="14.25" customHeight="1" x14ac:dyDescent="0.25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</row>
    <row r="75" spans="1:15" ht="14.25" customHeight="1" x14ac:dyDescent="0.25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  <c r="O75" s="224"/>
    </row>
    <row r="76" spans="1:15" ht="14.25" customHeight="1" x14ac:dyDescent="0.25">
      <c r="A76" s="224"/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</row>
    <row r="77" spans="1:15" ht="14.25" customHeight="1" x14ac:dyDescent="0.25">
      <c r="A77" s="224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</row>
    <row r="78" spans="1:15" ht="14.25" customHeight="1" x14ac:dyDescent="0.25">
      <c r="A78" s="224"/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224"/>
      <c r="O78" s="224"/>
    </row>
    <row r="79" spans="1:15" ht="14.25" customHeight="1" x14ac:dyDescent="0.25">
      <c r="A79" s="224"/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224"/>
      <c r="O79" s="224"/>
    </row>
    <row r="80" spans="1:15" ht="14.25" customHeight="1" x14ac:dyDescent="0.25">
      <c r="A80" s="224"/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224"/>
      <c r="O80" s="224"/>
    </row>
    <row r="81" spans="1:15" ht="14.25" customHeight="1" x14ac:dyDescent="0.25">
      <c r="A81" s="224"/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</row>
    <row r="82" spans="1:15" ht="14.25" customHeight="1" x14ac:dyDescent="0.25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</row>
    <row r="83" spans="1:15" ht="14.25" customHeight="1" x14ac:dyDescent="0.25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  <c r="O83" s="224"/>
    </row>
    <row r="84" spans="1:15" ht="14.25" customHeight="1" x14ac:dyDescent="0.25">
      <c r="A84" s="224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</row>
    <row r="85" spans="1:15" ht="14.25" customHeight="1" x14ac:dyDescent="0.25">
      <c r="A85" s="224"/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</row>
    <row r="86" spans="1:15" ht="14.25" customHeight="1" x14ac:dyDescent="0.25">
      <c r="A86" s="224"/>
      <c r="B86" s="224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</row>
    <row r="87" spans="1:15" ht="14.25" customHeight="1" x14ac:dyDescent="0.25">
      <c r="A87" s="224"/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</row>
    <row r="88" spans="1:15" ht="14.25" customHeight="1" x14ac:dyDescent="0.25">
      <c r="A88" s="224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</row>
    <row r="89" spans="1:15" ht="14.25" customHeight="1" x14ac:dyDescent="0.25">
      <c r="A89" s="224"/>
      <c r="B89" s="224"/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224"/>
      <c r="N89" s="224"/>
      <c r="O89" s="224"/>
    </row>
    <row r="90" spans="1:15" ht="14.25" customHeight="1" x14ac:dyDescent="0.25">
      <c r="A90" s="224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</row>
    <row r="91" spans="1:15" ht="14.25" customHeight="1" x14ac:dyDescent="0.25">
      <c r="A91" s="224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</row>
    <row r="92" spans="1:15" ht="14.25" customHeight="1" x14ac:dyDescent="0.25">
      <c r="A92" s="224"/>
      <c r="B92" s="224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224"/>
    </row>
    <row r="93" spans="1:15" ht="14.25" customHeight="1" x14ac:dyDescent="0.25">
      <c r="A93" s="224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</row>
    <row r="94" spans="1:15" ht="14.25" customHeight="1" x14ac:dyDescent="0.25">
      <c r="A94" s="224"/>
      <c r="B94" s="224"/>
      <c r="C94" s="224"/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</row>
    <row r="95" spans="1:15" ht="15.75" customHeight="1" x14ac:dyDescent="0.25">
      <c r="A95" s="224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</row>
    <row r="96" spans="1:15" ht="15.75" customHeight="1" x14ac:dyDescent="0.25">
      <c r="A96" s="224"/>
      <c r="B96" s="224"/>
      <c r="C96" s="224"/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224"/>
      <c r="O96" s="224"/>
    </row>
    <row r="97" spans="1:15" ht="15.75" customHeight="1" x14ac:dyDescent="0.25">
      <c r="A97" s="224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</row>
    <row r="98" spans="1:15" ht="15.75" customHeight="1" x14ac:dyDescent="0.25">
      <c r="A98" s="224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</row>
    <row r="99" spans="1:15" ht="15.75" customHeight="1" x14ac:dyDescent="0.25">
      <c r="A99" s="224"/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</row>
    <row r="100" spans="1:15" ht="15.75" customHeight="1" x14ac:dyDescent="0.25">
      <c r="A100" s="224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</row>
    <row r="101" spans="1:15" ht="15.75" customHeight="1" x14ac:dyDescent="0.25">
      <c r="A101" s="224"/>
      <c r="B101" s="224"/>
      <c r="C101" s="224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</row>
  </sheetData>
  <mergeCells count="109">
    <mergeCell ref="J10:K10"/>
    <mergeCell ref="L10:M10"/>
    <mergeCell ref="D11:E11"/>
    <mergeCell ref="F11:G11"/>
    <mergeCell ref="H11:I11"/>
    <mergeCell ref="J11:K11"/>
    <mergeCell ref="L11:M11"/>
    <mergeCell ref="C8:C9"/>
    <mergeCell ref="D10:E10"/>
    <mergeCell ref="F10:G10"/>
    <mergeCell ref="H10:I10"/>
    <mergeCell ref="D8:G8"/>
    <mergeCell ref="D12:E12"/>
    <mergeCell ref="F12:G12"/>
    <mergeCell ref="H12:I12"/>
    <mergeCell ref="J12:K12"/>
    <mergeCell ref="L12:M12"/>
    <mergeCell ref="D13:E13"/>
    <mergeCell ref="F13:G13"/>
    <mergeCell ref="H13:I13"/>
    <mergeCell ref="J13:K13"/>
    <mergeCell ref="L13:M13"/>
    <mergeCell ref="D16:E16"/>
    <mergeCell ref="F16:G16"/>
    <mergeCell ref="H16:I16"/>
    <mergeCell ref="J16:K16"/>
    <mergeCell ref="L16:M16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9:E19"/>
    <mergeCell ref="F19:G19"/>
    <mergeCell ref="H19:I19"/>
    <mergeCell ref="J19:K19"/>
    <mergeCell ref="L19:M19"/>
    <mergeCell ref="D25:E25"/>
    <mergeCell ref="F25:G25"/>
    <mergeCell ref="H25:I25"/>
    <mergeCell ref="J25:K25"/>
    <mergeCell ref="L25:M25"/>
    <mergeCell ref="D21:E21"/>
    <mergeCell ref="F21:G21"/>
    <mergeCell ref="H21:I21"/>
    <mergeCell ref="J21:K21"/>
    <mergeCell ref="L21:M21"/>
    <mergeCell ref="D22:E22"/>
    <mergeCell ref="F22:G22"/>
    <mergeCell ref="H22:I22"/>
    <mergeCell ref="J22:K22"/>
    <mergeCell ref="L22:M22"/>
    <mergeCell ref="D26:E26"/>
    <mergeCell ref="F26:G26"/>
    <mergeCell ref="H26:I26"/>
    <mergeCell ref="J26:K26"/>
    <mergeCell ref="L26:M26"/>
    <mergeCell ref="D27:E27"/>
    <mergeCell ref="F27:G27"/>
    <mergeCell ref="H27:I27"/>
    <mergeCell ref="J27:K27"/>
    <mergeCell ref="L27:M27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H32:I32"/>
    <mergeCell ref="D36:E36"/>
    <mergeCell ref="F36:G36"/>
    <mergeCell ref="H36:I36"/>
    <mergeCell ref="J36:K36"/>
    <mergeCell ref="L36:M36"/>
    <mergeCell ref="D30:E30"/>
    <mergeCell ref="F30:G30"/>
    <mergeCell ref="H30:I30"/>
    <mergeCell ref="J30:K30"/>
    <mergeCell ref="L30:M30"/>
    <mergeCell ref="D31:E31"/>
    <mergeCell ref="F31:G31"/>
    <mergeCell ref="H31:I31"/>
    <mergeCell ref="J31:K31"/>
    <mergeCell ref="L31:M31"/>
    <mergeCell ref="D39:E39"/>
    <mergeCell ref="F39:G39"/>
    <mergeCell ref="H39:I39"/>
    <mergeCell ref="J39:K39"/>
    <mergeCell ref="L39:M39"/>
    <mergeCell ref="F44:G44"/>
    <mergeCell ref="D37:E37"/>
    <mergeCell ref="F37:G37"/>
    <mergeCell ref="H37:I37"/>
    <mergeCell ref="J37:K37"/>
    <mergeCell ref="L37:M37"/>
    <mergeCell ref="D38:E38"/>
    <mergeCell ref="F38:G38"/>
    <mergeCell ref="H38:I38"/>
    <mergeCell ref="J38:K38"/>
    <mergeCell ref="L38:M38"/>
  </mergeCells>
  <dataValidations disablePrompts="1" count="2">
    <dataValidation type="list" allowBlank="1" showErrorMessage="1" sqref="F15 L15 J15 H15" xr:uid="{DC05FCB8-E87C-4421-B45E-DC486CEF6E02}">
      <formula1>$C$8:$C$26</formula1>
    </dataValidation>
    <dataValidation type="list" allowBlank="1" showErrorMessage="1" sqref="D15" xr:uid="{71790E6A-5E28-4396-8AAA-F9FA6331F6CD}">
      <formula1>#REF!</formula1>
    </dataValidation>
  </dataValidations>
  <pageMargins left="0.511811024" right="0.511811024" top="0.78740157499999996" bottom="0.78740157499999996" header="0" footer="0"/>
  <pageSetup paperSize="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FEEA-B1E1-4A6B-BCED-4720D507A167}">
  <sheetPr>
    <pageSetUpPr fitToPage="1"/>
  </sheetPr>
  <dimension ref="A1:AB114"/>
  <sheetViews>
    <sheetView zoomScale="85" zoomScaleNormal="85" workbookViewId="0">
      <pane ySplit="5" topLeftCell="A42" activePane="bottomLeft" state="frozen"/>
      <selection pane="bottomLeft" activeCell="E29" sqref="E29"/>
    </sheetView>
  </sheetViews>
  <sheetFormatPr defaultColWidth="14.42578125" defaultRowHeight="15" customHeight="1" x14ac:dyDescent="0.25"/>
  <cols>
    <col min="1" max="1" width="4" style="221" customWidth="1"/>
    <col min="2" max="2" width="12.85546875" style="221" customWidth="1"/>
    <col min="3" max="3" width="6.85546875" style="221" customWidth="1"/>
    <col min="4" max="4" width="7.85546875" style="221" customWidth="1"/>
    <col min="5" max="5" width="9" style="221" customWidth="1"/>
    <col min="6" max="6" width="14.42578125" style="221" customWidth="1"/>
    <col min="7" max="7" width="14.42578125" style="304" customWidth="1"/>
    <col min="8" max="8" width="24" style="221" bestFit="1" customWidth="1"/>
    <col min="9" max="10" width="15.140625" style="221" customWidth="1"/>
    <col min="11" max="11" width="15" style="221" customWidth="1"/>
    <col min="12" max="18" width="15.7109375" style="221" customWidth="1"/>
    <col min="19" max="19" width="15" style="221" customWidth="1"/>
    <col min="20" max="20" width="1.42578125" style="221" customWidth="1"/>
    <col min="21" max="16384" width="14.42578125" style="221"/>
  </cols>
  <sheetData>
    <row r="1" spans="1:28" ht="15.75" thickBot="1" x14ac:dyDescent="0.3">
      <c r="A1" s="224"/>
      <c r="B1" s="224"/>
      <c r="C1" s="224"/>
      <c r="D1" s="224"/>
      <c r="E1" s="224"/>
      <c r="F1" s="224"/>
      <c r="G1" s="306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</row>
    <row r="2" spans="1:28" ht="18.75" customHeight="1" x14ac:dyDescent="0.25">
      <c r="A2" s="224"/>
      <c r="B2" s="485" t="s">
        <v>49</v>
      </c>
      <c r="C2" s="486"/>
      <c r="D2" s="487"/>
      <c r="E2" s="488" t="s">
        <v>50</v>
      </c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90"/>
      <c r="T2" s="224"/>
      <c r="V2" s="462" t="s">
        <v>263</v>
      </c>
      <c r="W2" s="463"/>
      <c r="X2" s="463"/>
      <c r="Y2" s="463"/>
      <c r="Z2" s="464"/>
      <c r="AA2" s="279"/>
      <c r="AB2" s="279"/>
    </row>
    <row r="3" spans="1:28" ht="18.75" customHeight="1" thickBot="1" x14ac:dyDescent="0.3">
      <c r="A3" s="224"/>
      <c r="B3" s="491">
        <v>0.46</v>
      </c>
      <c r="C3" s="492"/>
      <c r="D3" s="493"/>
      <c r="E3" s="494" t="s">
        <v>295</v>
      </c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6"/>
      <c r="T3" s="101"/>
      <c r="V3" s="465"/>
      <c r="W3" s="466"/>
      <c r="X3" s="466"/>
      <c r="Y3" s="466"/>
      <c r="Z3" s="467"/>
      <c r="AA3" s="279"/>
      <c r="AB3" s="279"/>
    </row>
    <row r="4" spans="1:28" ht="30" customHeight="1" x14ac:dyDescent="0.25">
      <c r="A4" s="224"/>
      <c r="B4" s="497" t="s">
        <v>52</v>
      </c>
      <c r="C4" s="336" t="s">
        <v>53</v>
      </c>
      <c r="D4" s="498" t="s">
        <v>225</v>
      </c>
      <c r="E4" s="499" t="s">
        <v>54</v>
      </c>
      <c r="F4" s="483" t="s">
        <v>55</v>
      </c>
      <c r="G4" s="483"/>
      <c r="H4" s="501" t="s">
        <v>56</v>
      </c>
      <c r="I4" s="336" t="s">
        <v>57</v>
      </c>
      <c r="J4" s="305" t="s">
        <v>233</v>
      </c>
      <c r="K4" s="336" t="s">
        <v>58</v>
      </c>
      <c r="L4" s="336" t="s">
        <v>59</v>
      </c>
      <c r="M4" s="336" t="s">
        <v>60</v>
      </c>
      <c r="N4" s="336" t="s">
        <v>61</v>
      </c>
      <c r="O4" s="336" t="s">
        <v>62</v>
      </c>
      <c r="P4" s="336" t="s">
        <v>63</v>
      </c>
      <c r="Q4" s="336" t="s">
        <v>64</v>
      </c>
      <c r="R4" s="336" t="s">
        <v>65</v>
      </c>
      <c r="S4" s="336" t="s">
        <v>66</v>
      </c>
      <c r="T4" s="102"/>
      <c r="V4" s="274" t="s">
        <v>264</v>
      </c>
      <c r="W4" s="468" t="s">
        <v>259</v>
      </c>
      <c r="X4" s="275" t="s">
        <v>260</v>
      </c>
      <c r="Y4" s="468" t="s">
        <v>261</v>
      </c>
      <c r="Z4" s="468" t="s">
        <v>262</v>
      </c>
      <c r="AA4" s="279"/>
      <c r="AB4" s="468" t="s">
        <v>265</v>
      </c>
    </row>
    <row r="5" spans="1:28" ht="15.75" thickBot="1" x14ac:dyDescent="0.3">
      <c r="A5" s="224"/>
      <c r="B5" s="327"/>
      <c r="C5" s="327"/>
      <c r="D5" s="498"/>
      <c r="E5" s="500"/>
      <c r="F5" s="484"/>
      <c r="G5" s="484"/>
      <c r="H5" s="502"/>
      <c r="I5" s="327"/>
      <c r="J5" s="322">
        <v>1.4999999999999999E-2</v>
      </c>
      <c r="K5" s="327"/>
      <c r="L5" s="327"/>
      <c r="M5" s="335"/>
      <c r="N5" s="335"/>
      <c r="O5" s="335"/>
      <c r="P5" s="335"/>
      <c r="Q5" s="327"/>
      <c r="R5" s="327"/>
      <c r="S5" s="327"/>
      <c r="T5" s="102"/>
      <c r="V5" s="276">
        <v>0.05</v>
      </c>
      <c r="W5" s="469"/>
      <c r="X5" s="277">
        <v>0.23</v>
      </c>
      <c r="Y5" s="469"/>
      <c r="Z5" s="469"/>
      <c r="AA5" s="279"/>
      <c r="AB5" s="469"/>
    </row>
    <row r="6" spans="1:28" x14ac:dyDescent="0.25">
      <c r="A6" s="224"/>
      <c r="B6" s="103" t="s">
        <v>85</v>
      </c>
      <c r="C6" s="202">
        <f t="shared" ref="C6:C67" si="0">+E6*$B$3</f>
        <v>1.3800000000000001</v>
      </c>
      <c r="D6" s="204" t="e">
        <f>ABS('Preço SFCR-GROWATT JINKO 460Wp'!$G$43-C6)</f>
        <v>#DIV/0!</v>
      </c>
      <c r="E6" s="105">
        <f>+'FRONIUS-BYD 335Wp'!E6</f>
        <v>3</v>
      </c>
      <c r="F6" s="309">
        <f>+IF(L6=0,"",ROUND(N6/(1-'Tabela de BDI'!$C$3),0))</f>
        <v>9068</v>
      </c>
      <c r="G6" s="309">
        <f>+ROUND(F6+(F6*'Preço SFCR-GROWATT JINKO 460Wp'!$H$44),0)</f>
        <v>9521</v>
      </c>
      <c r="H6" s="147" t="s">
        <v>196</v>
      </c>
      <c r="I6" s="261"/>
      <c r="J6" s="307">
        <v>5308.17</v>
      </c>
      <c r="K6" s="149">
        <f>+J6/(1-$J$5)</f>
        <v>5389.0050761421326</v>
      </c>
      <c r="L6" s="106">
        <f t="shared" ref="L6:L67" si="1">+I6+K6</f>
        <v>5389.0050761421326</v>
      </c>
      <c r="M6" s="106">
        <f>+'FRONIUS-BYD 335Wp'!L6</f>
        <v>2500</v>
      </c>
      <c r="N6" s="106">
        <f t="shared" ref="N6:N67" si="2">+L6+M6</f>
        <v>7889.0050761421326</v>
      </c>
      <c r="O6" s="106">
        <f>+IF(F6="","",F6*'Tabela de BDI'!$C$7)</f>
        <v>725.44</v>
      </c>
      <c r="P6" s="106">
        <f>IF(F6="","",F6*'Tabela de BDI'!$C$8)</f>
        <v>453.40000000000003</v>
      </c>
      <c r="Q6" s="109">
        <f t="shared" ref="Q6:Q39" si="3">IF(F6="","",(F6-L6)/L6)</f>
        <v>0.68268536991091078</v>
      </c>
      <c r="R6" s="110">
        <f t="shared" ref="R6:R39" si="4">IF(F6="","",(F6/C6)/1000)</f>
        <v>6.5710144927536227</v>
      </c>
      <c r="S6" s="111">
        <f>+'Tabela de BDI'!$F$9*C6</f>
        <v>165.60000000000002</v>
      </c>
      <c r="T6" s="102"/>
      <c r="V6" s="273">
        <f>+$V$5*L6</f>
        <v>269.45025380710666</v>
      </c>
      <c r="W6" s="273">
        <f>+M6+V6</f>
        <v>2769.4502538071065</v>
      </c>
      <c r="X6" s="273">
        <f>+(W6/(1-$X$5))-W6</f>
        <v>827.23838750082405</v>
      </c>
      <c r="Y6" s="273">
        <f>+W6+X6</f>
        <v>3596.6886413079305</v>
      </c>
      <c r="Z6" s="273">
        <f>IF(L6=0,"",Y6+L6)</f>
        <v>8985.6937174500636</v>
      </c>
      <c r="AA6" s="279"/>
      <c r="AB6" s="278">
        <f t="shared" ref="AB6:AB15" si="5">+IF(F6="","",(F6-Z6)/F6)</f>
        <v>9.0765640218280156E-3</v>
      </c>
    </row>
    <row r="7" spans="1:28" x14ac:dyDescent="0.25">
      <c r="A7" s="224"/>
      <c r="B7" s="103" t="s">
        <v>85</v>
      </c>
      <c r="C7" s="202">
        <f t="shared" si="0"/>
        <v>1.84</v>
      </c>
      <c r="D7" s="204" t="e">
        <f>ABS('Preço SFCR-GROWATT JINKO 460Wp'!$G$43-C7)</f>
        <v>#DIV/0!</v>
      </c>
      <c r="E7" s="105">
        <f>+'FRONIUS-BYD 335Wp'!E7</f>
        <v>4</v>
      </c>
      <c r="F7" s="112">
        <f>+IF(L7=0,"",ROUND(N7/(1-'Tabela de BDI'!$C$3),0))</f>
        <v>10372</v>
      </c>
      <c r="G7" s="112">
        <f>+ROUND(F7+(F7*'Preço SFCR-GROWATT JINKO 460Wp'!$H$44),0)</f>
        <v>10891</v>
      </c>
      <c r="H7" s="147" t="s">
        <v>196</v>
      </c>
      <c r="I7" s="261"/>
      <c r="J7" s="265">
        <v>6303.02</v>
      </c>
      <c r="K7" s="149">
        <f t="shared" ref="K7:K66" si="6">+J7/(1-$J$5)</f>
        <v>6399.0050761421326</v>
      </c>
      <c r="L7" s="106">
        <f t="shared" si="1"/>
        <v>6399.0050761421326</v>
      </c>
      <c r="M7" s="106">
        <f>+'FRONIUS-BYD 335Wp'!L7</f>
        <v>2625</v>
      </c>
      <c r="N7" s="106">
        <f t="shared" si="2"/>
        <v>9024.0050761421335</v>
      </c>
      <c r="O7" s="106">
        <f>+IF(F7="","",F7*'Tabela de BDI'!$C$7)</f>
        <v>829.76</v>
      </c>
      <c r="P7" s="106">
        <f>IF(F7="","",F7*'Tabela de BDI'!$C$8)</f>
        <v>518.6</v>
      </c>
      <c r="Q7" s="109">
        <f t="shared" si="3"/>
        <v>0.62087697643351902</v>
      </c>
      <c r="R7" s="110">
        <f t="shared" si="4"/>
        <v>5.6369565217391298</v>
      </c>
      <c r="S7" s="111">
        <f>+'Tabela de BDI'!$F$9*C7</f>
        <v>220.8</v>
      </c>
      <c r="T7" s="102"/>
      <c r="V7" s="273">
        <f>+$V$5*L7</f>
        <v>319.95025380710666</v>
      </c>
      <c r="W7" s="273">
        <f>+M7+V7</f>
        <v>2944.9502538071065</v>
      </c>
      <c r="X7" s="273">
        <f>+(W7/(1-$X$5))-W7</f>
        <v>879.66046542290178</v>
      </c>
      <c r="Y7" s="273">
        <f>+W7+X7</f>
        <v>3824.6107192300083</v>
      </c>
      <c r="Z7" s="273">
        <f t="shared" ref="Z7:Z9" si="7">IF(L7=0,"",Y7+L7)</f>
        <v>10223.615795372141</v>
      </c>
      <c r="AA7" s="279"/>
      <c r="AB7" s="278">
        <f t="shared" si="5"/>
        <v>1.430622875316802E-2</v>
      </c>
    </row>
    <row r="8" spans="1:28" x14ac:dyDescent="0.25">
      <c r="A8" s="224"/>
      <c r="B8" s="103" t="s">
        <v>85</v>
      </c>
      <c r="C8" s="202">
        <f t="shared" si="0"/>
        <v>2.3000000000000003</v>
      </c>
      <c r="D8" s="204" t="e">
        <f>ABS('Preço SFCR-GROWATT JINKO 460Wp'!$G$43-C8)</f>
        <v>#DIV/0!</v>
      </c>
      <c r="E8" s="105">
        <f>+'FRONIUS-BYD 335Wp'!E8</f>
        <v>5</v>
      </c>
      <c r="F8" s="112">
        <f>+IF(L8=0,"",ROUND(N8/(1-'Tabela de BDI'!$C$3),0))</f>
        <v>12240</v>
      </c>
      <c r="G8" s="112">
        <f>+ROUND(F8+(F8*'Preço SFCR-GROWATT JINKO 460Wp'!$H$44),0)</f>
        <v>12852</v>
      </c>
      <c r="H8" s="107" t="s">
        <v>197</v>
      </c>
      <c r="I8" s="261"/>
      <c r="J8" s="265">
        <v>7780.52</v>
      </c>
      <c r="K8" s="149">
        <f t="shared" si="6"/>
        <v>7899.0050761421326</v>
      </c>
      <c r="L8" s="106">
        <f t="shared" si="1"/>
        <v>7899.0050761421326</v>
      </c>
      <c r="M8" s="106">
        <f>+'FRONIUS-BYD 335Wp'!L8</f>
        <v>2750</v>
      </c>
      <c r="N8" s="106">
        <f t="shared" si="2"/>
        <v>10649.005076142133</v>
      </c>
      <c r="O8" s="106">
        <f>+IF(F8="","",F8*'Tabela de BDI'!$C$7)</f>
        <v>979.2</v>
      </c>
      <c r="P8" s="106">
        <f>IF(F8="","",F8*'Tabela de BDI'!$C$8)</f>
        <v>612</v>
      </c>
      <c r="Q8" s="109">
        <f t="shared" si="3"/>
        <v>0.54956224005593446</v>
      </c>
      <c r="R8" s="110">
        <f t="shared" si="4"/>
        <v>5.3217391304347821</v>
      </c>
      <c r="S8" s="111">
        <f>+'Tabela de BDI'!$F$9*C8</f>
        <v>276.00000000000006</v>
      </c>
      <c r="T8" s="102"/>
      <c r="V8" s="273">
        <f t="shared" ref="V8:V9" si="8">+$V$5*L8</f>
        <v>394.95025380710666</v>
      </c>
      <c r="W8" s="273">
        <f t="shared" ref="W8:W9" si="9">+M8+V8</f>
        <v>3144.9502538071065</v>
      </c>
      <c r="X8" s="273">
        <f t="shared" ref="X8:X9" si="10">+(W8/(1-$X$5))-W8</f>
        <v>939.4007251631615</v>
      </c>
      <c r="Y8" s="273">
        <f t="shared" ref="Y8:Y9" si="11">+W8+X8</f>
        <v>4084.350978970268</v>
      </c>
      <c r="Z8" s="273">
        <f t="shared" si="7"/>
        <v>11983.356055112401</v>
      </c>
      <c r="AA8" s="279"/>
      <c r="AB8" s="278">
        <f t="shared" si="5"/>
        <v>2.0967642556176388E-2</v>
      </c>
    </row>
    <row r="9" spans="1:28" x14ac:dyDescent="0.25">
      <c r="A9" s="224"/>
      <c r="B9" s="103" t="s">
        <v>85</v>
      </c>
      <c r="C9" s="202">
        <f t="shared" si="0"/>
        <v>2.7600000000000002</v>
      </c>
      <c r="D9" s="204" t="e">
        <f>ABS('Preço SFCR-GROWATT JINKO 460Wp'!$G$43-C9)</f>
        <v>#DIV/0!</v>
      </c>
      <c r="E9" s="105">
        <f>+'FRONIUS-BYD 335Wp'!E9</f>
        <v>6</v>
      </c>
      <c r="F9" s="112">
        <f>+IF(L9=0,"",ROUND(N9/(1-'Tabela de BDI'!$C$3),0))</f>
        <v>13625</v>
      </c>
      <c r="G9" s="112">
        <f>+ROUND(F9+(F9*'Preço SFCR-GROWATT JINKO 460Wp'!$H$44),0)</f>
        <v>14306</v>
      </c>
      <c r="H9" s="156" t="s">
        <v>216</v>
      </c>
      <c r="I9" s="261"/>
      <c r="J9" s="265">
        <v>8844.32</v>
      </c>
      <c r="K9" s="149">
        <f t="shared" si="6"/>
        <v>8979.0050761421317</v>
      </c>
      <c r="L9" s="106">
        <f t="shared" si="1"/>
        <v>8979.0050761421317</v>
      </c>
      <c r="M9" s="106">
        <f>+'FRONIUS-BYD 335Wp'!L9</f>
        <v>2875</v>
      </c>
      <c r="N9" s="106">
        <f t="shared" si="2"/>
        <v>11854.005076142132</v>
      </c>
      <c r="O9" s="106">
        <f>+IF(F9="","",F9*'Tabela de BDI'!$C$7)</f>
        <v>1090</v>
      </c>
      <c r="P9" s="106">
        <f>IF(F9="","",F9*'Tabela de BDI'!$C$8)</f>
        <v>681.25</v>
      </c>
      <c r="Q9" s="109">
        <f t="shared" si="3"/>
        <v>0.51742870000180907</v>
      </c>
      <c r="R9" s="110">
        <f t="shared" si="4"/>
        <v>4.9365942028985499</v>
      </c>
      <c r="S9" s="111">
        <f>+'Tabela de BDI'!$F$9*C9</f>
        <v>331.20000000000005</v>
      </c>
      <c r="T9" s="102"/>
      <c r="V9" s="273">
        <f t="shared" si="8"/>
        <v>448.95025380710661</v>
      </c>
      <c r="W9" s="273">
        <f t="shared" si="9"/>
        <v>3323.9502538071065</v>
      </c>
      <c r="X9" s="273">
        <f t="shared" si="10"/>
        <v>992.86825763069373</v>
      </c>
      <c r="Y9" s="273">
        <f t="shared" si="11"/>
        <v>4316.8185114378002</v>
      </c>
      <c r="Z9" s="273">
        <f t="shared" si="7"/>
        <v>13295.823587579933</v>
      </c>
      <c r="AA9" s="279"/>
      <c r="AB9" s="278">
        <f t="shared" si="5"/>
        <v>2.4159736691381078E-2</v>
      </c>
    </row>
    <row r="10" spans="1:28" x14ac:dyDescent="0.25">
      <c r="A10" s="224"/>
      <c r="B10" s="103" t="s">
        <v>85</v>
      </c>
      <c r="C10" s="202">
        <f t="shared" si="0"/>
        <v>3.22</v>
      </c>
      <c r="D10" s="204" t="e">
        <f>ABS('Preço SFCR-GROWATT JINKO 460Wp'!$G$43-C10)</f>
        <v>#DIV/0!</v>
      </c>
      <c r="E10" s="105">
        <f>+'FRONIUS-BYD 335Wp'!E10</f>
        <v>7</v>
      </c>
      <c r="F10" s="112">
        <f>+IF(L10=0,"",ROUND(N10/(1-'Tabela de BDI'!$C$3),0))</f>
        <v>14918</v>
      </c>
      <c r="G10" s="112">
        <f>+ROUND(F10+(F10*'Preço SFCR-GROWATT JINKO 460Wp'!$H$44),0)</f>
        <v>15664</v>
      </c>
      <c r="H10" s="156" t="s">
        <v>216</v>
      </c>
      <c r="I10" s="261"/>
      <c r="J10" s="265">
        <v>9829.32</v>
      </c>
      <c r="K10" s="149">
        <f t="shared" si="6"/>
        <v>9979.0050761421317</v>
      </c>
      <c r="L10" s="106">
        <f t="shared" si="1"/>
        <v>9979.0050761421317</v>
      </c>
      <c r="M10" s="106">
        <f>+'FRONIUS-BYD 335Wp'!L10</f>
        <v>3000</v>
      </c>
      <c r="N10" s="106">
        <f t="shared" si="2"/>
        <v>12979.005076142132</v>
      </c>
      <c r="O10" s="106">
        <f>+IF(F10="","",F10*'Tabela de BDI'!$C$7)</f>
        <v>1193.44</v>
      </c>
      <c r="P10" s="106">
        <f>IF(F10="","",F10*'Tabela de BDI'!$C$8)</f>
        <v>745.90000000000009</v>
      </c>
      <c r="Q10" s="109">
        <f t="shared" si="3"/>
        <v>0.49493861223360319</v>
      </c>
      <c r="R10" s="110">
        <f t="shared" si="4"/>
        <v>4.6329192546583844</v>
      </c>
      <c r="S10" s="111">
        <f>+'Tabela de BDI'!$F$9*C10</f>
        <v>386.40000000000003</v>
      </c>
      <c r="T10" s="102"/>
      <c r="V10" s="273">
        <f t="shared" ref="V10:V67" si="12">+$V$5*L10</f>
        <v>498.95025380710661</v>
      </c>
      <c r="W10" s="273">
        <f t="shared" ref="W10:W67" si="13">+M10+V10</f>
        <v>3498.9502538071065</v>
      </c>
      <c r="X10" s="273">
        <f t="shared" ref="X10:X67" si="14">+(W10/(1-$X$5))-W10</f>
        <v>1045.1409849034217</v>
      </c>
      <c r="Y10" s="273">
        <f t="shared" ref="Y10:Y67" si="15">+W10+X10</f>
        <v>4544.0912387105282</v>
      </c>
      <c r="Z10" s="273">
        <f t="shared" ref="Z10:Z67" si="16">IF(L10=0,"",Y10+L10)</f>
        <v>14523.096314852661</v>
      </c>
      <c r="AA10" s="279"/>
      <c r="AB10" s="278">
        <f t="shared" si="5"/>
        <v>2.6471623887071943E-2</v>
      </c>
    </row>
    <row r="11" spans="1:28" x14ac:dyDescent="0.25">
      <c r="A11" s="224"/>
      <c r="B11" s="103" t="s">
        <v>85</v>
      </c>
      <c r="C11" s="202">
        <f t="shared" si="0"/>
        <v>3.68</v>
      </c>
      <c r="D11" s="204" t="e">
        <f>ABS('Preço SFCR-GROWATT JINKO 460Wp'!$G$43-C11)</f>
        <v>#DIV/0!</v>
      </c>
      <c r="E11" s="105">
        <f>+'FRONIUS-BYD 335Wp'!E11</f>
        <v>8</v>
      </c>
      <c r="F11" s="112">
        <f>+IF(L11=0,"",ROUND(N11/(1-'Tabela de BDI'!$C$3),0))</f>
        <v>16395</v>
      </c>
      <c r="G11" s="112">
        <f>+ROUND(F11+(F11*'Preço SFCR-GROWATT JINKO 460Wp'!$H$44),0)</f>
        <v>17215</v>
      </c>
      <c r="H11" s="156" t="s">
        <v>217</v>
      </c>
      <c r="I11" s="261"/>
      <c r="J11" s="265">
        <v>10971.92</v>
      </c>
      <c r="K11" s="149">
        <f t="shared" si="6"/>
        <v>11139.005076142132</v>
      </c>
      <c r="L11" s="106">
        <f t="shared" si="1"/>
        <v>11139.005076142132</v>
      </c>
      <c r="M11" s="106">
        <f>+'FRONIUS-BYD 335Wp'!L11</f>
        <v>3125</v>
      </c>
      <c r="N11" s="106">
        <f t="shared" si="2"/>
        <v>14264.005076142132</v>
      </c>
      <c r="O11" s="106">
        <f>+IF(F11="","",F11*'Tabela de BDI'!$C$7)</f>
        <v>1311.6000000000001</v>
      </c>
      <c r="P11" s="106">
        <f>IF(F11="","",F11*'Tabela de BDI'!$C$8)</f>
        <v>819.75</v>
      </c>
      <c r="Q11" s="109">
        <f t="shared" si="3"/>
        <v>0.47185497160023043</v>
      </c>
      <c r="R11" s="110">
        <f t="shared" si="4"/>
        <v>4.4551630434782608</v>
      </c>
      <c r="S11" s="111">
        <f>+'Tabela de BDI'!$F$9*C11</f>
        <v>441.6</v>
      </c>
      <c r="T11" s="102"/>
      <c r="V11" s="273">
        <f t="shared" si="12"/>
        <v>556.95025380710661</v>
      </c>
      <c r="W11" s="273">
        <f t="shared" si="13"/>
        <v>3681.9502538071065</v>
      </c>
      <c r="X11" s="273">
        <f t="shared" si="14"/>
        <v>1099.8033225657591</v>
      </c>
      <c r="Y11" s="273">
        <f t="shared" si="15"/>
        <v>4781.7535763728656</v>
      </c>
      <c r="Z11" s="273">
        <f t="shared" si="16"/>
        <v>15920.758652514996</v>
      </c>
      <c r="AA11" s="279"/>
      <c r="AB11" s="278">
        <f t="shared" si="5"/>
        <v>2.8925974229033462E-2</v>
      </c>
    </row>
    <row r="12" spans="1:28" x14ac:dyDescent="0.25">
      <c r="A12" s="224"/>
      <c r="B12" s="103" t="s">
        <v>85</v>
      </c>
      <c r="C12" s="202">
        <f t="shared" si="0"/>
        <v>4.1400000000000006</v>
      </c>
      <c r="D12" s="204" t="e">
        <f>ABS('Preço SFCR-GROWATT JINKO 460Wp'!$G$43-C12)</f>
        <v>#DIV/0!</v>
      </c>
      <c r="E12" s="105">
        <f>+'FRONIUS-BYD 335Wp'!E12</f>
        <v>9</v>
      </c>
      <c r="F12" s="112">
        <f>+IF(L12=0,"",ROUND(N12/(1-'Tabela de BDI'!$C$3),0))</f>
        <v>18125</v>
      </c>
      <c r="G12" s="112">
        <f>+ROUND(F12+(F12*'Preço SFCR-GROWATT JINKO 460Wp'!$H$44),0)</f>
        <v>19031</v>
      </c>
      <c r="H12" s="156" t="s">
        <v>217</v>
      </c>
      <c r="I12" s="261"/>
      <c r="J12" s="265">
        <v>12331.22</v>
      </c>
      <c r="K12" s="149">
        <f t="shared" si="6"/>
        <v>12519.005076142132</v>
      </c>
      <c r="L12" s="106">
        <f t="shared" si="1"/>
        <v>12519.005076142132</v>
      </c>
      <c r="M12" s="106">
        <f>+'FRONIUS-BYD 335Wp'!L12</f>
        <v>3250</v>
      </c>
      <c r="N12" s="106">
        <f t="shared" si="2"/>
        <v>15769.005076142132</v>
      </c>
      <c r="O12" s="106">
        <f>+IF(F12="","",F12*'Tabela de BDI'!$C$7)</f>
        <v>1450</v>
      </c>
      <c r="P12" s="106">
        <f>IF(F12="","",F12*'Tabela de BDI'!$C$8)</f>
        <v>906.25</v>
      </c>
      <c r="Q12" s="109">
        <f t="shared" si="3"/>
        <v>0.44779875794933516</v>
      </c>
      <c r="R12" s="110">
        <f t="shared" si="4"/>
        <v>4.3780193236714968</v>
      </c>
      <c r="S12" s="111">
        <f>+'Tabela de BDI'!$F$9*C12</f>
        <v>496.80000000000007</v>
      </c>
      <c r="T12" s="102"/>
      <c r="V12" s="273">
        <f t="shared" si="12"/>
        <v>625.95025380710661</v>
      </c>
      <c r="W12" s="273">
        <f t="shared" si="13"/>
        <v>3875.9502538071065</v>
      </c>
      <c r="X12" s="273">
        <f t="shared" si="14"/>
        <v>1157.7513745138112</v>
      </c>
      <c r="Y12" s="273">
        <f t="shared" si="15"/>
        <v>5033.7016283209177</v>
      </c>
      <c r="Z12" s="273">
        <f t="shared" si="16"/>
        <v>17552.706704463049</v>
      </c>
      <c r="AA12" s="279"/>
      <c r="AB12" s="278">
        <f t="shared" si="5"/>
        <v>3.1574802512383482E-2</v>
      </c>
    </row>
    <row r="13" spans="1:28" x14ac:dyDescent="0.25">
      <c r="A13" s="224"/>
      <c r="B13" s="103" t="s">
        <v>85</v>
      </c>
      <c r="C13" s="202">
        <f t="shared" si="0"/>
        <v>4.6000000000000005</v>
      </c>
      <c r="D13" s="204" t="e">
        <f>ABS('Preço SFCR-GROWATT JINKO 460Wp'!$G$43-C13)</f>
        <v>#DIV/0!</v>
      </c>
      <c r="E13" s="105">
        <f>+'FRONIUS-BYD 335Wp'!E13</f>
        <v>10</v>
      </c>
      <c r="F13" s="112">
        <f>+IF(L13=0,"",ROUND(N13/(1-'Tabela de BDI'!$C$3),0))</f>
        <v>21545</v>
      </c>
      <c r="G13" s="112">
        <f>+ROUND(F13+(F13*'Preço SFCR-GROWATT JINKO 460Wp'!$H$44),0)</f>
        <v>22622</v>
      </c>
      <c r="H13" s="107" t="s">
        <v>80</v>
      </c>
      <c r="I13" s="321"/>
      <c r="J13" s="323">
        <v>15138.47</v>
      </c>
      <c r="K13" s="149">
        <f t="shared" si="6"/>
        <v>15369.005076142132</v>
      </c>
      <c r="L13" s="106">
        <f t="shared" si="1"/>
        <v>15369.005076142132</v>
      </c>
      <c r="M13" s="106">
        <f>+'FRONIUS-BYD 335Wp'!L13</f>
        <v>3375</v>
      </c>
      <c r="N13" s="106">
        <f t="shared" si="2"/>
        <v>18744.00507614213</v>
      </c>
      <c r="O13" s="106">
        <f>+IF(F13="","",F13*'Tabela de BDI'!$C$7)</f>
        <v>1723.6000000000001</v>
      </c>
      <c r="P13" s="106">
        <f>IF(F13="","",F13*'Tabela de BDI'!$C$8)</f>
        <v>1077.25</v>
      </c>
      <c r="Q13" s="109">
        <f t="shared" si="3"/>
        <v>0.40184741258528772</v>
      </c>
      <c r="R13" s="110">
        <f t="shared" si="4"/>
        <v>4.6836956521739124</v>
      </c>
      <c r="S13" s="111">
        <f>+'Tabela de BDI'!$F$9*C13</f>
        <v>552.00000000000011</v>
      </c>
      <c r="T13" s="114"/>
      <c r="V13" s="273">
        <f t="shared" si="12"/>
        <v>768.45025380710661</v>
      </c>
      <c r="W13" s="273">
        <f t="shared" si="13"/>
        <v>4143.4502538071065</v>
      </c>
      <c r="X13" s="273">
        <f t="shared" si="14"/>
        <v>1237.6539719164084</v>
      </c>
      <c r="Y13" s="273">
        <f t="shared" si="15"/>
        <v>5381.1042257235149</v>
      </c>
      <c r="Z13" s="273">
        <f t="shared" si="16"/>
        <v>20750.109301865647</v>
      </c>
      <c r="AA13" s="279"/>
      <c r="AB13" s="278">
        <f t="shared" si="5"/>
        <v>3.6894439458545064E-2</v>
      </c>
    </row>
    <row r="14" spans="1:28" x14ac:dyDescent="0.25">
      <c r="A14" s="224"/>
      <c r="B14" s="103" t="s">
        <v>85</v>
      </c>
      <c r="C14" s="202">
        <f t="shared" si="0"/>
        <v>5.0600000000000005</v>
      </c>
      <c r="D14" s="204" t="e">
        <f>ABS('Preço SFCR-GROWATT JINKO 460Wp'!$G$43-C14)</f>
        <v>#DIV/0!</v>
      </c>
      <c r="E14" s="105">
        <f>+'FRONIUS-BYD 335Wp'!E14</f>
        <v>11</v>
      </c>
      <c r="F14" s="112">
        <f>+IF(L14=0,"",ROUND(N14/(1-'Tabela de BDI'!$C$3),0))</f>
        <v>22849</v>
      </c>
      <c r="G14" s="112">
        <f>+ROUND(F14+(F14*'Preço SFCR-GROWATT JINKO 460Wp'!$H$44),0)</f>
        <v>23991</v>
      </c>
      <c r="H14" s="107" t="s">
        <v>80</v>
      </c>
      <c r="I14" s="261"/>
      <c r="J14" s="265">
        <v>16133.32</v>
      </c>
      <c r="K14" s="149">
        <f t="shared" si="6"/>
        <v>16379.005076142132</v>
      </c>
      <c r="L14" s="106">
        <f t="shared" si="1"/>
        <v>16379.005076142132</v>
      </c>
      <c r="M14" s="106">
        <f>+'FRONIUS-BYD 335Wp'!L14</f>
        <v>3500</v>
      </c>
      <c r="N14" s="106">
        <f t="shared" si="2"/>
        <v>19879.00507614213</v>
      </c>
      <c r="O14" s="106">
        <f>+IF(F14="","",F14*'Tabela de BDI'!$C$7)</f>
        <v>1827.92</v>
      </c>
      <c r="P14" s="106">
        <f>IF(F14="","",F14*'Tabela de BDI'!$C$8)</f>
        <v>1142.45</v>
      </c>
      <c r="Q14" s="109">
        <f t="shared" si="3"/>
        <v>0.39501757852692443</v>
      </c>
      <c r="R14" s="110">
        <f t="shared" si="4"/>
        <v>4.5156126482213432</v>
      </c>
      <c r="S14" s="111">
        <f>+'Tabela de BDI'!$F$9*C14</f>
        <v>607.20000000000005</v>
      </c>
      <c r="T14" s="114"/>
      <c r="V14" s="273">
        <f t="shared" si="12"/>
        <v>818.95025380710661</v>
      </c>
      <c r="W14" s="273">
        <f t="shared" si="13"/>
        <v>4318.9502538071065</v>
      </c>
      <c r="X14" s="273">
        <f t="shared" si="14"/>
        <v>1290.0760498384861</v>
      </c>
      <c r="Y14" s="273">
        <f t="shared" si="15"/>
        <v>5609.0263036455926</v>
      </c>
      <c r="Z14" s="273">
        <f t="shared" si="16"/>
        <v>21988.031379787724</v>
      </c>
      <c r="AA14" s="279"/>
      <c r="AB14" s="278">
        <f t="shared" si="5"/>
        <v>3.7680800919614676E-2</v>
      </c>
    </row>
    <row r="15" spans="1:28" x14ac:dyDescent="0.25">
      <c r="A15" s="224"/>
      <c r="B15" s="103" t="s">
        <v>85</v>
      </c>
      <c r="C15" s="202">
        <f t="shared" si="0"/>
        <v>5.5200000000000005</v>
      </c>
      <c r="D15" s="204" t="e">
        <f>ABS('Preço SFCR-GROWATT JINKO 460Wp'!$G$43-C15)</f>
        <v>#DIV/0!</v>
      </c>
      <c r="E15" s="105">
        <f>+'FRONIUS-BYD 335Wp'!E15</f>
        <v>12</v>
      </c>
      <c r="F15" s="112">
        <f>+IF(L15=0,"",ROUND(N15/(1-'Tabela de BDI'!$C$3),0))</f>
        <v>24143</v>
      </c>
      <c r="G15" s="112">
        <f>+ROUND(F15+(F15*'Preço SFCR-GROWATT JINKO 460Wp'!$H$44),0)</f>
        <v>25350</v>
      </c>
      <c r="H15" s="107" t="s">
        <v>80</v>
      </c>
      <c r="I15" s="261"/>
      <c r="J15" s="265">
        <v>17118.32</v>
      </c>
      <c r="K15" s="149">
        <f t="shared" si="6"/>
        <v>17379.005076142133</v>
      </c>
      <c r="L15" s="106">
        <f t="shared" si="1"/>
        <v>17379.005076142133</v>
      </c>
      <c r="M15" s="106">
        <f>+'FRONIUS-BYD 335Wp'!L15</f>
        <v>3625</v>
      </c>
      <c r="N15" s="106">
        <f t="shared" si="2"/>
        <v>21004.005076142133</v>
      </c>
      <c r="O15" s="106">
        <f>+IF(F15="","",F15*'Tabela de BDI'!$C$7)</f>
        <v>1931.44</v>
      </c>
      <c r="P15" s="106">
        <f>IF(F15="","",F15*'Tabela de BDI'!$C$8)</f>
        <v>1207.1500000000001</v>
      </c>
      <c r="Q15" s="109">
        <f t="shared" si="3"/>
        <v>0.38920495702849334</v>
      </c>
      <c r="R15" s="110">
        <f t="shared" si="4"/>
        <v>4.3737318840579711</v>
      </c>
      <c r="S15" s="111">
        <f>+'Tabela de BDI'!$F$9*C15</f>
        <v>662.40000000000009</v>
      </c>
      <c r="T15" s="114"/>
      <c r="V15" s="273">
        <f t="shared" si="12"/>
        <v>868.95025380710672</v>
      </c>
      <c r="W15" s="273">
        <f t="shared" si="13"/>
        <v>4493.9502538071065</v>
      </c>
      <c r="X15" s="273">
        <f t="shared" si="14"/>
        <v>1342.3487771112132</v>
      </c>
      <c r="Y15" s="273">
        <f t="shared" si="15"/>
        <v>5836.2990309183197</v>
      </c>
      <c r="Z15" s="273">
        <f t="shared" si="16"/>
        <v>23215.304107060452</v>
      </c>
      <c r="AA15" s="279"/>
      <c r="AB15" s="278">
        <f t="shared" si="5"/>
        <v>3.8425046304914376E-2</v>
      </c>
    </row>
    <row r="16" spans="1:28" s="282" customFormat="1" x14ac:dyDescent="0.25">
      <c r="A16" s="285"/>
      <c r="B16" s="103" t="s">
        <v>85</v>
      </c>
      <c r="C16" s="202">
        <f t="shared" ref="C16" si="17">+E16*$B$3</f>
        <v>5.98</v>
      </c>
      <c r="D16" s="204" t="e">
        <f>ABS('Preço SFCR-GROWATT JINKO 460Wp'!$G$43-C16)</f>
        <v>#DIV/0!</v>
      </c>
      <c r="E16" s="105">
        <f>+'FRONIUS-BYD 335Wp'!E16</f>
        <v>13</v>
      </c>
      <c r="F16" s="112" t="str">
        <f>+IF(L16=0,"",ROUND(N16/(1-'Tabela de BDI'!$C$3),0))</f>
        <v/>
      </c>
      <c r="G16" s="112"/>
      <c r="H16" s="107"/>
      <c r="I16" s="261"/>
      <c r="J16" s="265"/>
      <c r="K16" s="149">
        <f t="shared" ref="K16" si="18">+J16/(1-$J$5)</f>
        <v>0</v>
      </c>
      <c r="L16" s="106">
        <f t="shared" ref="L16" si="19">+I16+K16</f>
        <v>0</v>
      </c>
      <c r="M16" s="106">
        <f>+'FRONIUS-BYD 335Wp'!L16</f>
        <v>3750</v>
      </c>
      <c r="N16" s="106">
        <f t="shared" ref="N16" si="20">+L16+M16</f>
        <v>3750</v>
      </c>
      <c r="O16" s="106" t="str">
        <f>+IF(F16="","",F16*'Tabela de BDI'!$C$7)</f>
        <v/>
      </c>
      <c r="P16" s="106" t="str">
        <f>IF(F16="","",F16*'Tabela de BDI'!$C$8)</f>
        <v/>
      </c>
      <c r="Q16" s="109" t="str">
        <f t="shared" si="3"/>
        <v/>
      </c>
      <c r="R16" s="110" t="str">
        <f t="shared" si="4"/>
        <v/>
      </c>
      <c r="S16" s="111">
        <f>+'Tabela de BDI'!$F$9*C16</f>
        <v>717.6</v>
      </c>
      <c r="T16" s="114"/>
      <c r="V16" s="273"/>
      <c r="W16" s="273"/>
      <c r="X16" s="273"/>
      <c r="Y16" s="273"/>
      <c r="Z16" s="273"/>
      <c r="AB16" s="278"/>
    </row>
    <row r="17" spans="1:28" x14ac:dyDescent="0.25">
      <c r="A17" s="224"/>
      <c r="B17" s="103" t="s">
        <v>85</v>
      </c>
      <c r="C17" s="202">
        <f t="shared" si="0"/>
        <v>6.44</v>
      </c>
      <c r="D17" s="204" t="e">
        <f>ABS('Preço SFCR-GROWATT JINKO 460Wp'!$G$43-C17)</f>
        <v>#DIV/0!</v>
      </c>
      <c r="E17" s="105">
        <f>+'FRONIUS-BYD 335Wp'!E17</f>
        <v>14</v>
      </c>
      <c r="F17" s="112">
        <f>+IF(L17=0,"",ROUND(N17/(1-'Tabela de BDI'!$C$3),0))</f>
        <v>27177</v>
      </c>
      <c r="G17" s="112">
        <f>+ROUND(F17+(F17*'Preço SFCR-GROWATT JINKO 460Wp'!$H$44),0)</f>
        <v>28536</v>
      </c>
      <c r="H17" s="107" t="s">
        <v>80</v>
      </c>
      <c r="I17" s="261"/>
      <c r="J17" s="265">
        <v>19472.47</v>
      </c>
      <c r="K17" s="149">
        <f t="shared" si="6"/>
        <v>19769.005076142133</v>
      </c>
      <c r="L17" s="106">
        <f t="shared" si="1"/>
        <v>19769.005076142133</v>
      </c>
      <c r="M17" s="106">
        <f>+'FRONIUS-BYD 335Wp'!L17</f>
        <v>3875</v>
      </c>
      <c r="N17" s="106">
        <f t="shared" si="2"/>
        <v>23644.005076142133</v>
      </c>
      <c r="O17" s="106">
        <f>+IF(F17="","",F17*'Tabela de BDI'!$C$7)</f>
        <v>2174.16</v>
      </c>
      <c r="P17" s="106">
        <f>IF(F17="","",F17*'Tabela de BDI'!$C$8)</f>
        <v>1358.8500000000001</v>
      </c>
      <c r="Q17" s="109">
        <f t="shared" si="3"/>
        <v>0.37472775667390928</v>
      </c>
      <c r="R17" s="110">
        <f t="shared" si="4"/>
        <v>4.2200310559006216</v>
      </c>
      <c r="S17" s="111">
        <f>+'Tabela de BDI'!$F$9*C17</f>
        <v>772.80000000000007</v>
      </c>
      <c r="T17" s="114"/>
      <c r="V17" s="273">
        <f t="shared" si="12"/>
        <v>988.45025380710672</v>
      </c>
      <c r="W17" s="273">
        <f t="shared" si="13"/>
        <v>4863.4502538071065</v>
      </c>
      <c r="X17" s="273">
        <f t="shared" si="14"/>
        <v>1452.718906981343</v>
      </c>
      <c r="Y17" s="273">
        <f t="shared" si="15"/>
        <v>6316.1691607884495</v>
      </c>
      <c r="Z17" s="273">
        <f t="shared" si="16"/>
        <v>26085.174236930583</v>
      </c>
      <c r="AA17" s="279"/>
      <c r="AB17" s="278">
        <f t="shared" ref="AB17:AB67" si="21">+IF(F17="","",(F17-Z17)/F17)</f>
        <v>4.0174624243640468E-2</v>
      </c>
    </row>
    <row r="18" spans="1:28" x14ac:dyDescent="0.25">
      <c r="A18" s="224"/>
      <c r="B18" s="103" t="s">
        <v>85</v>
      </c>
      <c r="C18" s="202">
        <f t="shared" si="0"/>
        <v>6.9</v>
      </c>
      <c r="D18" s="204" t="e">
        <f>ABS('Preço SFCR-GROWATT JINKO 460Wp'!$G$43-C18)</f>
        <v>#DIV/0!</v>
      </c>
      <c r="E18" s="105">
        <f>+'FRONIUS-BYD 335Wp'!E18</f>
        <v>15</v>
      </c>
      <c r="F18" s="112">
        <f>+IF(L18=0,"",ROUND(N18/(1-'Tabela de BDI'!$C$3),0))</f>
        <v>28861</v>
      </c>
      <c r="G18" s="112">
        <f>+ROUND(F18+(F18*'Preço SFCR-GROWATT JINKO 460Wp'!$H$44),0)</f>
        <v>30304</v>
      </c>
      <c r="H18" s="107" t="s">
        <v>81</v>
      </c>
      <c r="I18" s="261"/>
      <c r="J18" s="265">
        <v>20792.37</v>
      </c>
      <c r="K18" s="149">
        <f t="shared" si="6"/>
        <v>21109.00507614213</v>
      </c>
      <c r="L18" s="106">
        <f t="shared" si="1"/>
        <v>21109.00507614213</v>
      </c>
      <c r="M18" s="106">
        <f>+'FRONIUS-BYD 335Wp'!L18</f>
        <v>4000</v>
      </c>
      <c r="N18" s="106">
        <f t="shared" si="2"/>
        <v>25109.00507614213</v>
      </c>
      <c r="O18" s="106">
        <f>+IF(F18="","",F18*'Tabela de BDI'!$C$7)</f>
        <v>2308.88</v>
      </c>
      <c r="P18" s="106">
        <f>IF(F18="","",F18*'Tabela de BDI'!$C$8)</f>
        <v>1443.0500000000002</v>
      </c>
      <c r="Q18" s="109">
        <f t="shared" si="3"/>
        <v>0.36723639488908688</v>
      </c>
      <c r="R18" s="110">
        <f t="shared" si="4"/>
        <v>4.1827536231884057</v>
      </c>
      <c r="S18" s="111">
        <f>+'Tabela de BDI'!$F$9*C18</f>
        <v>828</v>
      </c>
      <c r="T18" s="114"/>
      <c r="V18" s="273">
        <f t="shared" si="12"/>
        <v>1055.4502538071065</v>
      </c>
      <c r="W18" s="273">
        <f t="shared" si="13"/>
        <v>5055.4502538071065</v>
      </c>
      <c r="X18" s="273">
        <f t="shared" si="14"/>
        <v>1510.0695563319923</v>
      </c>
      <c r="Y18" s="273">
        <f t="shared" si="15"/>
        <v>6565.5198101390988</v>
      </c>
      <c r="Z18" s="273">
        <f t="shared" si="16"/>
        <v>27674.52488628123</v>
      </c>
      <c r="AA18" s="279"/>
      <c r="AB18" s="278">
        <f t="shared" si="21"/>
        <v>4.1109979339550622E-2</v>
      </c>
    </row>
    <row r="19" spans="1:28" x14ac:dyDescent="0.25">
      <c r="A19" s="224"/>
      <c r="B19" s="103" t="s">
        <v>85</v>
      </c>
      <c r="C19" s="202">
        <f t="shared" si="0"/>
        <v>7.36</v>
      </c>
      <c r="D19" s="204" t="e">
        <f>ABS('Preço SFCR-GROWATT JINKO 460Wp'!$G$43-C19)</f>
        <v>#DIV/0!</v>
      </c>
      <c r="E19" s="105">
        <f>+'FRONIUS-BYD 335Wp'!E19</f>
        <v>16</v>
      </c>
      <c r="F19" s="112">
        <f>+IF(L19=0,"",ROUND(N19/(1-'Tabela de BDI'!$C$3),0))</f>
        <v>30166</v>
      </c>
      <c r="G19" s="112">
        <f>+ROUND(F19+(F19*'Preço SFCR-GROWATT JINKO 460Wp'!$H$44),0)</f>
        <v>31674</v>
      </c>
      <c r="H19" s="107" t="s">
        <v>81</v>
      </c>
      <c r="I19" s="261"/>
      <c r="J19" s="265">
        <v>21787.22</v>
      </c>
      <c r="K19" s="149">
        <f t="shared" si="6"/>
        <v>22119.005076142133</v>
      </c>
      <c r="L19" s="106">
        <f t="shared" si="1"/>
        <v>22119.005076142133</v>
      </c>
      <c r="M19" s="106">
        <f>+'FRONIUS-BYD 335Wp'!L19</f>
        <v>4125</v>
      </c>
      <c r="N19" s="106">
        <f t="shared" si="2"/>
        <v>26244.005076142133</v>
      </c>
      <c r="O19" s="106">
        <f>+IF(F19="","",F19*'Tabela de BDI'!$C$7)</f>
        <v>2413.2800000000002</v>
      </c>
      <c r="P19" s="106">
        <f>IF(F19="","",F19*'Tabela de BDI'!$C$8)</f>
        <v>1508.3000000000002</v>
      </c>
      <c r="Q19" s="109">
        <f t="shared" si="3"/>
        <v>0.36380456065528316</v>
      </c>
      <c r="R19" s="110">
        <f t="shared" si="4"/>
        <v>4.0986413043478258</v>
      </c>
      <c r="S19" s="111">
        <f>+'Tabela de BDI'!$F$9*C19</f>
        <v>883.2</v>
      </c>
      <c r="T19" s="114"/>
      <c r="V19" s="273">
        <f t="shared" si="12"/>
        <v>1105.9502538071067</v>
      </c>
      <c r="W19" s="273">
        <f t="shared" si="13"/>
        <v>5230.9502538071065</v>
      </c>
      <c r="X19" s="273">
        <f t="shared" si="14"/>
        <v>1562.491634254071</v>
      </c>
      <c r="Y19" s="273">
        <f t="shared" si="15"/>
        <v>6793.4418880611775</v>
      </c>
      <c r="Z19" s="273">
        <f t="shared" si="16"/>
        <v>28912.446964203311</v>
      </c>
      <c r="AA19" s="279"/>
      <c r="AB19" s="278">
        <f t="shared" si="21"/>
        <v>4.1555162626688624E-2</v>
      </c>
    </row>
    <row r="20" spans="1:28" s="315" customFormat="1" x14ac:dyDescent="0.25">
      <c r="A20" s="316"/>
      <c r="B20" s="103" t="s">
        <v>85</v>
      </c>
      <c r="C20" s="202">
        <f t="shared" ref="C20" si="22">+E20*$B$3</f>
        <v>7.82</v>
      </c>
      <c r="D20" s="204" t="e">
        <f>ABS('Preço SFCR-GROWATT JINKO 460Wp'!$G$43-C20)</f>
        <v>#DIV/0!</v>
      </c>
      <c r="E20" s="105">
        <f>+'FRONIUS-BYD 335Wp'!E20</f>
        <v>17</v>
      </c>
      <c r="F20" s="112">
        <f>+IF(L20=0,"",ROUND(N20/(1-'Tabela de BDI'!$C$3),0))</f>
        <v>31895</v>
      </c>
      <c r="G20" s="112">
        <f>+ROUND(F20+(F20*'Preço SFCR-GROWATT JINKO 460Wp'!$H$44),0)</f>
        <v>33490</v>
      </c>
      <c r="H20" s="107" t="s">
        <v>81</v>
      </c>
      <c r="I20" s="261"/>
      <c r="J20" s="265">
        <v>23146.52</v>
      </c>
      <c r="K20" s="149">
        <f t="shared" ref="K20" si="23">+J20/(1-$J$5)</f>
        <v>23499.005076142133</v>
      </c>
      <c r="L20" s="106">
        <f t="shared" ref="L20" si="24">+I20+K20</f>
        <v>23499.005076142133</v>
      </c>
      <c r="M20" s="106">
        <f>+'FRONIUS-BYD 335Wp'!L20</f>
        <v>4250</v>
      </c>
      <c r="N20" s="106">
        <f t="shared" ref="N20" si="25">+L20+M20</f>
        <v>27749.005076142133</v>
      </c>
      <c r="O20" s="106">
        <f>+IF(F20="","",F20*'Tabela de BDI'!$C$7)</f>
        <v>2551.6</v>
      </c>
      <c r="P20" s="106">
        <f>IF(F20="","",F20*'Tabela de BDI'!$C$8)</f>
        <v>1594.75</v>
      </c>
      <c r="Q20" s="109">
        <f t="shared" ref="Q20" si="26">IF(F20="","",(F20-L20)/L20)</f>
        <v>0.35729150645539798</v>
      </c>
      <c r="R20" s="110">
        <f t="shared" ref="R20" si="27">IF(F20="","",(F20/C20)/1000)</f>
        <v>4.078644501278772</v>
      </c>
      <c r="S20" s="111">
        <f>+'Tabela de BDI'!$F$9*C20</f>
        <v>938.40000000000009</v>
      </c>
      <c r="T20" s="114"/>
      <c r="V20" s="273"/>
      <c r="W20" s="273"/>
      <c r="X20" s="273"/>
      <c r="Y20" s="273"/>
      <c r="Z20" s="273"/>
      <c r="AB20" s="278"/>
    </row>
    <row r="21" spans="1:28" x14ac:dyDescent="0.25">
      <c r="A21" s="224"/>
      <c r="B21" s="103" t="s">
        <v>85</v>
      </c>
      <c r="C21" s="202">
        <f t="shared" si="0"/>
        <v>8.2800000000000011</v>
      </c>
      <c r="D21" s="204" t="e">
        <f>ABS('Preço SFCR-GROWATT JINKO 460Wp'!$G$43-C21)</f>
        <v>#DIV/0!</v>
      </c>
      <c r="E21" s="105">
        <f>+'FRONIUS-BYD 335Wp'!E21</f>
        <v>18</v>
      </c>
      <c r="F21" s="112">
        <f>+IF(L21=0,"",ROUND(N21/(1-'Tabela de BDI'!$C$3),0))</f>
        <v>34016</v>
      </c>
      <c r="G21" s="112">
        <f>+ROUND(F21+(F21*'Preço SFCR-GROWATT JINKO 460Wp'!$H$44),0)</f>
        <v>35717</v>
      </c>
      <c r="H21" s="107" t="s">
        <v>304</v>
      </c>
      <c r="I21" s="261"/>
      <c r="J21" s="265">
        <v>24840.720000000001</v>
      </c>
      <c r="K21" s="149">
        <f t="shared" si="6"/>
        <v>25219.005076142133</v>
      </c>
      <c r="L21" s="106">
        <f t="shared" si="1"/>
        <v>25219.005076142133</v>
      </c>
      <c r="M21" s="106">
        <f>+'FRONIUS-BYD 335Wp'!L21</f>
        <v>4375</v>
      </c>
      <c r="N21" s="106">
        <f t="shared" si="2"/>
        <v>29594.005076142133</v>
      </c>
      <c r="O21" s="106">
        <f>+IF(F21="","",F21*'Tabela de BDI'!$C$7)</f>
        <v>2721.28</v>
      </c>
      <c r="P21" s="106">
        <f>IF(F21="","",F21*'Tabela de BDI'!$C$8)</f>
        <v>1700.8000000000002</v>
      </c>
      <c r="Q21" s="109">
        <f t="shared" si="3"/>
        <v>0.34882402764493131</v>
      </c>
      <c r="R21" s="110">
        <f t="shared" si="4"/>
        <v>4.1082125603864723</v>
      </c>
      <c r="S21" s="111">
        <f>+'Tabela de BDI'!$F$9*C21</f>
        <v>993.60000000000014</v>
      </c>
      <c r="T21" s="114"/>
      <c r="V21" s="273">
        <f t="shared" si="12"/>
        <v>1260.9502538071067</v>
      </c>
      <c r="W21" s="273">
        <f t="shared" si="13"/>
        <v>5635.9502538071065</v>
      </c>
      <c r="X21" s="273">
        <f t="shared" si="14"/>
        <v>1683.4656602280966</v>
      </c>
      <c r="Y21" s="273">
        <f t="shared" si="15"/>
        <v>7319.4159140352031</v>
      </c>
      <c r="Z21" s="273">
        <f t="shared" si="16"/>
        <v>32538.420990177336</v>
      </c>
      <c r="AA21" s="279"/>
      <c r="AB21" s="278">
        <f t="shared" si="21"/>
        <v>4.3437764870139478E-2</v>
      </c>
    </row>
    <row r="22" spans="1:28" s="228" customFormat="1" x14ac:dyDescent="0.25">
      <c r="A22" s="229"/>
      <c r="B22" s="103" t="s">
        <v>85</v>
      </c>
      <c r="C22" s="202">
        <f t="shared" ref="C22" si="28">+E22*$B$3</f>
        <v>8.74</v>
      </c>
      <c r="D22" s="204" t="e">
        <f>ABS('Preço SFCR-GROWATT JINKO 460Wp'!$G$43-C22)</f>
        <v>#DIV/0!</v>
      </c>
      <c r="E22" s="105">
        <f>+'FRONIUS-BYD 335Wp'!E22</f>
        <v>19</v>
      </c>
      <c r="F22" s="112">
        <f>+IF(L22=0,"",ROUND(N22/(1-'Tabela de BDI'!$C$3),0))</f>
        <v>35309</v>
      </c>
      <c r="G22" s="112">
        <f>+ROUND(F22+(F22*'Preço SFCR-GROWATT JINKO 460Wp'!$H$44),0)</f>
        <v>37074</v>
      </c>
      <c r="H22" s="107" t="s">
        <v>304</v>
      </c>
      <c r="I22" s="261"/>
      <c r="J22" s="265">
        <v>25825.72</v>
      </c>
      <c r="K22" s="149">
        <f t="shared" si="6"/>
        <v>26219.005076142133</v>
      </c>
      <c r="L22" s="106">
        <f t="shared" ref="L22" si="29">+I22+K22</f>
        <v>26219.005076142133</v>
      </c>
      <c r="M22" s="106">
        <f>+'FRONIUS-BYD 335Wp'!L22</f>
        <v>4500</v>
      </c>
      <c r="N22" s="106">
        <f t="shared" ref="N22" si="30">+L22+M22</f>
        <v>30719.005076142133</v>
      </c>
      <c r="O22" s="106">
        <f>+IF(F22="","",F22*'Tabela de BDI'!$C$7)</f>
        <v>2824.7200000000003</v>
      </c>
      <c r="P22" s="106">
        <f>IF(F22="","",F22*'Tabela de BDI'!$C$8)</f>
        <v>1765.45</v>
      </c>
      <c r="Q22" s="109">
        <f t="shared" si="3"/>
        <v>0.34669488401485021</v>
      </c>
      <c r="R22" s="110">
        <f t="shared" si="4"/>
        <v>4.0399313501144167</v>
      </c>
      <c r="S22" s="111">
        <f>+'Tabela de BDI'!$F$9*C22</f>
        <v>1048.8</v>
      </c>
      <c r="T22" s="114"/>
      <c r="V22" s="273">
        <f t="shared" si="12"/>
        <v>1310.9502538071067</v>
      </c>
      <c r="W22" s="273">
        <f t="shared" si="13"/>
        <v>5810.9502538071065</v>
      </c>
      <c r="X22" s="273">
        <f t="shared" si="14"/>
        <v>1735.7383875008236</v>
      </c>
      <c r="Y22" s="273">
        <f t="shared" si="15"/>
        <v>7546.6886413079301</v>
      </c>
      <c r="Z22" s="273">
        <f t="shared" si="16"/>
        <v>33765.693717450064</v>
      </c>
      <c r="AA22" s="279"/>
      <c r="AB22" s="278">
        <f t="shared" si="21"/>
        <v>4.3708580887307384E-2</v>
      </c>
    </row>
    <row r="23" spans="1:28" x14ac:dyDescent="0.25">
      <c r="A23" s="224"/>
      <c r="B23" s="103" t="s">
        <v>85</v>
      </c>
      <c r="C23" s="202">
        <f t="shared" si="0"/>
        <v>9.2000000000000011</v>
      </c>
      <c r="D23" s="204" t="e">
        <f>ABS('Preço SFCR-GROWATT JINKO 460Wp'!$G$43-C23)</f>
        <v>#DIV/0!</v>
      </c>
      <c r="E23" s="105">
        <f>+'FRONIUS-BYD 335Wp'!E23</f>
        <v>20</v>
      </c>
      <c r="F23" s="112">
        <f>+IF(L23=0,"",ROUND(N23/(1-'Tabela de BDI'!$C$3),0))</f>
        <v>36614</v>
      </c>
      <c r="G23" s="112">
        <f>+ROUND(F23+(F23*'Preço SFCR-GROWATT JINKO 460Wp'!$H$44),0)</f>
        <v>38445</v>
      </c>
      <c r="H23" s="107" t="s">
        <v>304</v>
      </c>
      <c r="I23" s="261"/>
      <c r="J23" s="265">
        <v>26820.57</v>
      </c>
      <c r="K23" s="149">
        <f t="shared" si="6"/>
        <v>27229.005076142133</v>
      </c>
      <c r="L23" s="106">
        <f t="shared" si="1"/>
        <v>27229.005076142133</v>
      </c>
      <c r="M23" s="106">
        <f>+'FRONIUS-BYD 335Wp'!L23</f>
        <v>4625</v>
      </c>
      <c r="N23" s="106">
        <f t="shared" si="2"/>
        <v>31854.005076142133</v>
      </c>
      <c r="O23" s="106">
        <f>+IF(F23="","",F23*'Tabela de BDI'!$C$7)</f>
        <v>2929.12</v>
      </c>
      <c r="P23" s="106">
        <f>IF(F23="","",F23*'Tabela de BDI'!$C$8)</f>
        <v>1830.7</v>
      </c>
      <c r="Q23" s="109">
        <f t="shared" si="3"/>
        <v>0.34466903574383384</v>
      </c>
      <c r="R23" s="110">
        <f t="shared" si="4"/>
        <v>3.9797826086956514</v>
      </c>
      <c r="S23" s="111">
        <f>+'Tabela de BDI'!$F$9*C23</f>
        <v>1104.0000000000002</v>
      </c>
      <c r="T23" s="114"/>
      <c r="V23" s="273">
        <f t="shared" si="12"/>
        <v>1361.4502538071067</v>
      </c>
      <c r="W23" s="273">
        <f t="shared" si="13"/>
        <v>5986.4502538071065</v>
      </c>
      <c r="X23" s="273">
        <f t="shared" si="14"/>
        <v>1788.1604654229013</v>
      </c>
      <c r="Y23" s="273">
        <f t="shared" si="15"/>
        <v>7774.6107192300078</v>
      </c>
      <c r="Z23" s="273">
        <f t="shared" si="16"/>
        <v>35003.615795372141</v>
      </c>
      <c r="AA23" s="279"/>
      <c r="AB23" s="278">
        <f t="shared" si="21"/>
        <v>4.3982744431852808E-2</v>
      </c>
    </row>
    <row r="24" spans="1:28" s="315" customFormat="1" x14ac:dyDescent="0.25">
      <c r="A24" s="316"/>
      <c r="B24" s="103" t="s">
        <v>85</v>
      </c>
      <c r="C24" s="202">
        <f t="shared" ref="C24" si="31">+E24*$B$3</f>
        <v>9.66</v>
      </c>
      <c r="D24" s="204" t="e">
        <f>ABS('Preço SFCR-GROWATT JINKO 460Wp'!$G$43-C24)</f>
        <v>#DIV/0!</v>
      </c>
      <c r="E24" s="105">
        <f>+'FRONIUS-BYD 335Wp'!E24</f>
        <v>21</v>
      </c>
      <c r="F24" s="112">
        <f>+IF(L24=0,"",ROUND(N24/(1-'Tabela de BDI'!$C$3),0))</f>
        <v>38344</v>
      </c>
      <c r="G24" s="112">
        <f>+ROUND(F24+(F24*'Preço SFCR-GROWATT JINKO 460Wp'!$H$44),0)</f>
        <v>40261</v>
      </c>
      <c r="H24" s="107" t="s">
        <v>304</v>
      </c>
      <c r="I24" s="261"/>
      <c r="J24" s="265">
        <v>28179.87</v>
      </c>
      <c r="K24" s="149">
        <f t="shared" ref="K24" si="32">+J24/(1-$J$5)</f>
        <v>28609.00507614213</v>
      </c>
      <c r="L24" s="106">
        <f t="shared" ref="L24" si="33">+I24+K24</f>
        <v>28609.00507614213</v>
      </c>
      <c r="M24" s="106">
        <f>+'FRONIUS-BYD 335Wp'!L24</f>
        <v>4750</v>
      </c>
      <c r="N24" s="106">
        <f t="shared" ref="N24" si="34">+L24+M24</f>
        <v>33359.00507614213</v>
      </c>
      <c r="O24" s="106">
        <f>+IF(F24="","",F24*'Tabela de BDI'!$C$7)</f>
        <v>3067.52</v>
      </c>
      <c r="P24" s="106">
        <f>IF(F24="","",F24*'Tabela de BDI'!$C$8)</f>
        <v>1917.2</v>
      </c>
      <c r="Q24" s="109">
        <f t="shared" ref="Q24" si="35">IF(F24="","",(F24-L24)/L24)</f>
        <v>0.34027729723380568</v>
      </c>
      <c r="R24" s="110">
        <f t="shared" ref="R24" si="36">IF(F24="","",(F24/C24)/1000)</f>
        <v>3.9693581780538301</v>
      </c>
      <c r="S24" s="111">
        <f>+'Tabela de BDI'!$F$9*C24</f>
        <v>1159.2</v>
      </c>
      <c r="T24" s="114"/>
      <c r="V24" s="273"/>
      <c r="W24" s="273"/>
      <c r="X24" s="273"/>
      <c r="Y24" s="273"/>
      <c r="Z24" s="273"/>
      <c r="AB24" s="278"/>
    </row>
    <row r="25" spans="1:28" x14ac:dyDescent="0.25">
      <c r="A25" s="224"/>
      <c r="B25" s="103" t="s">
        <v>85</v>
      </c>
      <c r="C25" s="202">
        <f t="shared" si="0"/>
        <v>10.120000000000001</v>
      </c>
      <c r="D25" s="204" t="e">
        <f>ABS('Preço SFCR-GROWATT JINKO 460Wp'!$G$43-C25)</f>
        <v>#DIV/0!</v>
      </c>
      <c r="E25" s="105">
        <f>+'FRONIUS-BYD 335Wp'!E25</f>
        <v>22</v>
      </c>
      <c r="F25" s="112">
        <f>+IF(L25=0,"",ROUND(N25/(1-'Tabela de BDI'!$C$3),0))</f>
        <v>39648</v>
      </c>
      <c r="G25" s="112">
        <f>+ROUND(F25+(F25*'Preço SFCR-GROWATT JINKO 460Wp'!$H$44),0)</f>
        <v>41630</v>
      </c>
      <c r="H25" s="107" t="s">
        <v>304</v>
      </c>
      <c r="I25" s="261"/>
      <c r="J25" s="265">
        <v>29174.720000000001</v>
      </c>
      <c r="K25" s="149">
        <f t="shared" si="6"/>
        <v>29619.005076142133</v>
      </c>
      <c r="L25" s="106">
        <f t="shared" si="1"/>
        <v>29619.005076142133</v>
      </c>
      <c r="M25" s="106">
        <f>+'FRONIUS-BYD 335Wp'!L25</f>
        <v>4875</v>
      </c>
      <c r="N25" s="106">
        <f t="shared" si="2"/>
        <v>34494.00507614213</v>
      </c>
      <c r="O25" s="106">
        <f>+IF(F25="","",F25*'Tabela de BDI'!$C$7)</f>
        <v>3171.84</v>
      </c>
      <c r="P25" s="106">
        <f>IF(F25="","",F25*'Tabela de BDI'!$C$8)</f>
        <v>1982.4</v>
      </c>
      <c r="Q25" s="109">
        <f t="shared" si="3"/>
        <v>0.33859999341895991</v>
      </c>
      <c r="R25" s="110">
        <f t="shared" si="4"/>
        <v>3.9177865612648217</v>
      </c>
      <c r="S25" s="111">
        <f>+'Tabela de BDI'!$F$9*C25</f>
        <v>1214.4000000000001</v>
      </c>
      <c r="T25" s="114"/>
      <c r="V25" s="273">
        <f t="shared" si="12"/>
        <v>1480.9502538071067</v>
      </c>
      <c r="W25" s="273">
        <f t="shared" si="13"/>
        <v>6355.9502538071065</v>
      </c>
      <c r="X25" s="273">
        <f t="shared" si="14"/>
        <v>1898.5305952930321</v>
      </c>
      <c r="Y25" s="273">
        <f t="shared" si="15"/>
        <v>8254.4808491001386</v>
      </c>
      <c r="Z25" s="273">
        <f t="shared" si="16"/>
        <v>37873.485925242276</v>
      </c>
      <c r="AA25" s="279"/>
      <c r="AB25" s="278">
        <f t="shared" si="21"/>
        <v>4.4756710925083848E-2</v>
      </c>
    </row>
    <row r="26" spans="1:28" s="228" customFormat="1" x14ac:dyDescent="0.25">
      <c r="A26" s="229"/>
      <c r="B26" s="103" t="s">
        <v>85</v>
      </c>
      <c r="C26" s="202">
        <f t="shared" ref="C26" si="37">+E26*$B$3</f>
        <v>10.58</v>
      </c>
      <c r="D26" s="204" t="e">
        <f>ABS('Preço SFCR-GROWATT JINKO 460Wp'!$G$43-C26)</f>
        <v>#DIV/0!</v>
      </c>
      <c r="E26" s="105">
        <f>+'FRONIUS-BYD 335Wp'!E26</f>
        <v>23</v>
      </c>
      <c r="F26" s="112">
        <f>+IF(L26=0,"",ROUND(N26/(1-'Tabela de BDI'!$C$3),0))</f>
        <v>40941</v>
      </c>
      <c r="G26" s="112">
        <f>+ROUND(F26+(F26*'Preço SFCR-GROWATT JINKO 460Wp'!$H$44),0)</f>
        <v>42988</v>
      </c>
      <c r="H26" s="107" t="s">
        <v>304</v>
      </c>
      <c r="I26" s="261"/>
      <c r="J26" s="265">
        <v>30159.72</v>
      </c>
      <c r="K26" s="149">
        <f t="shared" si="6"/>
        <v>30619.005076142133</v>
      </c>
      <c r="L26" s="106">
        <f t="shared" ref="L26" si="38">+I26+K26</f>
        <v>30619.005076142133</v>
      </c>
      <c r="M26" s="106">
        <f>+'FRONIUS-BYD 335Wp'!L26</f>
        <v>5000</v>
      </c>
      <c r="N26" s="106">
        <f t="shared" ref="N26" si="39">+L26+M26</f>
        <v>35619.00507614213</v>
      </c>
      <c r="O26" s="106">
        <f>+IF(F26="","",F26*'Tabela de BDI'!$C$7)</f>
        <v>3275.28</v>
      </c>
      <c r="P26" s="106">
        <f>IF(F26="","",F26*'Tabela de BDI'!$C$8)</f>
        <v>2047.0500000000002</v>
      </c>
      <c r="Q26" s="109">
        <f t="shared" si="3"/>
        <v>0.3371107225133389</v>
      </c>
      <c r="R26" s="110">
        <f t="shared" si="4"/>
        <v>3.8696597353497162</v>
      </c>
      <c r="S26" s="111">
        <f>+'Tabela de BDI'!$F$9*C26</f>
        <v>1269.5999999999999</v>
      </c>
      <c r="T26" s="114"/>
      <c r="V26" s="273">
        <f t="shared" si="12"/>
        <v>1530.9502538071067</v>
      </c>
      <c r="W26" s="273">
        <f t="shared" si="13"/>
        <v>6530.9502538071065</v>
      </c>
      <c r="X26" s="273">
        <f t="shared" si="14"/>
        <v>1950.8033225657582</v>
      </c>
      <c r="Y26" s="273">
        <f t="shared" si="15"/>
        <v>8481.7535763728647</v>
      </c>
      <c r="Z26" s="273">
        <f t="shared" si="16"/>
        <v>39100.758652514996</v>
      </c>
      <c r="AA26" s="279"/>
      <c r="AB26" s="278">
        <f t="shared" si="21"/>
        <v>4.4948617461346908E-2</v>
      </c>
    </row>
    <row r="27" spans="1:28" x14ac:dyDescent="0.25">
      <c r="A27" s="224"/>
      <c r="B27" s="103" t="s">
        <v>85</v>
      </c>
      <c r="C27" s="202">
        <f t="shared" si="0"/>
        <v>11.040000000000001</v>
      </c>
      <c r="D27" s="204" t="e">
        <f>ABS('Preço SFCR-GROWATT JINKO 460Wp'!$G$43-C27)</f>
        <v>#DIV/0!</v>
      </c>
      <c r="E27" s="105">
        <f>+'FRONIUS-BYD 335Wp'!E27</f>
        <v>24</v>
      </c>
      <c r="F27" s="112">
        <f>+IF(L27=0,"",ROUND(N27/(1-'Tabela de BDI'!$C$3),0))</f>
        <v>44936</v>
      </c>
      <c r="G27" s="112">
        <f>+ROUND(F27+(F27*'Preço SFCR-GROWATT JINKO 460Wp'!$H$44),0)</f>
        <v>47183</v>
      </c>
      <c r="H27" s="107" t="s">
        <v>255</v>
      </c>
      <c r="I27" s="261"/>
      <c r="J27" s="307">
        <v>33459.47</v>
      </c>
      <c r="K27" s="149">
        <f t="shared" si="6"/>
        <v>33969.005076142137</v>
      </c>
      <c r="L27" s="106">
        <f t="shared" si="1"/>
        <v>33969.005076142137</v>
      </c>
      <c r="M27" s="106">
        <f>+'FRONIUS-BYD 335Wp'!L27</f>
        <v>5125</v>
      </c>
      <c r="N27" s="106">
        <f t="shared" si="2"/>
        <v>39094.005076142137</v>
      </c>
      <c r="O27" s="106">
        <f>+IF(F27="","",F27*'Tabela de BDI'!$C$7)</f>
        <v>3594.88</v>
      </c>
      <c r="P27" s="106">
        <f>IF(F27="","",F27*'Tabela de BDI'!$C$8)</f>
        <v>2246.8000000000002</v>
      </c>
      <c r="Q27" s="109">
        <f t="shared" si="3"/>
        <v>0.32285299199299911</v>
      </c>
      <c r="R27" s="110">
        <f t="shared" si="4"/>
        <v>4.0702898550724633</v>
      </c>
      <c r="S27" s="111">
        <f>+'Tabela de BDI'!$F$9*C27</f>
        <v>1324.8000000000002</v>
      </c>
      <c r="T27" s="114"/>
      <c r="V27" s="273">
        <f t="shared" si="12"/>
        <v>1698.4502538071069</v>
      </c>
      <c r="W27" s="273">
        <f t="shared" si="13"/>
        <v>6823.4502538071065</v>
      </c>
      <c r="X27" s="273">
        <f t="shared" si="14"/>
        <v>2038.173452435889</v>
      </c>
      <c r="Y27" s="273">
        <f t="shared" si="15"/>
        <v>8861.6237062429955</v>
      </c>
      <c r="Z27" s="273">
        <f t="shared" si="16"/>
        <v>42830.628782385131</v>
      </c>
      <c r="AA27" s="279"/>
      <c r="AB27" s="278">
        <f t="shared" si="21"/>
        <v>4.6852661955111029E-2</v>
      </c>
    </row>
    <row r="28" spans="1:28" x14ac:dyDescent="0.25">
      <c r="A28" s="224"/>
      <c r="B28" s="103" t="s">
        <v>85</v>
      </c>
      <c r="C28" s="202">
        <f t="shared" si="0"/>
        <v>11.5</v>
      </c>
      <c r="D28" s="204" t="e">
        <f>ABS('Preço SFCR-GROWATT JINKO 460Wp'!$G$43-C28)</f>
        <v>#DIV/0!</v>
      </c>
      <c r="E28" s="105">
        <f>+'FRONIUS-BYD 335Wp'!E28</f>
        <v>25</v>
      </c>
      <c r="F28" s="112" t="str">
        <f>+IF(L28=0,"",ROUND(N28/(1-'Tabela de BDI'!$C$3),0))</f>
        <v/>
      </c>
      <c r="G28" s="112"/>
      <c r="H28" s="107"/>
      <c r="I28" s="261"/>
      <c r="J28" s="307"/>
      <c r="K28" s="149">
        <f t="shared" si="6"/>
        <v>0</v>
      </c>
      <c r="L28" s="106">
        <f t="shared" si="1"/>
        <v>0</v>
      </c>
      <c r="M28" s="106">
        <f>+'FRONIUS-BYD 335Wp'!L28</f>
        <v>5250</v>
      </c>
      <c r="N28" s="106">
        <f t="shared" si="2"/>
        <v>5250</v>
      </c>
      <c r="O28" s="106" t="str">
        <f>+IF(F28="","",F28*'Tabela de BDI'!$C$7)</f>
        <v/>
      </c>
      <c r="P28" s="106" t="str">
        <f>IF(F28="","",F28*'Tabela de BDI'!$C$8)</f>
        <v/>
      </c>
      <c r="Q28" s="109" t="str">
        <f t="shared" si="3"/>
        <v/>
      </c>
      <c r="R28" s="110" t="str">
        <f t="shared" si="4"/>
        <v/>
      </c>
      <c r="S28" s="111">
        <f>+'Tabela de BDI'!$F$9*C28</f>
        <v>1380</v>
      </c>
      <c r="T28" s="114"/>
      <c r="V28" s="273">
        <f t="shared" si="12"/>
        <v>0</v>
      </c>
      <c r="W28" s="273">
        <f t="shared" si="13"/>
        <v>5250</v>
      </c>
      <c r="X28" s="273">
        <f t="shared" si="14"/>
        <v>1568.181818181818</v>
      </c>
      <c r="Y28" s="273">
        <f t="shared" si="15"/>
        <v>6818.181818181818</v>
      </c>
      <c r="Z28" s="273" t="str">
        <f t="shared" si="16"/>
        <v/>
      </c>
      <c r="AA28" s="279"/>
      <c r="AB28" s="278" t="str">
        <f t="shared" si="21"/>
        <v/>
      </c>
    </row>
    <row r="29" spans="1:28" x14ac:dyDescent="0.25">
      <c r="A29" s="224"/>
      <c r="B29" s="103" t="s">
        <v>85</v>
      </c>
      <c r="C29" s="202">
        <f t="shared" si="0"/>
        <v>11.96</v>
      </c>
      <c r="D29" s="204" t="e">
        <f>ABS('Preço SFCR-GROWATT JINKO 460Wp'!$G$43-C29)</f>
        <v>#DIV/0!</v>
      </c>
      <c r="E29" s="105">
        <f>+'FRONIUS-BYD 335Wp'!E29</f>
        <v>26</v>
      </c>
      <c r="F29" s="112">
        <f>+IF(L29=0,"",ROUND(N29/(1-'Tabela de BDI'!$C$3),0))</f>
        <v>12962</v>
      </c>
      <c r="G29" s="112">
        <f>+ROUND(F29+(F29*'Preço SFCR-GROWATT JINKO 460Wp'!$H$44),0)</f>
        <v>13610</v>
      </c>
      <c r="H29" s="230" t="s">
        <v>255</v>
      </c>
      <c r="I29" s="261"/>
      <c r="J29" s="324">
        <v>5813.62</v>
      </c>
      <c r="K29" s="149">
        <f t="shared" si="6"/>
        <v>5902.1522842639597</v>
      </c>
      <c r="L29" s="106">
        <f t="shared" si="1"/>
        <v>5902.1522842639597</v>
      </c>
      <c r="M29" s="106">
        <f>+'FRONIUS-BYD 335Wp'!L29</f>
        <v>5375</v>
      </c>
      <c r="N29" s="106">
        <f t="shared" si="2"/>
        <v>11277.152284263961</v>
      </c>
      <c r="O29" s="106">
        <f>+IF(F29="","",F29*'Tabela de BDI'!$C$7)</f>
        <v>1036.96</v>
      </c>
      <c r="P29" s="106">
        <f>IF(F29="","",F29*'Tabela de BDI'!$C$8)</f>
        <v>648.1</v>
      </c>
      <c r="Q29" s="109">
        <f t="shared" si="3"/>
        <v>1.1961480110499136</v>
      </c>
      <c r="R29" s="110">
        <f t="shared" si="4"/>
        <v>1.0837792642140467</v>
      </c>
      <c r="S29" s="111">
        <f>+'Tabela de BDI'!$F$9*C29</f>
        <v>1435.2</v>
      </c>
      <c r="T29" s="114"/>
      <c r="V29" s="273">
        <f t="shared" si="12"/>
        <v>295.10761421319802</v>
      </c>
      <c r="W29" s="273">
        <f t="shared" si="13"/>
        <v>5670.1076142131978</v>
      </c>
      <c r="X29" s="273">
        <f t="shared" si="14"/>
        <v>1693.6685081416044</v>
      </c>
      <c r="Y29" s="273">
        <f t="shared" si="15"/>
        <v>7363.7761223548023</v>
      </c>
      <c r="Z29" s="273">
        <f t="shared" si="16"/>
        <v>13265.928406618761</v>
      </c>
      <c r="AA29" s="279"/>
      <c r="AB29" s="278">
        <f t="shared" si="21"/>
        <v>-2.3447647478688556E-2</v>
      </c>
    </row>
    <row r="30" spans="1:28" x14ac:dyDescent="0.25">
      <c r="A30" s="224"/>
      <c r="B30" s="103" t="s">
        <v>85</v>
      </c>
      <c r="C30" s="202">
        <f t="shared" si="0"/>
        <v>12.88</v>
      </c>
      <c r="D30" s="204" t="e">
        <f>ABS('Preço SFCR-GROWATT JINKO 460Wp'!$G$43-C30)</f>
        <v>#DIV/0!</v>
      </c>
      <c r="E30" s="105">
        <f>+'FRONIUS-BYD 335Wp'!E30</f>
        <v>28</v>
      </c>
      <c r="F30" s="112">
        <f>+IF(L30=0,"",ROUND(N30/(1-'Tabela de BDI'!$C$3),0))</f>
        <v>49016</v>
      </c>
      <c r="G30" s="112">
        <f>+ROUND(F30+(F30*'Preço SFCR-GROWATT JINKO 460Wp'!$H$44),0)</f>
        <v>51467</v>
      </c>
      <c r="H30" s="230" t="s">
        <v>255</v>
      </c>
      <c r="I30" s="261"/>
      <c r="J30" s="325">
        <v>36463.72</v>
      </c>
      <c r="K30" s="149">
        <f t="shared" si="6"/>
        <v>37019.005076142137</v>
      </c>
      <c r="L30" s="106">
        <f t="shared" si="1"/>
        <v>37019.005076142137</v>
      </c>
      <c r="M30" s="106">
        <f>+'FRONIUS-BYD 335Wp'!L30</f>
        <v>5625</v>
      </c>
      <c r="N30" s="106">
        <f t="shared" si="2"/>
        <v>42644.005076142137</v>
      </c>
      <c r="O30" s="106">
        <f>+IF(F30="","",F30*'Tabela de BDI'!$C$7)</f>
        <v>3921.28</v>
      </c>
      <c r="P30" s="106">
        <f>IF(F30="","",F30*'Tabela de BDI'!$C$8)</f>
        <v>2450.8000000000002</v>
      </c>
      <c r="Q30" s="109">
        <f t="shared" si="3"/>
        <v>0.32407664385312285</v>
      </c>
      <c r="R30" s="110">
        <f t="shared" si="4"/>
        <v>3.8055900621118011</v>
      </c>
      <c r="S30" s="111">
        <f>+'Tabela de BDI'!$F$9*C30</f>
        <v>1545.6000000000001</v>
      </c>
      <c r="T30" s="114"/>
      <c r="V30" s="273">
        <f t="shared" si="12"/>
        <v>1850.9502538071069</v>
      </c>
      <c r="W30" s="273">
        <f t="shared" si="13"/>
        <v>7475.9502538071065</v>
      </c>
      <c r="X30" s="273">
        <f t="shared" si="14"/>
        <v>2233.0760498384861</v>
      </c>
      <c r="Y30" s="273">
        <f t="shared" si="15"/>
        <v>9709.0263036455926</v>
      </c>
      <c r="Z30" s="273">
        <f t="shared" si="16"/>
        <v>46728.031379787732</v>
      </c>
      <c r="AA30" s="279"/>
      <c r="AB30" s="278">
        <f t="shared" si="21"/>
        <v>4.6677995352788243E-2</v>
      </c>
    </row>
    <row r="31" spans="1:28" x14ac:dyDescent="0.25">
      <c r="A31" s="224"/>
      <c r="B31" s="103" t="s">
        <v>85</v>
      </c>
      <c r="C31" s="202">
        <f t="shared" si="0"/>
        <v>13.8</v>
      </c>
      <c r="D31" s="204" t="e">
        <f>ABS('Preço SFCR-GROWATT JINKO 460Wp'!$G$43-C31)</f>
        <v>#DIV/0!</v>
      </c>
      <c r="E31" s="105">
        <f>+'FRONIUS-BYD 335Wp'!E31</f>
        <v>30</v>
      </c>
      <c r="F31" s="112">
        <f>+IF(L31=0,"",ROUND(N31/(1-'Tabela de BDI'!$C$3),0))</f>
        <v>51959</v>
      </c>
      <c r="G31" s="112">
        <f>+ROUND(F31+(F31*'Preço SFCR-GROWATT JINKO 460Wp'!$H$44),0)</f>
        <v>54557</v>
      </c>
      <c r="H31" s="230" t="s">
        <v>255</v>
      </c>
      <c r="I31" s="261"/>
      <c r="J31" s="325">
        <v>38739.07</v>
      </c>
      <c r="K31" s="149">
        <f t="shared" si="6"/>
        <v>39329.00507614213</v>
      </c>
      <c r="L31" s="106">
        <f t="shared" si="1"/>
        <v>39329.00507614213</v>
      </c>
      <c r="M31" s="106">
        <f>+'FRONIUS-BYD 335Wp'!L31</f>
        <v>5875</v>
      </c>
      <c r="N31" s="106">
        <f t="shared" si="2"/>
        <v>45204.00507614213</v>
      </c>
      <c r="O31" s="106">
        <f>+IF(F31="","",F31*'Tabela de BDI'!$C$7)</f>
        <v>4156.72</v>
      </c>
      <c r="P31" s="106">
        <f>IF(F31="","",F31*'Tabela de BDI'!$C$8)</f>
        <v>2597.9500000000003</v>
      </c>
      <c r="Q31" s="109">
        <f t="shared" si="3"/>
        <v>0.32113690390605665</v>
      </c>
      <c r="R31" s="110">
        <f t="shared" si="4"/>
        <v>3.7651449275362316</v>
      </c>
      <c r="S31" s="111">
        <f>+'Tabela de BDI'!$F$9*C31</f>
        <v>1656</v>
      </c>
      <c r="T31" s="114"/>
      <c r="V31" s="273">
        <f t="shared" si="12"/>
        <v>1966.4502538071065</v>
      </c>
      <c r="W31" s="273">
        <f t="shared" si="13"/>
        <v>7841.4502538071065</v>
      </c>
      <c r="X31" s="273">
        <f t="shared" si="14"/>
        <v>2342.2513745138112</v>
      </c>
      <c r="Y31" s="273">
        <f t="shared" si="15"/>
        <v>10183.701628320918</v>
      </c>
      <c r="Z31" s="273">
        <f t="shared" si="16"/>
        <v>49512.706704463046</v>
      </c>
      <c r="AA31" s="279"/>
      <c r="AB31" s="278">
        <f t="shared" si="21"/>
        <v>4.7081223571218737E-2</v>
      </c>
    </row>
    <row r="32" spans="1:28" x14ac:dyDescent="0.25">
      <c r="A32" s="224"/>
      <c r="B32" s="103" t="s">
        <v>85</v>
      </c>
      <c r="C32" s="202">
        <f t="shared" si="0"/>
        <v>14.72</v>
      </c>
      <c r="D32" s="204" t="e">
        <f>ABS('Preço SFCR-GROWATT JINKO 460Wp'!$G$43-C32)</f>
        <v>#DIV/0!</v>
      </c>
      <c r="E32" s="105">
        <f>+'FRONIUS-BYD 335Wp'!E32</f>
        <v>32</v>
      </c>
      <c r="F32" s="112">
        <f>+IF(L32=0,"",ROUND(N32/(1-'Tabela de BDI'!$C$3),0))</f>
        <v>57889</v>
      </c>
      <c r="G32" s="112">
        <f>+ROUND(F32+(F32*'Preço SFCR-GROWATT JINKO 460Wp'!$H$44),0)</f>
        <v>60783</v>
      </c>
      <c r="H32" s="107" t="s">
        <v>83</v>
      </c>
      <c r="I32" s="261"/>
      <c r="J32" s="325">
        <f>2*J19</f>
        <v>43574.44</v>
      </c>
      <c r="K32" s="150">
        <f t="shared" si="6"/>
        <v>44238.010152284267</v>
      </c>
      <c r="L32" s="106">
        <f t="shared" si="1"/>
        <v>44238.010152284267</v>
      </c>
      <c r="M32" s="106">
        <f>+'FRONIUS-BYD 335Wp'!L32</f>
        <v>6125</v>
      </c>
      <c r="N32" s="106">
        <f t="shared" si="2"/>
        <v>50363.010152284267</v>
      </c>
      <c r="O32" s="106">
        <f>+IF(F32="","",F32*'Tabela de BDI'!$C$7)</f>
        <v>4631.12</v>
      </c>
      <c r="P32" s="106">
        <f>IF(F32="","",F32*'Tabela de BDI'!$C$8)</f>
        <v>2894.4500000000003</v>
      </c>
      <c r="Q32" s="109">
        <f t="shared" si="3"/>
        <v>0.30858055777653132</v>
      </c>
      <c r="R32" s="110">
        <f t="shared" si="4"/>
        <v>3.9326766304347824</v>
      </c>
      <c r="S32" s="111">
        <f>+'Tabela de BDI'!$F$9*C32</f>
        <v>1766.4</v>
      </c>
      <c r="T32" s="114"/>
      <c r="V32" s="273">
        <f t="shared" si="12"/>
        <v>2211.9005076142134</v>
      </c>
      <c r="W32" s="273">
        <f t="shared" si="13"/>
        <v>8336.900507614213</v>
      </c>
      <c r="X32" s="273">
        <f t="shared" si="14"/>
        <v>2490.2430087678822</v>
      </c>
      <c r="Y32" s="273">
        <f t="shared" si="15"/>
        <v>10827.143516382095</v>
      </c>
      <c r="Z32" s="273">
        <f t="shared" si="16"/>
        <v>55065.15366866636</v>
      </c>
      <c r="AA32" s="279"/>
      <c r="AB32" s="278">
        <f t="shared" si="21"/>
        <v>4.8780361231557628E-2</v>
      </c>
    </row>
    <row r="33" spans="1:28" ht="15.75" customHeight="1" x14ac:dyDescent="0.25">
      <c r="A33" s="224"/>
      <c r="B33" s="103" t="s">
        <v>85</v>
      </c>
      <c r="C33" s="202">
        <f t="shared" si="0"/>
        <v>15.64</v>
      </c>
      <c r="D33" s="204" t="e">
        <f>ABS('Preço SFCR-GROWATT JINKO 460Wp'!$G$43-C33)</f>
        <v>#DIV/0!</v>
      </c>
      <c r="E33" s="105">
        <f>+'FRONIUS-BYD 335Wp'!E33</f>
        <v>34</v>
      </c>
      <c r="F33" s="112">
        <f>+IF(L33=0,"",ROUND(N33/(1-'Tabela de BDI'!$C$3),0))</f>
        <v>62067</v>
      </c>
      <c r="G33" s="112">
        <f>+ROUND(F33+(F33*'Preço SFCR-GROWATT JINKO 460Wp'!$H$44),0)</f>
        <v>65170</v>
      </c>
      <c r="H33" s="107" t="s">
        <v>83</v>
      </c>
      <c r="I33" s="261"/>
      <c r="J33" s="325">
        <f>2*J20</f>
        <v>46293.04</v>
      </c>
      <c r="K33" s="150">
        <f t="shared" si="6"/>
        <v>46998.010152284267</v>
      </c>
      <c r="L33" s="106">
        <f t="shared" si="1"/>
        <v>46998.010152284267</v>
      </c>
      <c r="M33" s="106">
        <f>+'FRONIUS-BYD 335Wp'!L33</f>
        <v>7000</v>
      </c>
      <c r="N33" s="106">
        <f t="shared" si="2"/>
        <v>53998.010152284267</v>
      </c>
      <c r="O33" s="106">
        <f>+IF(F33="","",F33*'Tabela de BDI'!$C$7)</f>
        <v>4965.3599999999997</v>
      </c>
      <c r="P33" s="106">
        <f>IF(F33="","",F33*'Tabela de BDI'!$C$8)</f>
        <v>3103.3500000000004</v>
      </c>
      <c r="Q33" s="109">
        <f t="shared" si="3"/>
        <v>0.32063037985839765</v>
      </c>
      <c r="R33" s="110">
        <f t="shared" si="4"/>
        <v>3.9684782608695652</v>
      </c>
      <c r="S33" s="111">
        <f>+'Tabela de BDI'!$F$9*C33</f>
        <v>1876.8000000000002</v>
      </c>
      <c r="T33" s="114"/>
      <c r="V33" s="273">
        <f t="shared" si="12"/>
        <v>2349.9005076142134</v>
      </c>
      <c r="W33" s="273">
        <f t="shared" si="13"/>
        <v>9349.900507614213</v>
      </c>
      <c r="X33" s="273">
        <f t="shared" si="14"/>
        <v>2792.8274243522974</v>
      </c>
      <c r="Y33" s="273">
        <f t="shared" si="15"/>
        <v>12142.72793196651</v>
      </c>
      <c r="Z33" s="273">
        <f t="shared" si="16"/>
        <v>59140.738084250777</v>
      </c>
      <c r="AA33" s="279"/>
      <c r="AB33" s="278">
        <f t="shared" si="21"/>
        <v>4.7146823847603762E-2</v>
      </c>
    </row>
    <row r="34" spans="1:28" ht="15.75" customHeight="1" x14ac:dyDescent="0.25">
      <c r="A34" s="224"/>
      <c r="B34" s="103" t="s">
        <v>85</v>
      </c>
      <c r="C34" s="202">
        <f t="shared" si="0"/>
        <v>16.560000000000002</v>
      </c>
      <c r="D34" s="204" t="e">
        <f>ABS('Preço SFCR-GROWATT JINKO 460Wp'!$G$43-C34)</f>
        <v>#DIV/0!</v>
      </c>
      <c r="E34" s="105">
        <f>+'FRONIUS-BYD 335Wp'!E34</f>
        <v>36</v>
      </c>
      <c r="F34" s="112">
        <f>+IF(L34=0,"",ROUND(N34/(1-'Tabela de BDI'!$C$3),0))</f>
        <v>64976</v>
      </c>
      <c r="G34" s="112">
        <f>+ROUND(F34+(F34*'Preço SFCR-GROWATT JINKO 460Wp'!$H$44),0)</f>
        <v>68225</v>
      </c>
      <c r="H34" s="107" t="s">
        <v>299</v>
      </c>
      <c r="I34" s="261"/>
      <c r="J34" s="265">
        <v>48539.82</v>
      </c>
      <c r="K34" s="149">
        <f t="shared" si="6"/>
        <v>49279.00507614213</v>
      </c>
      <c r="L34" s="106">
        <f t="shared" si="1"/>
        <v>49279.00507614213</v>
      </c>
      <c r="M34" s="106">
        <f>+'FRONIUS-BYD 335Wp'!L34</f>
        <v>7250</v>
      </c>
      <c r="N34" s="106">
        <f t="shared" si="2"/>
        <v>56529.00507614213</v>
      </c>
      <c r="O34" s="106">
        <f>+IF(F34="","",F34*'Tabela de BDI'!$C$7)</f>
        <v>5198.08</v>
      </c>
      <c r="P34" s="106">
        <f>IF(F34="","",F34*'Tabela de BDI'!$C$8)</f>
        <v>3248.8</v>
      </c>
      <c r="Q34" s="109">
        <f t="shared" si="3"/>
        <v>0.31853311363742187</v>
      </c>
      <c r="R34" s="110">
        <f t="shared" si="4"/>
        <v>3.9236714975845408</v>
      </c>
      <c r="S34" s="111">
        <f>+'Tabela de BDI'!$F$9*C34</f>
        <v>1987.2000000000003</v>
      </c>
      <c r="T34" s="114"/>
      <c r="V34" s="273">
        <f t="shared" si="12"/>
        <v>2463.9502538071065</v>
      </c>
      <c r="W34" s="273">
        <f t="shared" si="13"/>
        <v>9713.9502538071065</v>
      </c>
      <c r="X34" s="273">
        <f t="shared" si="14"/>
        <v>2901.5695563319932</v>
      </c>
      <c r="Y34" s="273">
        <f t="shared" si="15"/>
        <v>12615.5198101391</v>
      </c>
      <c r="Z34" s="273">
        <f t="shared" si="16"/>
        <v>61894.52488628123</v>
      </c>
      <c r="AA34" s="279"/>
      <c r="AB34" s="278">
        <f t="shared" si="21"/>
        <v>4.7424820144649875E-2</v>
      </c>
    </row>
    <row r="35" spans="1:28" ht="15.75" customHeight="1" x14ac:dyDescent="0.25">
      <c r="A35" s="224"/>
      <c r="B35" s="103" t="s">
        <v>85</v>
      </c>
      <c r="C35" s="202">
        <f t="shared" si="0"/>
        <v>17.48</v>
      </c>
      <c r="D35" s="204" t="e">
        <f>ABS('Preço SFCR-GROWATT JINKO 460Wp'!$G$43-C35)</f>
        <v>#DIV/0!</v>
      </c>
      <c r="E35" s="105">
        <f>+'FRONIUS-BYD 335Wp'!E35</f>
        <v>38</v>
      </c>
      <c r="F35" s="112">
        <f>+IF(L35=0,"",ROUND(N35/(1-'Tabela de BDI'!$C$3),0))</f>
        <v>67918</v>
      </c>
      <c r="G35" s="112">
        <f>+ROUND(F35+(F35*'Preço SFCR-GROWATT JINKO 460Wp'!$H$44),0)</f>
        <v>71314</v>
      </c>
      <c r="H35" s="107" t="s">
        <v>299</v>
      </c>
      <c r="I35" s="261"/>
      <c r="J35" s="265">
        <v>50815.17</v>
      </c>
      <c r="K35" s="149">
        <f t="shared" si="6"/>
        <v>51589.00507614213</v>
      </c>
      <c r="L35" s="106">
        <f t="shared" si="1"/>
        <v>51589.00507614213</v>
      </c>
      <c r="M35" s="106">
        <f>+'FRONIUS-BYD 335Wp'!L35</f>
        <v>7500</v>
      </c>
      <c r="N35" s="106">
        <f t="shared" si="2"/>
        <v>59089.00507614213</v>
      </c>
      <c r="O35" s="106">
        <f>+IF(F35="","",F35*'Tabela de BDI'!$C$7)</f>
        <v>5433.4400000000005</v>
      </c>
      <c r="P35" s="106">
        <f>IF(F35="","",F35*'Tabela de BDI'!$C$8)</f>
        <v>3395.9</v>
      </c>
      <c r="Q35" s="109">
        <f t="shared" si="3"/>
        <v>0.3165208342311952</v>
      </c>
      <c r="R35" s="110">
        <f t="shared" si="4"/>
        <v>3.8854691075514873</v>
      </c>
      <c r="S35" s="111">
        <f>+'Tabela de BDI'!$F$9*C35</f>
        <v>2097.6</v>
      </c>
      <c r="T35" s="114"/>
      <c r="V35" s="273">
        <f t="shared" si="12"/>
        <v>2579.4502538071065</v>
      </c>
      <c r="W35" s="273">
        <f t="shared" si="13"/>
        <v>10079.450253807106</v>
      </c>
      <c r="X35" s="273">
        <f t="shared" si="14"/>
        <v>3010.7448810073165</v>
      </c>
      <c r="Y35" s="273">
        <f t="shared" si="15"/>
        <v>13090.195134814423</v>
      </c>
      <c r="Z35" s="273">
        <f t="shared" si="16"/>
        <v>64679.200210956551</v>
      </c>
      <c r="AA35" s="279"/>
      <c r="AB35" s="278">
        <f t="shared" si="21"/>
        <v>4.7686913469823157E-2</v>
      </c>
    </row>
    <row r="36" spans="1:28" ht="15.75" customHeight="1" x14ac:dyDescent="0.25">
      <c r="A36" s="224"/>
      <c r="B36" s="103" t="s">
        <v>85</v>
      </c>
      <c r="C36" s="202">
        <f t="shared" si="0"/>
        <v>18.400000000000002</v>
      </c>
      <c r="D36" s="204" t="e">
        <f>ABS('Preço SFCR-GROWATT JINKO 460Wp'!$G$43-C36)</f>
        <v>#DIV/0!</v>
      </c>
      <c r="E36" s="105">
        <f>+'FRONIUS-BYD 335Wp'!E36</f>
        <v>40</v>
      </c>
      <c r="F36" s="112">
        <f>+IF(L36=0,"",ROUND(N36/(1-'Tabela de BDI'!$C$3),0))</f>
        <v>70436</v>
      </c>
      <c r="G36" s="112">
        <f>+ROUND(F36+(F36*'Preço SFCR-GROWATT JINKO 460Wp'!$H$44),0)</f>
        <v>73958</v>
      </c>
      <c r="H36" s="107" t="s">
        <v>299</v>
      </c>
      <c r="I36" s="261"/>
      <c r="J36" s="265">
        <v>52726.07</v>
      </c>
      <c r="K36" s="149">
        <f t="shared" si="6"/>
        <v>53529.00507614213</v>
      </c>
      <c r="L36" s="106">
        <f t="shared" si="1"/>
        <v>53529.00507614213</v>
      </c>
      <c r="M36" s="106">
        <f>+'FRONIUS-BYD 335Wp'!L36</f>
        <v>7750</v>
      </c>
      <c r="N36" s="106">
        <f t="shared" si="2"/>
        <v>61279.00507614213</v>
      </c>
      <c r="O36" s="106">
        <f>+IF(F36="","",F36*'Tabela de BDI'!$C$7)</f>
        <v>5634.88</v>
      </c>
      <c r="P36" s="106">
        <f>IF(F36="","",F36*'Tabela de BDI'!$C$8)</f>
        <v>3521.8</v>
      </c>
      <c r="Q36" s="109">
        <f t="shared" si="3"/>
        <v>0.31584735975960282</v>
      </c>
      <c r="R36" s="110">
        <f t="shared" si="4"/>
        <v>3.8280434782608692</v>
      </c>
      <c r="S36" s="111">
        <f>+'Tabela de BDI'!$F$9*C36</f>
        <v>2208.0000000000005</v>
      </c>
      <c r="T36" s="114"/>
      <c r="V36" s="273">
        <f t="shared" si="12"/>
        <v>2676.4502538071065</v>
      </c>
      <c r="W36" s="273">
        <f t="shared" si="13"/>
        <v>10426.450253807106</v>
      </c>
      <c r="X36" s="273">
        <f t="shared" si="14"/>
        <v>3114.3942316566681</v>
      </c>
      <c r="Y36" s="273">
        <f t="shared" si="15"/>
        <v>13540.844485463775</v>
      </c>
      <c r="Z36" s="273">
        <f t="shared" si="16"/>
        <v>67069.849561605908</v>
      </c>
      <c r="AA36" s="279"/>
      <c r="AB36" s="278">
        <f t="shared" si="21"/>
        <v>4.7790198739197168E-2</v>
      </c>
    </row>
    <row r="37" spans="1:28" ht="15.75" customHeight="1" x14ac:dyDescent="0.25">
      <c r="A37" s="224"/>
      <c r="B37" s="103" t="s">
        <v>85</v>
      </c>
      <c r="C37" s="202">
        <f t="shared" si="0"/>
        <v>19.32</v>
      </c>
      <c r="D37" s="204" t="e">
        <f>ABS('Preço SFCR-GROWATT JINKO 460Wp'!$G$43-C37)</f>
        <v>#DIV/0!</v>
      </c>
      <c r="E37" s="105">
        <f>+'FRONIUS-BYD 335Wp'!E37</f>
        <v>42</v>
      </c>
      <c r="F37" s="112">
        <f>+IF(L37=0,"",ROUND(N37/(1-'Tabela de BDI'!$C$3),0))</f>
        <v>73378</v>
      </c>
      <c r="G37" s="112">
        <f>+ROUND(F37+(F37*'Preço SFCR-GROWATT JINKO 460Wp'!$H$44),0)</f>
        <v>77047</v>
      </c>
      <c r="H37" s="107" t="s">
        <v>299</v>
      </c>
      <c r="I37" s="261"/>
      <c r="J37" s="265">
        <v>55001.42</v>
      </c>
      <c r="K37" s="149">
        <f t="shared" si="6"/>
        <v>55839.00507614213</v>
      </c>
      <c r="L37" s="106">
        <f t="shared" si="1"/>
        <v>55839.00507614213</v>
      </c>
      <c r="M37" s="106">
        <f>+'FRONIUS-BYD 335Wp'!L37</f>
        <v>8000</v>
      </c>
      <c r="N37" s="106">
        <f t="shared" si="2"/>
        <v>63839.00507614213</v>
      </c>
      <c r="O37" s="106">
        <f>+IF(F37="","",F37*'Tabela de BDI'!$C$7)</f>
        <v>5870.24</v>
      </c>
      <c r="P37" s="106">
        <f>IF(F37="","",F37*'Tabela de BDI'!$C$8)</f>
        <v>3668.9</v>
      </c>
      <c r="Q37" s="109">
        <f t="shared" si="3"/>
        <v>0.31409934507145459</v>
      </c>
      <c r="R37" s="110">
        <f t="shared" si="4"/>
        <v>3.7980331262939959</v>
      </c>
      <c r="S37" s="111">
        <f>+'Tabela de BDI'!$F$9*C37</f>
        <v>2318.4</v>
      </c>
      <c r="T37" s="114"/>
      <c r="V37" s="273">
        <f t="shared" si="12"/>
        <v>2791.9502538071065</v>
      </c>
      <c r="W37" s="273">
        <f t="shared" si="13"/>
        <v>10791.950253807106</v>
      </c>
      <c r="X37" s="273">
        <f t="shared" si="14"/>
        <v>3223.5695563319932</v>
      </c>
      <c r="Y37" s="273">
        <f t="shared" si="15"/>
        <v>14015.5198101391</v>
      </c>
      <c r="Z37" s="273">
        <f t="shared" si="16"/>
        <v>69854.52488628123</v>
      </c>
      <c r="AA37" s="279"/>
      <c r="AB37" s="278">
        <f t="shared" si="21"/>
        <v>4.8018140501495957E-2</v>
      </c>
    </row>
    <row r="38" spans="1:28" ht="15.75" customHeight="1" x14ac:dyDescent="0.25">
      <c r="A38" s="224"/>
      <c r="B38" s="103" t="s">
        <v>85</v>
      </c>
      <c r="C38" s="202">
        <f t="shared" si="0"/>
        <v>20.240000000000002</v>
      </c>
      <c r="D38" s="204" t="e">
        <f>ABS('Preço SFCR-GROWATT JINKO 460Wp'!$G$43-C38)</f>
        <v>#DIV/0!</v>
      </c>
      <c r="E38" s="105">
        <f>+'FRONIUS-BYD 335Wp'!E38</f>
        <v>44</v>
      </c>
      <c r="F38" s="112">
        <f>+IF(L38=0,"",ROUND(N38/(1-'Tabela de BDI'!$C$3),0))</f>
        <v>75884</v>
      </c>
      <c r="G38" s="112">
        <f>+ROUND(F38+(F38*'Preço SFCR-GROWATT JINKO 460Wp'!$H$44),0)</f>
        <v>79678</v>
      </c>
      <c r="H38" s="107" t="s">
        <v>299</v>
      </c>
      <c r="I38" s="261"/>
      <c r="J38" s="325">
        <v>56902.47</v>
      </c>
      <c r="K38" s="149">
        <f t="shared" si="6"/>
        <v>57769.005076142137</v>
      </c>
      <c r="L38" s="106">
        <f t="shared" si="1"/>
        <v>57769.005076142137</v>
      </c>
      <c r="M38" s="106">
        <f>+'FRONIUS-BYD 335Wp'!L38</f>
        <v>8250</v>
      </c>
      <c r="N38" s="106">
        <f t="shared" si="2"/>
        <v>66019.005076142144</v>
      </c>
      <c r="O38" s="106">
        <f>+IF(F38="","",F38*'Tabela de BDI'!$C$7)</f>
        <v>6070.72</v>
      </c>
      <c r="P38" s="106">
        <f>IF(F38="","",F38*'Tabela de BDI'!$C$8)</f>
        <v>3794.2000000000003</v>
      </c>
      <c r="Q38" s="109">
        <f t="shared" si="3"/>
        <v>0.31357637023489476</v>
      </c>
      <c r="R38" s="110">
        <f t="shared" si="4"/>
        <v>3.7492094861660075</v>
      </c>
      <c r="S38" s="111">
        <f>+'Tabela de BDI'!$F$9*C38</f>
        <v>2428.8000000000002</v>
      </c>
      <c r="T38" s="114"/>
      <c r="V38" s="273">
        <f t="shared" si="12"/>
        <v>2888.4502538071069</v>
      </c>
      <c r="W38" s="273">
        <f t="shared" si="13"/>
        <v>11138.450253807106</v>
      </c>
      <c r="X38" s="273">
        <f t="shared" si="14"/>
        <v>3327.0695563319932</v>
      </c>
      <c r="Y38" s="273">
        <f t="shared" si="15"/>
        <v>14465.5198101391</v>
      </c>
      <c r="Z38" s="273">
        <f t="shared" si="16"/>
        <v>72234.52488628123</v>
      </c>
      <c r="AA38" s="279"/>
      <c r="AB38" s="278">
        <f t="shared" si="21"/>
        <v>4.8092814212729568E-2</v>
      </c>
    </row>
    <row r="39" spans="1:28" ht="15.75" customHeight="1" x14ac:dyDescent="0.25">
      <c r="A39" s="224"/>
      <c r="B39" s="103" t="s">
        <v>85</v>
      </c>
      <c r="C39" s="202">
        <f t="shared" si="0"/>
        <v>21.16</v>
      </c>
      <c r="D39" s="204" t="e">
        <f>ABS('Preço SFCR-GROWATT JINKO 460Wp'!$G$43-C39)</f>
        <v>#DIV/0!</v>
      </c>
      <c r="E39" s="105">
        <f>+'FRONIUS-BYD 335Wp'!E39</f>
        <v>46</v>
      </c>
      <c r="F39" s="112">
        <f>+IF(L39=0,"",ROUND(N39/(1-'Tabela de BDI'!$C$3),0))</f>
        <v>79700</v>
      </c>
      <c r="G39" s="112">
        <f>+ROUND(F39+(F39*'Preço SFCR-GROWATT JINKO 460Wp'!$H$44),0)</f>
        <v>83685</v>
      </c>
      <c r="H39" s="107" t="s">
        <v>300</v>
      </c>
      <c r="I39" s="261"/>
      <c r="J39" s="325">
        <v>59926.42</v>
      </c>
      <c r="K39" s="149">
        <f t="shared" si="6"/>
        <v>60839.00507614213</v>
      </c>
      <c r="L39" s="106">
        <f t="shared" si="1"/>
        <v>60839.00507614213</v>
      </c>
      <c r="M39" s="106">
        <f>+'FRONIUS-BYD 335Wp'!L39</f>
        <v>8500</v>
      </c>
      <c r="N39" s="106">
        <f t="shared" si="2"/>
        <v>69339.00507614213</v>
      </c>
      <c r="O39" s="106">
        <f>+IF(F39="","",F39*'Tabela de BDI'!$C$7)</f>
        <v>6376</v>
      </c>
      <c r="P39" s="106">
        <f>IF(F39="","",F39*'Tabela de BDI'!$C$8)</f>
        <v>3985</v>
      </c>
      <c r="Q39" s="109">
        <f t="shared" si="3"/>
        <v>0.3100148482088535</v>
      </c>
      <c r="R39" s="110">
        <f t="shared" si="4"/>
        <v>3.7665406427221173</v>
      </c>
      <c r="S39" s="111">
        <f>+'Tabela de BDI'!$F$9*C39</f>
        <v>2539.1999999999998</v>
      </c>
      <c r="T39" s="114"/>
      <c r="V39" s="273">
        <f t="shared" si="12"/>
        <v>3041.9502538071065</v>
      </c>
      <c r="W39" s="273">
        <f t="shared" si="13"/>
        <v>11541.950253807106</v>
      </c>
      <c r="X39" s="273">
        <f t="shared" si="14"/>
        <v>3447.5955303579667</v>
      </c>
      <c r="Y39" s="273">
        <f t="shared" si="15"/>
        <v>14989.545784165073</v>
      </c>
      <c r="Z39" s="273">
        <f t="shared" si="16"/>
        <v>75828.550860307208</v>
      </c>
      <c r="AA39" s="279"/>
      <c r="AB39" s="278">
        <f t="shared" si="21"/>
        <v>4.8575271514338665E-2</v>
      </c>
    </row>
    <row r="40" spans="1:28" ht="15.75" customHeight="1" x14ac:dyDescent="0.25">
      <c r="A40" s="224"/>
      <c r="B40" s="103" t="s">
        <v>85</v>
      </c>
      <c r="C40" s="202">
        <f t="shared" si="0"/>
        <v>22.080000000000002</v>
      </c>
      <c r="D40" s="204" t="e">
        <f>ABS('Preço SFCR-GROWATT JINKO 460Wp'!$G$43-C40)</f>
        <v>#DIV/0!</v>
      </c>
      <c r="E40" s="105">
        <f>+'FRONIUS-BYD 335Wp'!E40</f>
        <v>48</v>
      </c>
      <c r="F40" s="112">
        <f>+IF(L40=0,"",ROUND(N40/(1-'Tabela de BDI'!$C$3),0))</f>
        <v>82217</v>
      </c>
      <c r="G40" s="112">
        <f>+ROUND(F40+(F40*'Preço SFCR-GROWATT JINKO 460Wp'!$H$44),0)</f>
        <v>86328</v>
      </c>
      <c r="H40" s="107" t="s">
        <v>300</v>
      </c>
      <c r="I40" s="261"/>
      <c r="J40" s="265">
        <v>61837.32</v>
      </c>
      <c r="K40" s="149">
        <f t="shared" si="6"/>
        <v>62779.00507614213</v>
      </c>
      <c r="L40" s="106">
        <f t="shared" si="1"/>
        <v>62779.00507614213</v>
      </c>
      <c r="M40" s="106">
        <f>+'FRONIUS-BYD 335Wp'!L40</f>
        <v>8750</v>
      </c>
      <c r="N40" s="106">
        <f t="shared" si="2"/>
        <v>71529.00507614213</v>
      </c>
      <c r="O40" s="106">
        <f>+IF(F40="","",F40*'Tabela de BDI'!$C$7)</f>
        <v>6577.3600000000006</v>
      </c>
      <c r="P40" s="106">
        <f>IF(F40="","",F40*'Tabela de BDI'!$C$8)</f>
        <v>4110.8500000000004</v>
      </c>
      <c r="Q40" s="109">
        <f t="shared" ref="Q40:Q67" si="40">IF(F40="","",(F40-L40)/L40)</f>
        <v>0.3096257244007341</v>
      </c>
      <c r="R40" s="110">
        <f t="shared" ref="R40:R69" si="41">IF(F40="","",(F40/C40)/1000)</f>
        <v>3.7235960144927533</v>
      </c>
      <c r="S40" s="111">
        <f>+'Tabela de BDI'!$F$9*C40</f>
        <v>2649.6000000000004</v>
      </c>
      <c r="T40" s="114"/>
      <c r="V40" s="273">
        <f t="shared" si="12"/>
        <v>3138.9502538071065</v>
      </c>
      <c r="W40" s="273">
        <f t="shared" si="13"/>
        <v>11888.950253807106</v>
      </c>
      <c r="X40" s="273">
        <f t="shared" si="14"/>
        <v>3551.2448810073165</v>
      </c>
      <c r="Y40" s="273">
        <f t="shared" si="15"/>
        <v>15440.195134814423</v>
      </c>
      <c r="Z40" s="273">
        <f t="shared" si="16"/>
        <v>78219.200210956551</v>
      </c>
      <c r="AA40" s="279"/>
      <c r="AB40" s="278">
        <f t="shared" si="21"/>
        <v>4.8624977669380405E-2</v>
      </c>
    </row>
    <row r="41" spans="1:28" ht="15.75" customHeight="1" x14ac:dyDescent="0.25">
      <c r="A41" s="224"/>
      <c r="B41" s="103" t="s">
        <v>85</v>
      </c>
      <c r="C41" s="202">
        <f t="shared" si="0"/>
        <v>23</v>
      </c>
      <c r="D41" s="204" t="e">
        <f>ABS('Preço SFCR-GROWATT JINKO 460Wp'!$G$43-C41)</f>
        <v>#DIV/0!</v>
      </c>
      <c r="E41" s="105">
        <f>+'FRONIUS-BYD 335Wp'!E41</f>
        <v>50</v>
      </c>
      <c r="F41" s="112">
        <f>+IF(L41=0,"",ROUND(N41/(1-'Tabela de BDI'!$C$3),0))</f>
        <v>85148</v>
      </c>
      <c r="G41" s="112">
        <f>+ROUND(F41+(F41*'Preço SFCR-GROWATT JINKO 460Wp'!$H$44),0)</f>
        <v>89405</v>
      </c>
      <c r="H41" s="107" t="s">
        <v>300</v>
      </c>
      <c r="I41" s="261"/>
      <c r="J41" s="265">
        <v>64102.82</v>
      </c>
      <c r="K41" s="149">
        <f t="shared" si="6"/>
        <v>65079.00507614213</v>
      </c>
      <c r="L41" s="106">
        <f t="shared" si="1"/>
        <v>65079.00507614213</v>
      </c>
      <c r="M41" s="106">
        <f>+'FRONIUS-BYD 335Wp'!L41</f>
        <v>9000</v>
      </c>
      <c r="N41" s="106">
        <f t="shared" si="2"/>
        <v>74079.00507614213</v>
      </c>
      <c r="O41" s="106">
        <f>+IF(F41="","",F41*'Tabela de BDI'!$C$7)</f>
        <v>6811.84</v>
      </c>
      <c r="P41" s="106">
        <f>IF(F41="","",F41*'Tabela de BDI'!$C$8)</f>
        <v>4257.4000000000005</v>
      </c>
      <c r="Q41" s="109">
        <f t="shared" si="40"/>
        <v>0.30837894495125179</v>
      </c>
      <c r="R41" s="110">
        <f t="shared" si="41"/>
        <v>3.7020869565217391</v>
      </c>
      <c r="S41" s="111">
        <f>+'Tabela de BDI'!$F$9*C41</f>
        <v>2760</v>
      </c>
      <c r="T41" s="114"/>
      <c r="V41" s="273">
        <f t="shared" si="12"/>
        <v>3253.9502538071065</v>
      </c>
      <c r="W41" s="273">
        <f t="shared" si="13"/>
        <v>12253.950253807106</v>
      </c>
      <c r="X41" s="273">
        <f t="shared" si="14"/>
        <v>3660.2708550332918</v>
      </c>
      <c r="Y41" s="273">
        <f t="shared" si="15"/>
        <v>15914.221108840398</v>
      </c>
      <c r="Z41" s="273">
        <f t="shared" si="16"/>
        <v>80993.22618498253</v>
      </c>
      <c r="AA41" s="279"/>
      <c r="AB41" s="278">
        <f t="shared" si="21"/>
        <v>4.8794731702652673E-2</v>
      </c>
    </row>
    <row r="42" spans="1:28" ht="15.75" customHeight="1" x14ac:dyDescent="0.25">
      <c r="A42" s="224"/>
      <c r="B42" s="103" t="s">
        <v>85</v>
      </c>
      <c r="C42" s="202">
        <f t="shared" si="0"/>
        <v>23.92</v>
      </c>
      <c r="D42" s="204" t="e">
        <f>ABS('Preço SFCR-GROWATT JINKO 460Wp'!$G$43-C42)</f>
        <v>#DIV/0!</v>
      </c>
      <c r="E42" s="105">
        <f>+'FRONIUS-BYD 335Wp'!E42</f>
        <v>52</v>
      </c>
      <c r="F42" s="112">
        <f>+IF(L42=0,"",ROUND(N42/(1-'Tabela de BDI'!$C$3),0))</f>
        <v>87666</v>
      </c>
      <c r="G42" s="112">
        <f>+ROUND(F42+(F42*'Preço SFCR-GROWATT JINKO 460Wp'!$H$44),0)</f>
        <v>92049</v>
      </c>
      <c r="H42" s="107" t="s">
        <v>300</v>
      </c>
      <c r="I42" s="261"/>
      <c r="J42" s="265">
        <v>66013.72</v>
      </c>
      <c r="K42" s="149">
        <f t="shared" si="6"/>
        <v>67019.00507614213</v>
      </c>
      <c r="L42" s="106">
        <f t="shared" si="1"/>
        <v>67019.00507614213</v>
      </c>
      <c r="M42" s="106">
        <f>+'FRONIUS-BYD 335Wp'!L42</f>
        <v>9250</v>
      </c>
      <c r="N42" s="106">
        <f t="shared" si="2"/>
        <v>76269.00507614213</v>
      </c>
      <c r="O42" s="106">
        <f>+IF(F42="","",F42*'Tabela de BDI'!$C$7)</f>
        <v>7013.28</v>
      </c>
      <c r="P42" s="106">
        <f>IF(F42="","",F42*'Tabela de BDI'!$C$8)</f>
        <v>4383.3</v>
      </c>
      <c r="Q42" s="109">
        <f t="shared" si="40"/>
        <v>0.30807671496167771</v>
      </c>
      <c r="R42" s="110">
        <f t="shared" si="41"/>
        <v>3.6649665551839461</v>
      </c>
      <c r="S42" s="111">
        <f>+'Tabela de BDI'!$F$9*C42</f>
        <v>2870.4</v>
      </c>
      <c r="T42" s="114"/>
      <c r="V42" s="273">
        <f t="shared" si="12"/>
        <v>3350.9502538071065</v>
      </c>
      <c r="W42" s="273">
        <f t="shared" si="13"/>
        <v>12600.950253807106</v>
      </c>
      <c r="X42" s="273">
        <f t="shared" si="14"/>
        <v>3763.9202056826416</v>
      </c>
      <c r="Y42" s="273">
        <f t="shared" si="15"/>
        <v>16364.870459489748</v>
      </c>
      <c r="Z42" s="273">
        <f t="shared" si="16"/>
        <v>83383.875535631872</v>
      </c>
      <c r="AA42" s="279"/>
      <c r="AB42" s="278">
        <f t="shared" si="21"/>
        <v>4.8845897661215609E-2</v>
      </c>
    </row>
    <row r="43" spans="1:28" ht="15.75" customHeight="1" x14ac:dyDescent="0.25">
      <c r="A43" s="224"/>
      <c r="B43" s="103" t="s">
        <v>85</v>
      </c>
      <c r="C43" s="202">
        <f t="shared" si="0"/>
        <v>24.84</v>
      </c>
      <c r="D43" s="204" t="e">
        <f>ABS('Preço SFCR-GROWATT JINKO 460Wp'!$G$43-C43)</f>
        <v>#DIV/0!</v>
      </c>
      <c r="E43" s="105">
        <f>+'FRONIUS-BYD 335Wp'!E43</f>
        <v>54</v>
      </c>
      <c r="F43" s="112">
        <f>+IF(L43=0,"",ROUND(N43/(1-'Tabela de BDI'!$C$3),0))</f>
        <v>90022</v>
      </c>
      <c r="G43" s="112">
        <f>+ROUND(F43+(F43*'Preço SFCR-GROWATT JINKO 460Wp'!$H$44),0)</f>
        <v>94523</v>
      </c>
      <c r="H43" s="107" t="s">
        <v>300</v>
      </c>
      <c r="I43" s="261"/>
      <c r="J43" s="265">
        <v>67786.720000000001</v>
      </c>
      <c r="K43" s="149">
        <f t="shared" si="6"/>
        <v>68819.00507614213</v>
      </c>
      <c r="L43" s="106">
        <f t="shared" si="1"/>
        <v>68819.00507614213</v>
      </c>
      <c r="M43" s="106">
        <f>+'FRONIUS-BYD 335Wp'!L43</f>
        <v>9500</v>
      </c>
      <c r="N43" s="106">
        <f t="shared" si="2"/>
        <v>78319.00507614213</v>
      </c>
      <c r="O43" s="106">
        <f>+IF(F43="","",F43*'Tabela de BDI'!$C$7)</f>
        <v>7201.76</v>
      </c>
      <c r="P43" s="106">
        <f>IF(F43="","",F43*'Tabela de BDI'!$C$8)</f>
        <v>4501.1000000000004</v>
      </c>
      <c r="Q43" s="109">
        <f t="shared" si="40"/>
        <v>0.30809795783008831</v>
      </c>
      <c r="R43" s="110">
        <f t="shared" si="41"/>
        <v>3.6240740740740738</v>
      </c>
      <c r="S43" s="111">
        <f>+'Tabela de BDI'!$F$9*C43</f>
        <v>2980.8</v>
      </c>
      <c r="T43" s="114"/>
      <c r="V43" s="273">
        <f t="shared" si="12"/>
        <v>3440.9502538071065</v>
      </c>
      <c r="W43" s="273">
        <f t="shared" si="13"/>
        <v>12940.950253807106</v>
      </c>
      <c r="X43" s="273">
        <f t="shared" si="14"/>
        <v>3865.4786472410851</v>
      </c>
      <c r="Y43" s="273">
        <f t="shared" si="15"/>
        <v>16806.428901048192</v>
      </c>
      <c r="Z43" s="273">
        <f t="shared" si="16"/>
        <v>85625.433977190318</v>
      </c>
      <c r="AA43" s="279"/>
      <c r="AB43" s="278">
        <f t="shared" si="21"/>
        <v>4.8838795214610674E-2</v>
      </c>
    </row>
    <row r="44" spans="1:28" ht="15.75" customHeight="1" x14ac:dyDescent="0.25">
      <c r="A44" s="224"/>
      <c r="B44" s="103" t="s">
        <v>85</v>
      </c>
      <c r="C44" s="202">
        <f t="shared" si="0"/>
        <v>25.76</v>
      </c>
      <c r="D44" s="204" t="e">
        <f>ABS('Preço SFCR-GROWATT JINKO 460Wp'!$G$43-C44)</f>
        <v>#DIV/0!</v>
      </c>
      <c r="E44" s="105">
        <f>+'FRONIUS-BYD 335Wp'!E44</f>
        <v>56</v>
      </c>
      <c r="F44" s="112">
        <f>+IF(L44=0,"",ROUND(N44/(1-'Tabela de BDI'!$C$3),0))</f>
        <v>92528</v>
      </c>
      <c r="G44" s="112">
        <f>+ROUND(F44+(F44*'Preço SFCR-GROWATT JINKO 460Wp'!$H$44),0)</f>
        <v>97154</v>
      </c>
      <c r="H44" s="107" t="s">
        <v>300</v>
      </c>
      <c r="I44" s="261"/>
      <c r="J44" s="265">
        <v>69687.77</v>
      </c>
      <c r="K44" s="149">
        <f t="shared" si="6"/>
        <v>70749.00507614213</v>
      </c>
      <c r="L44" s="106">
        <f t="shared" si="1"/>
        <v>70749.00507614213</v>
      </c>
      <c r="M44" s="106">
        <f>+'FRONIUS-BYD 335Wp'!L44</f>
        <v>9750</v>
      </c>
      <c r="N44" s="106">
        <f t="shared" si="2"/>
        <v>80499.00507614213</v>
      </c>
      <c r="O44" s="106">
        <f>+IF(F44="","",F44*'Tabela de BDI'!$C$7)</f>
        <v>7402.24</v>
      </c>
      <c r="P44" s="106">
        <f>IF(F44="","",F44*'Tabela de BDI'!$C$8)</f>
        <v>4626.4000000000005</v>
      </c>
      <c r="Q44" s="109">
        <f t="shared" si="40"/>
        <v>0.30783464587832271</v>
      </c>
      <c r="R44" s="110">
        <f t="shared" si="41"/>
        <v>3.5919254658385089</v>
      </c>
      <c r="S44" s="111">
        <f>+'Tabela de BDI'!$F$9*C44</f>
        <v>3091.2000000000003</v>
      </c>
      <c r="T44" s="114"/>
      <c r="V44" s="273">
        <f t="shared" si="12"/>
        <v>3537.4502538071065</v>
      </c>
      <c r="W44" s="273">
        <f t="shared" si="13"/>
        <v>13287.450253807106</v>
      </c>
      <c r="X44" s="273">
        <f t="shared" si="14"/>
        <v>3968.9786472410851</v>
      </c>
      <c r="Y44" s="273">
        <f t="shared" si="15"/>
        <v>17256.428901048192</v>
      </c>
      <c r="Z44" s="273">
        <f t="shared" si="16"/>
        <v>88005.433977190318</v>
      </c>
      <c r="AA44" s="279"/>
      <c r="AB44" s="278">
        <f t="shared" si="21"/>
        <v>4.8877810206744796E-2</v>
      </c>
    </row>
    <row r="45" spans="1:28" ht="15.75" customHeight="1" x14ac:dyDescent="0.25">
      <c r="A45" s="224"/>
      <c r="B45" s="103" t="s">
        <v>85</v>
      </c>
      <c r="C45" s="202">
        <f t="shared" si="0"/>
        <v>26.68</v>
      </c>
      <c r="D45" s="204" t="e">
        <f>ABS('Preço SFCR-GROWATT JINKO 460Wp'!$G$43-C45)</f>
        <v>#DIV/0!</v>
      </c>
      <c r="E45" s="105">
        <f>+'FRONIUS-BYD 335Wp'!E45</f>
        <v>58</v>
      </c>
      <c r="F45" s="112">
        <f>+IF(L45=0,"",ROUND(N45/(1-'Tabela de BDI'!$C$3),0))</f>
        <v>95447</v>
      </c>
      <c r="G45" s="112">
        <f>+ROUND(F45+(F45*'Preço SFCR-GROWATT JINKO 460Wp'!$H$44),0)</f>
        <v>100219</v>
      </c>
      <c r="H45" s="107" t="s">
        <v>300</v>
      </c>
      <c r="I45" s="261"/>
      <c r="J45" s="265">
        <v>71943.42</v>
      </c>
      <c r="K45" s="149">
        <f t="shared" si="6"/>
        <v>73039.00507614213</v>
      </c>
      <c r="L45" s="106">
        <f t="shared" si="1"/>
        <v>73039.00507614213</v>
      </c>
      <c r="M45" s="106">
        <f>+'FRONIUS-BYD 335Wp'!L45</f>
        <v>10000</v>
      </c>
      <c r="N45" s="106">
        <f t="shared" si="2"/>
        <v>83039.00507614213</v>
      </c>
      <c r="O45" s="106">
        <f>+IF(F45="","",F45*'Tabela de BDI'!$C$7)</f>
        <v>7635.76</v>
      </c>
      <c r="P45" s="106">
        <f>IF(F45="","",F45*'Tabela de BDI'!$C$8)</f>
        <v>4772.3500000000004</v>
      </c>
      <c r="Q45" s="109">
        <f t="shared" si="40"/>
        <v>0.30679490911052049</v>
      </c>
      <c r="R45" s="110">
        <f t="shared" si="41"/>
        <v>3.5774737631184408</v>
      </c>
      <c r="S45" s="111">
        <f>+'Tabela de BDI'!$F$9*C45</f>
        <v>3201.6</v>
      </c>
      <c r="T45" s="114"/>
      <c r="V45" s="273">
        <f t="shared" si="12"/>
        <v>3651.9502538071065</v>
      </c>
      <c r="W45" s="273">
        <f t="shared" si="13"/>
        <v>13651.950253807106</v>
      </c>
      <c r="X45" s="273">
        <f t="shared" si="14"/>
        <v>4077.855270617707</v>
      </c>
      <c r="Y45" s="273">
        <f t="shared" si="15"/>
        <v>17729.805524424813</v>
      </c>
      <c r="Z45" s="273">
        <f t="shared" si="16"/>
        <v>90768.81060056694</v>
      </c>
      <c r="AA45" s="279"/>
      <c r="AB45" s="278">
        <f t="shared" si="21"/>
        <v>4.9013477630863833E-2</v>
      </c>
    </row>
    <row r="46" spans="1:28" ht="15.75" customHeight="1" x14ac:dyDescent="0.25">
      <c r="A46" s="224"/>
      <c r="B46" s="103" t="s">
        <v>85</v>
      </c>
      <c r="C46" s="202">
        <f t="shared" si="0"/>
        <v>27.6</v>
      </c>
      <c r="D46" s="204" t="e">
        <f>ABS('Preço SFCR-GROWATT JINKO 460Wp'!$G$43-C46)</f>
        <v>#DIV/0!</v>
      </c>
      <c r="E46" s="105">
        <f>+'FRONIUS-BYD 335Wp'!E46</f>
        <v>60</v>
      </c>
      <c r="F46" s="112">
        <f>+IF(L46=0,"",ROUND(N46/(1-'Tabela de BDI'!$C$3),0))</f>
        <v>101378</v>
      </c>
      <c r="G46" s="112">
        <f>+ROUND(F46+(F46*'Preço SFCR-GROWATT JINKO 460Wp'!$H$44),0)</f>
        <v>106447</v>
      </c>
      <c r="H46" s="107" t="s">
        <v>301</v>
      </c>
      <c r="I46" s="261"/>
      <c r="J46" s="265">
        <v>76779.77</v>
      </c>
      <c r="K46" s="149">
        <f t="shared" si="6"/>
        <v>77949.005076142144</v>
      </c>
      <c r="L46" s="106">
        <f t="shared" si="1"/>
        <v>77949.005076142144</v>
      </c>
      <c r="M46" s="106">
        <f>+'FRONIUS-BYD 335Wp'!L46</f>
        <v>10250</v>
      </c>
      <c r="N46" s="106">
        <f t="shared" si="2"/>
        <v>88199.005076142144</v>
      </c>
      <c r="O46" s="106">
        <f>+IF(F46="","",F46*'Tabela de BDI'!$C$7)</f>
        <v>8110.24</v>
      </c>
      <c r="P46" s="106">
        <f>IF(F46="","",F46*'Tabela de BDI'!$C$8)</f>
        <v>5068.9000000000005</v>
      </c>
      <c r="Q46" s="109">
        <f t="shared" si="40"/>
        <v>0.30056823561727242</v>
      </c>
      <c r="R46" s="110">
        <f t="shared" si="41"/>
        <v>3.6731159420289856</v>
      </c>
      <c r="S46" s="111">
        <f>+'Tabela de BDI'!$F$9*C46</f>
        <v>3312</v>
      </c>
      <c r="T46" s="114"/>
      <c r="V46" s="273">
        <f t="shared" si="12"/>
        <v>3897.4502538071074</v>
      </c>
      <c r="W46" s="273">
        <f t="shared" si="13"/>
        <v>14147.450253807106</v>
      </c>
      <c r="X46" s="273">
        <f t="shared" si="14"/>
        <v>4225.8617641242017</v>
      </c>
      <c r="Y46" s="273">
        <f t="shared" si="15"/>
        <v>18373.312017931308</v>
      </c>
      <c r="Z46" s="273">
        <f t="shared" si="16"/>
        <v>96322.317094073456</v>
      </c>
      <c r="AA46" s="279"/>
      <c r="AB46" s="278">
        <f t="shared" si="21"/>
        <v>4.9869625618246011E-2</v>
      </c>
    </row>
    <row r="47" spans="1:28" ht="15.75" customHeight="1" x14ac:dyDescent="0.25">
      <c r="A47" s="224"/>
      <c r="B47" s="103" t="s">
        <v>85</v>
      </c>
      <c r="C47" s="202">
        <f t="shared" si="0"/>
        <v>28.52</v>
      </c>
      <c r="D47" s="204" t="e">
        <f>ABS('Preço SFCR-GROWATT JINKO 460Wp'!$G$43-C47)</f>
        <v>#DIV/0!</v>
      </c>
      <c r="E47" s="105">
        <f>+'FRONIUS-BYD 335Wp'!E47</f>
        <v>62</v>
      </c>
      <c r="F47" s="112">
        <f>+IF(L47=0,"",ROUND(N47/(1-'Tabela de BDI'!$C$3),0))</f>
        <v>104298</v>
      </c>
      <c r="G47" s="112">
        <f>+ROUND(F47+(F47*'Preço SFCR-GROWATT JINKO 460Wp'!$H$44),0)</f>
        <v>109513</v>
      </c>
      <c r="H47" s="107" t="s">
        <v>301</v>
      </c>
      <c r="I47" s="261"/>
      <c r="J47" s="265">
        <v>79035.42</v>
      </c>
      <c r="K47" s="149">
        <f t="shared" si="6"/>
        <v>80239.00507614213</v>
      </c>
      <c r="L47" s="106">
        <f t="shared" si="1"/>
        <v>80239.00507614213</v>
      </c>
      <c r="M47" s="106">
        <f>+'FRONIUS-BYD 335Wp'!L47</f>
        <v>10500</v>
      </c>
      <c r="N47" s="106">
        <f t="shared" si="2"/>
        <v>90739.00507614213</v>
      </c>
      <c r="O47" s="106">
        <f>+IF(F47="","",F47*'Tabela de BDI'!$C$7)</f>
        <v>8343.84</v>
      </c>
      <c r="P47" s="106">
        <f>IF(F47="","",F47*'Tabela de BDI'!$C$8)</f>
        <v>5214.9000000000005</v>
      </c>
      <c r="Q47" s="109">
        <f t="shared" si="40"/>
        <v>0.29984164062138219</v>
      </c>
      <c r="R47" s="110">
        <f t="shared" si="41"/>
        <v>3.6570126227208974</v>
      </c>
      <c r="S47" s="111">
        <f>+'Tabela de BDI'!$F$9*C47</f>
        <v>3422.4</v>
      </c>
      <c r="T47" s="114"/>
      <c r="V47" s="273">
        <f t="shared" si="12"/>
        <v>4011.9502538071065</v>
      </c>
      <c r="W47" s="273">
        <f t="shared" si="13"/>
        <v>14511.950253807106</v>
      </c>
      <c r="X47" s="273">
        <f t="shared" si="14"/>
        <v>4334.7383875008236</v>
      </c>
      <c r="Y47" s="273">
        <f t="shared" si="15"/>
        <v>18846.68864130793</v>
      </c>
      <c r="Z47" s="273">
        <f t="shared" si="16"/>
        <v>99085.693717450064</v>
      </c>
      <c r="AA47" s="279"/>
      <c r="AB47" s="278">
        <f t="shared" si="21"/>
        <v>4.9975131666474298E-2</v>
      </c>
    </row>
    <row r="48" spans="1:28" ht="15.75" customHeight="1" x14ac:dyDescent="0.25">
      <c r="A48" s="224"/>
      <c r="B48" s="103" t="s">
        <v>85</v>
      </c>
      <c r="C48" s="202">
        <f t="shared" si="0"/>
        <v>29.44</v>
      </c>
      <c r="D48" s="204" t="e">
        <f>ABS('Preço SFCR-GROWATT JINKO 460Wp'!$G$43-C48)</f>
        <v>#DIV/0!</v>
      </c>
      <c r="E48" s="105">
        <f>+'FRONIUS-BYD 335Wp'!E48</f>
        <v>64</v>
      </c>
      <c r="F48" s="112">
        <f>+IF(L48=0,"",ROUND(N48/(1-'Tabela de BDI'!$C$3),0))</f>
        <v>106803</v>
      </c>
      <c r="G48" s="112">
        <f>+ROUND(F48+(F48*'Preço SFCR-GROWATT JINKO 460Wp'!$H$44),0)</f>
        <v>112143</v>
      </c>
      <c r="H48" s="107" t="s">
        <v>301</v>
      </c>
      <c r="I48" s="261"/>
      <c r="J48" s="265">
        <v>80936.47</v>
      </c>
      <c r="K48" s="149">
        <f t="shared" si="6"/>
        <v>82169.00507614213</v>
      </c>
      <c r="L48" s="106">
        <f t="shared" si="1"/>
        <v>82169.00507614213</v>
      </c>
      <c r="M48" s="106">
        <f>+'FRONIUS-BYD 335Wp'!L48</f>
        <v>10750</v>
      </c>
      <c r="N48" s="106">
        <f t="shared" si="2"/>
        <v>92919.00507614213</v>
      </c>
      <c r="O48" s="106">
        <f>+IF(F48="","",F48*'Tabela de BDI'!$C$7)</f>
        <v>8544.24</v>
      </c>
      <c r="P48" s="106">
        <f>IF(F48="","",F48*'Tabela de BDI'!$C$8)</f>
        <v>5340.1500000000005</v>
      </c>
      <c r="Q48" s="109">
        <f t="shared" si="40"/>
        <v>0.29979668003805954</v>
      </c>
      <c r="R48" s="110">
        <f t="shared" si="41"/>
        <v>3.6278192934782605</v>
      </c>
      <c r="S48" s="111">
        <f>+'Tabela de BDI'!$F$9*C48</f>
        <v>3532.8</v>
      </c>
      <c r="T48" s="114"/>
      <c r="V48" s="273">
        <f t="shared" si="12"/>
        <v>4108.4502538071065</v>
      </c>
      <c r="W48" s="273">
        <f t="shared" si="13"/>
        <v>14858.450253807106</v>
      </c>
      <c r="X48" s="273">
        <f t="shared" si="14"/>
        <v>4438.2383875008236</v>
      </c>
      <c r="Y48" s="273">
        <f t="shared" si="15"/>
        <v>19296.68864130793</v>
      </c>
      <c r="Z48" s="273">
        <f t="shared" si="16"/>
        <v>101465.69371745006</v>
      </c>
      <c r="AA48" s="279"/>
      <c r="AB48" s="278">
        <f t="shared" si="21"/>
        <v>4.9973374180031803E-2</v>
      </c>
    </row>
    <row r="49" spans="1:28" ht="15.75" customHeight="1" x14ac:dyDescent="0.25">
      <c r="A49" s="224"/>
      <c r="B49" s="116" t="s">
        <v>89</v>
      </c>
      <c r="C49" s="202">
        <f t="shared" si="0"/>
        <v>30.360000000000003</v>
      </c>
      <c r="D49" s="204" t="e">
        <f>ABS('Preço SFCR-GROWATT JINKO 460Wp'!$G$43-C49)</f>
        <v>#DIV/0!</v>
      </c>
      <c r="E49" s="181">
        <v>66</v>
      </c>
      <c r="F49" s="112">
        <f>+IF(L49=0,"",ROUND(N49/(1-'Tabela de BDI'!$C$3),0))</f>
        <v>110872</v>
      </c>
      <c r="G49" s="112">
        <f>+ROUND(F49+(F49*'Preço SFCR-GROWATT JINKO 460Wp'!$H$44),0)</f>
        <v>116416</v>
      </c>
      <c r="H49" s="107" t="s">
        <v>301</v>
      </c>
      <c r="I49" s="261"/>
      <c r="J49" s="265">
        <v>83192.12</v>
      </c>
      <c r="K49" s="149">
        <f t="shared" si="6"/>
        <v>84459.00507614213</v>
      </c>
      <c r="L49" s="106">
        <f t="shared" si="1"/>
        <v>84459.00507614213</v>
      </c>
      <c r="M49" s="168">
        <v>12000</v>
      </c>
      <c r="N49" s="106">
        <f t="shared" si="2"/>
        <v>96459.00507614213</v>
      </c>
      <c r="O49" s="106">
        <f>+IF(F49="","",F49*'Tabela de BDI'!$C$7)</f>
        <v>8869.76</v>
      </c>
      <c r="P49" s="106">
        <f>IF(F49="","",F49*'Tabela de BDI'!$C$8)</f>
        <v>5543.6</v>
      </c>
      <c r="Q49" s="109">
        <f t="shared" si="40"/>
        <v>0.31273154236242573</v>
      </c>
      <c r="R49" s="110">
        <f t="shared" si="41"/>
        <v>3.6519104084321472</v>
      </c>
      <c r="S49" s="111">
        <f>+'Tabela de BDI'!$F$9*C49</f>
        <v>3643.2000000000003</v>
      </c>
      <c r="T49" s="114"/>
      <c r="V49" s="273">
        <f t="shared" si="12"/>
        <v>4222.9502538071065</v>
      </c>
      <c r="W49" s="273">
        <f t="shared" si="13"/>
        <v>16222.950253807106</v>
      </c>
      <c r="X49" s="273">
        <f t="shared" si="14"/>
        <v>4845.8163095787459</v>
      </c>
      <c r="Y49" s="273">
        <f t="shared" si="15"/>
        <v>21068.766563385852</v>
      </c>
      <c r="Z49" s="273">
        <f t="shared" si="16"/>
        <v>105527.77163952799</v>
      </c>
      <c r="AA49" s="279"/>
      <c r="AB49" s="278">
        <f t="shared" si="21"/>
        <v>4.8201785486615321E-2</v>
      </c>
    </row>
    <row r="50" spans="1:28" ht="15.75" customHeight="1" x14ac:dyDescent="0.25">
      <c r="A50" s="224"/>
      <c r="B50" s="116" t="s">
        <v>89</v>
      </c>
      <c r="C50" s="202">
        <f t="shared" si="0"/>
        <v>31.28</v>
      </c>
      <c r="D50" s="204" t="e">
        <f>ABS('Preço SFCR-GROWATT JINKO 460Wp'!$G$43-C50)</f>
        <v>#DIV/0!</v>
      </c>
      <c r="E50" s="181">
        <v>68</v>
      </c>
      <c r="F50" s="112">
        <f>+IF(L50=0,"",ROUND(N50/(1-'Tabela de BDI'!$C$3),0))</f>
        <v>113367</v>
      </c>
      <c r="G50" s="112">
        <f>+ROUND(F50+(F50*'Preço SFCR-GROWATT JINKO 460Wp'!$H$44),0)</f>
        <v>119035</v>
      </c>
      <c r="H50" s="107" t="s">
        <v>301</v>
      </c>
      <c r="I50" s="261"/>
      <c r="J50" s="265">
        <v>85083.32</v>
      </c>
      <c r="K50" s="149">
        <f t="shared" si="6"/>
        <v>86379.005076142144</v>
      </c>
      <c r="L50" s="106">
        <f t="shared" si="1"/>
        <v>86379.005076142144</v>
      </c>
      <c r="M50" s="151">
        <f t="shared" ref="M50:M67" si="42">+((M49+(E50-E49)*125))</f>
        <v>12250</v>
      </c>
      <c r="N50" s="106">
        <f t="shared" si="2"/>
        <v>98629.005076142144</v>
      </c>
      <c r="O50" s="106">
        <f>+IF(F50="","",F50*'Tabela de BDI'!$C$7)</f>
        <v>9069.36</v>
      </c>
      <c r="P50" s="106">
        <f>IF(F50="","",F50*'Tabela de BDI'!$C$8)</f>
        <v>5668.35</v>
      </c>
      <c r="Q50" s="109">
        <f t="shared" si="40"/>
        <v>0.31243697354546091</v>
      </c>
      <c r="R50" s="110">
        <f t="shared" si="41"/>
        <v>3.6242647058823527</v>
      </c>
      <c r="S50" s="111">
        <f>+'Tabela de BDI'!$F$9*C50</f>
        <v>3753.6000000000004</v>
      </c>
      <c r="T50" s="114"/>
      <c r="V50" s="273">
        <f t="shared" si="12"/>
        <v>4318.9502538071074</v>
      </c>
      <c r="W50" s="273">
        <f t="shared" si="13"/>
        <v>16568.950253807106</v>
      </c>
      <c r="X50" s="273">
        <f t="shared" si="14"/>
        <v>4949.1669589293961</v>
      </c>
      <c r="Y50" s="273">
        <f t="shared" si="15"/>
        <v>21518.117212736503</v>
      </c>
      <c r="Z50" s="273">
        <f t="shared" si="16"/>
        <v>107897.12228887864</v>
      </c>
      <c r="AA50" s="279"/>
      <c r="AB50" s="278">
        <f t="shared" si="21"/>
        <v>4.8249293984328388E-2</v>
      </c>
    </row>
    <row r="51" spans="1:28" s="315" customFormat="1" ht="15.75" customHeight="1" x14ac:dyDescent="0.25">
      <c r="A51" s="316"/>
      <c r="B51" s="116" t="s">
        <v>89</v>
      </c>
      <c r="C51" s="202">
        <f t="shared" ref="C51" si="43">+E51*$B$3</f>
        <v>32.200000000000003</v>
      </c>
      <c r="D51" s="204" t="e">
        <f>ABS('Preço SFCR-GROWATT JINKO 460Wp'!$G$43-C51)</f>
        <v>#DIV/0!</v>
      </c>
      <c r="E51" s="181">
        <v>70</v>
      </c>
      <c r="F51" s="112">
        <f>+IF(L51=0,"",ROUND(N51/(1-'Tabela de BDI'!$C$3),0))</f>
        <v>118022</v>
      </c>
      <c r="G51" s="112">
        <f>+ROUND(F51+(F51*'Preço SFCR-GROWATT JINKO 460Wp'!$H$44),0)</f>
        <v>123923</v>
      </c>
      <c r="H51" s="107" t="s">
        <v>302</v>
      </c>
      <c r="I51" s="261"/>
      <c r="J51" s="265">
        <v>88826.32</v>
      </c>
      <c r="K51" s="149">
        <f t="shared" ref="K51" si="44">+J51/(1-$J$5)</f>
        <v>90179.005076142144</v>
      </c>
      <c r="L51" s="106">
        <f t="shared" ref="L51" si="45">+I51+K51</f>
        <v>90179.005076142144</v>
      </c>
      <c r="M51" s="151">
        <f t="shared" ref="M51" si="46">+((M50+(E51-E50)*125))</f>
        <v>12500</v>
      </c>
      <c r="N51" s="106">
        <f t="shared" ref="N51" si="47">+L51+M51</f>
        <v>102679.00507614214</v>
      </c>
      <c r="O51" s="106">
        <f>+IF(F51="","",F51*'Tabela de BDI'!$C$7)</f>
        <v>9441.76</v>
      </c>
      <c r="P51" s="106">
        <f>IF(F51="","",F51*'Tabela de BDI'!$C$8)</f>
        <v>5901.1</v>
      </c>
      <c r="Q51" s="109">
        <f t="shared" ref="Q51" si="48">IF(F51="","",(F51-L51)/L51)</f>
        <v>0.30875251839769996</v>
      </c>
      <c r="R51" s="110">
        <f t="shared" ref="R51" si="49">IF(F51="","",(F51/C51)/1000)</f>
        <v>3.66527950310559</v>
      </c>
      <c r="S51" s="111">
        <f>+'Tabela de BDI'!$F$9*C51</f>
        <v>3864.0000000000005</v>
      </c>
      <c r="T51" s="114"/>
      <c r="V51" s="273"/>
      <c r="W51" s="273"/>
      <c r="X51" s="273"/>
      <c r="Y51" s="273"/>
      <c r="Z51" s="273"/>
      <c r="AB51" s="278"/>
    </row>
    <row r="52" spans="1:28" s="315" customFormat="1" ht="15.75" customHeight="1" x14ac:dyDescent="0.25">
      <c r="A52" s="316"/>
      <c r="B52" s="116" t="s">
        <v>89</v>
      </c>
      <c r="C52" s="202">
        <f t="shared" ref="C52" si="50">+E52*$B$3</f>
        <v>33.120000000000005</v>
      </c>
      <c r="D52" s="204" t="e">
        <f>ABS('Preço SFCR-GROWATT JINKO 460Wp'!$G$43-C52)</f>
        <v>#DIV/0!</v>
      </c>
      <c r="E52" s="181">
        <v>72</v>
      </c>
      <c r="F52" s="112">
        <f>+IF(L52=0,"",ROUND(N52/(1-'Tabela de BDI'!$C$3),0))</f>
        <v>120516</v>
      </c>
      <c r="G52" s="112">
        <f>+ROUND(F52+(F52*'Preço SFCR-GROWATT JINKO 460Wp'!$H$44),0)</f>
        <v>126542</v>
      </c>
      <c r="H52" s="107" t="s">
        <v>302</v>
      </c>
      <c r="I52" s="261"/>
      <c r="J52" s="265">
        <v>90717.52</v>
      </c>
      <c r="K52" s="149">
        <f t="shared" ref="K52" si="51">+J52/(1-$J$5)</f>
        <v>92099.005076142144</v>
      </c>
      <c r="L52" s="106">
        <f t="shared" ref="L52" si="52">+I52+K52</f>
        <v>92099.005076142144</v>
      </c>
      <c r="M52" s="151">
        <f t="shared" ref="M52" si="53">+((M51+(E52-E51)*125))</f>
        <v>12750</v>
      </c>
      <c r="N52" s="106">
        <f t="shared" ref="N52" si="54">+L52+M52</f>
        <v>104849.00507614214</v>
      </c>
      <c r="O52" s="106">
        <f>+IF(F52="","",F52*'Tabela de BDI'!$C$7)</f>
        <v>9641.2800000000007</v>
      </c>
      <c r="P52" s="106">
        <f>IF(F52="","",F52*'Tabela de BDI'!$C$8)</f>
        <v>6025.8</v>
      </c>
      <c r="Q52" s="109">
        <f t="shared" ref="Q52" si="55">IF(F52="","",(F52-L52)/L52)</f>
        <v>0.30854833774115503</v>
      </c>
      <c r="R52" s="110">
        <f t="shared" ref="R52" si="56">IF(F52="","",(F52/C52)/1000)</f>
        <v>3.6387681159420286</v>
      </c>
      <c r="S52" s="111">
        <f>+'Tabela de BDI'!$F$9*C52</f>
        <v>3974.4000000000005</v>
      </c>
      <c r="T52" s="114"/>
      <c r="V52" s="273"/>
      <c r="W52" s="273"/>
      <c r="X52" s="273"/>
      <c r="Y52" s="273"/>
      <c r="Z52" s="273"/>
      <c r="AB52" s="278"/>
    </row>
    <row r="53" spans="1:28" ht="15.75" customHeight="1" x14ac:dyDescent="0.25">
      <c r="A53" s="224"/>
      <c r="B53" s="116" t="s">
        <v>89</v>
      </c>
      <c r="C53" s="202">
        <f t="shared" si="0"/>
        <v>34.04</v>
      </c>
      <c r="D53" s="204" t="e">
        <f>ABS('Preço SFCR-GROWATT JINKO 460Wp'!$G$43-C53)</f>
        <v>#DIV/0!</v>
      </c>
      <c r="E53" s="181">
        <v>74</v>
      </c>
      <c r="F53" s="112">
        <f>+IF(L53=0,"",ROUND(N53/(1-'Tabela de BDI'!$C$3),0))</f>
        <v>124712</v>
      </c>
      <c r="G53" s="112">
        <f>+ROUND(F53+(F53*'Preço SFCR-GROWATT JINKO 460Wp'!$H$44),0)</f>
        <v>130948</v>
      </c>
      <c r="H53" s="107" t="s">
        <v>302</v>
      </c>
      <c r="I53" s="261"/>
      <c r="J53" s="265">
        <v>94066.52</v>
      </c>
      <c r="K53" s="149">
        <f t="shared" si="6"/>
        <v>95499.005076142144</v>
      </c>
      <c r="L53" s="106">
        <f t="shared" si="1"/>
        <v>95499.005076142144</v>
      </c>
      <c r="M53" s="151">
        <f>+((M50+(E53-E50)*125))</f>
        <v>13000</v>
      </c>
      <c r="N53" s="106">
        <f t="shared" si="2"/>
        <v>108499.00507614214</v>
      </c>
      <c r="O53" s="106">
        <f>+IF(F53="","",F53*'Tabela de BDI'!$C$7)</f>
        <v>9976.9600000000009</v>
      </c>
      <c r="P53" s="106">
        <f>IF(F53="","",F53*'Tabela de BDI'!$C$8)</f>
        <v>6235.6</v>
      </c>
      <c r="Q53" s="109">
        <f t="shared" si="40"/>
        <v>0.30589842167011155</v>
      </c>
      <c r="R53" s="110">
        <f t="shared" si="41"/>
        <v>3.6636897767332552</v>
      </c>
      <c r="S53" s="111">
        <f>+'Tabela de BDI'!$F$9*C53</f>
        <v>4084.7999999999997</v>
      </c>
      <c r="T53" s="114"/>
      <c r="V53" s="273">
        <f t="shared" si="12"/>
        <v>4774.9502538071074</v>
      </c>
      <c r="W53" s="273">
        <f t="shared" si="13"/>
        <v>17774.950253807106</v>
      </c>
      <c r="X53" s="273">
        <f t="shared" si="14"/>
        <v>5309.4007251631629</v>
      </c>
      <c r="Y53" s="273">
        <f t="shared" si="15"/>
        <v>23084.350978970269</v>
      </c>
      <c r="Z53" s="273">
        <f t="shared" si="16"/>
        <v>118583.35605511241</v>
      </c>
      <c r="AA53" s="279"/>
      <c r="AB53" s="278">
        <f t="shared" si="21"/>
        <v>4.9142375592465759E-2</v>
      </c>
    </row>
    <row r="54" spans="1:28" ht="15.75" customHeight="1" x14ac:dyDescent="0.25">
      <c r="A54" s="224"/>
      <c r="B54" s="116" t="s">
        <v>89</v>
      </c>
      <c r="C54" s="202">
        <f t="shared" si="0"/>
        <v>34.96</v>
      </c>
      <c r="D54" s="204" t="e">
        <f>ABS('Preço SFCR-GROWATT JINKO 460Wp'!$G$43-C54)</f>
        <v>#DIV/0!</v>
      </c>
      <c r="E54" s="181">
        <v>76</v>
      </c>
      <c r="F54" s="112">
        <f>+IF(L54=0,"",ROUND(N54/(1-'Tabela de BDI'!$C$3),0))</f>
        <v>127217</v>
      </c>
      <c r="G54" s="112">
        <f>+ROUND(F54+(F54*'Preço SFCR-GROWATT JINKO 460Wp'!$H$44),0)</f>
        <v>133578</v>
      </c>
      <c r="H54" s="107" t="s">
        <v>302</v>
      </c>
      <c r="I54" s="261"/>
      <c r="J54" s="265">
        <v>95967.57</v>
      </c>
      <c r="K54" s="149">
        <f t="shared" si="6"/>
        <v>97429.005076142144</v>
      </c>
      <c r="L54" s="106">
        <f t="shared" si="1"/>
        <v>97429.005076142144</v>
      </c>
      <c r="M54" s="151">
        <f>+((M53+(E54-E53)*125))</f>
        <v>13250</v>
      </c>
      <c r="N54" s="106">
        <f t="shared" si="2"/>
        <v>110679.00507614214</v>
      </c>
      <c r="O54" s="106">
        <f>+IF(F54="","",F54*'Tabela de BDI'!$C$7)</f>
        <v>10177.36</v>
      </c>
      <c r="P54" s="106">
        <f>IF(F54="","",F54*'Tabela de BDI'!$C$8)</f>
        <v>6360.85</v>
      </c>
      <c r="Q54" s="109">
        <f t="shared" si="40"/>
        <v>0.30574052255360828</v>
      </c>
      <c r="R54" s="110">
        <f t="shared" si="41"/>
        <v>3.6389302059496567</v>
      </c>
      <c r="S54" s="111">
        <f>+'Tabela de BDI'!$F$9*C54</f>
        <v>4195.2</v>
      </c>
      <c r="T54" s="114"/>
      <c r="V54" s="273">
        <f t="shared" si="12"/>
        <v>4871.4502538071074</v>
      </c>
      <c r="W54" s="273">
        <f t="shared" si="13"/>
        <v>18121.450253807106</v>
      </c>
      <c r="X54" s="273">
        <f t="shared" si="14"/>
        <v>5412.9007251631629</v>
      </c>
      <c r="Y54" s="273">
        <f t="shared" si="15"/>
        <v>23534.350978970269</v>
      </c>
      <c r="Z54" s="273">
        <f t="shared" si="16"/>
        <v>120963.35605511241</v>
      </c>
      <c r="AA54" s="279"/>
      <c r="AB54" s="278">
        <f t="shared" si="21"/>
        <v>4.9157297726621363E-2</v>
      </c>
    </row>
    <row r="55" spans="1:28" ht="15.75" customHeight="1" x14ac:dyDescent="0.25">
      <c r="A55" s="224"/>
      <c r="B55" s="116" t="s">
        <v>89</v>
      </c>
      <c r="C55" s="202">
        <f t="shared" si="0"/>
        <v>35.880000000000003</v>
      </c>
      <c r="D55" s="204" t="e">
        <f>ABS('Preço SFCR-GROWATT JINKO 460Wp'!$G$43-C55)</f>
        <v>#DIV/0!</v>
      </c>
      <c r="E55" s="181">
        <v>78</v>
      </c>
      <c r="F55" s="112">
        <f>+IF(L55=0,"",ROUND(N55/(1-'Tabela de BDI'!$C$3),0))</f>
        <v>130137</v>
      </c>
      <c r="G55" s="112">
        <f>+ROUND(F55+(F55*'Preço SFCR-GROWATT JINKO 460Wp'!$H$44),0)</f>
        <v>136644</v>
      </c>
      <c r="H55" s="107" t="s">
        <v>302</v>
      </c>
      <c r="I55" s="261"/>
      <c r="J55" s="265">
        <v>98223.22</v>
      </c>
      <c r="K55" s="149">
        <f t="shared" si="6"/>
        <v>99719.00507614213</v>
      </c>
      <c r="L55" s="106">
        <f t="shared" si="1"/>
        <v>99719.00507614213</v>
      </c>
      <c r="M55" s="151">
        <f t="shared" si="42"/>
        <v>13500</v>
      </c>
      <c r="N55" s="106">
        <f t="shared" si="2"/>
        <v>113219.00507614213</v>
      </c>
      <c r="O55" s="106">
        <f>+IF(F55="","",F55*'Tabela de BDI'!$C$7)</f>
        <v>10410.960000000001</v>
      </c>
      <c r="P55" s="106">
        <f>IF(F55="","",F55*'Tabela de BDI'!$C$8)</f>
        <v>6506.85</v>
      </c>
      <c r="Q55" s="109">
        <f t="shared" si="40"/>
        <v>0.30503708797166296</v>
      </c>
      <c r="R55" s="110">
        <f t="shared" si="41"/>
        <v>3.6270066889632102</v>
      </c>
      <c r="S55" s="111">
        <f>+'Tabela de BDI'!$F$9*C55</f>
        <v>4305.6000000000004</v>
      </c>
      <c r="T55" s="114"/>
      <c r="V55" s="273">
        <f t="shared" si="12"/>
        <v>4985.9502538071065</v>
      </c>
      <c r="W55" s="273">
        <f t="shared" si="13"/>
        <v>18485.950253807106</v>
      </c>
      <c r="X55" s="273">
        <f t="shared" si="14"/>
        <v>5521.7773485397847</v>
      </c>
      <c r="Y55" s="273">
        <f t="shared" si="15"/>
        <v>24007.727602346891</v>
      </c>
      <c r="Z55" s="273">
        <f t="shared" si="16"/>
        <v>123726.73267848902</v>
      </c>
      <c r="AA55" s="279"/>
      <c r="AB55" s="278">
        <f t="shared" si="21"/>
        <v>4.925783844341719E-2</v>
      </c>
    </row>
    <row r="56" spans="1:28" ht="15.75" customHeight="1" x14ac:dyDescent="0.25">
      <c r="A56" s="224"/>
      <c r="B56" s="116" t="s">
        <v>89</v>
      </c>
      <c r="C56" s="202">
        <f t="shared" si="0"/>
        <v>36.800000000000004</v>
      </c>
      <c r="D56" s="204" t="e">
        <f>ABS('Preço SFCR-GROWATT JINKO 460Wp'!$G$43-C56)</f>
        <v>#DIV/0!</v>
      </c>
      <c r="E56" s="181">
        <v>80</v>
      </c>
      <c r="F56" s="112">
        <f>+IF(L56=0,"",ROUND(N56/(1-'Tabela de BDI'!$C$3),0))</f>
        <v>132631</v>
      </c>
      <c r="G56" s="112">
        <f>+ROUND(F56+(F56*'Preço SFCR-GROWATT JINKO 460Wp'!$H$44),0)</f>
        <v>139263</v>
      </c>
      <c r="H56" s="107" t="s">
        <v>302</v>
      </c>
      <c r="I56" s="261"/>
      <c r="J56" s="265">
        <v>100114.42</v>
      </c>
      <c r="K56" s="149">
        <f t="shared" si="6"/>
        <v>101639.00507614213</v>
      </c>
      <c r="L56" s="106">
        <f t="shared" si="1"/>
        <v>101639.00507614213</v>
      </c>
      <c r="M56" s="151">
        <f t="shared" si="42"/>
        <v>13750</v>
      </c>
      <c r="N56" s="106">
        <f t="shared" si="2"/>
        <v>115389.00507614213</v>
      </c>
      <c r="O56" s="106">
        <f>+IF(F56="","",F56*'Tabela de BDI'!$C$7)</f>
        <v>10610.48</v>
      </c>
      <c r="P56" s="106">
        <f>IF(F56="","",F56*'Tabela de BDI'!$C$8)</f>
        <v>6631.55</v>
      </c>
      <c r="Q56" s="109">
        <f t="shared" si="40"/>
        <v>0.30492225795245081</v>
      </c>
      <c r="R56" s="110">
        <f t="shared" si="41"/>
        <v>3.6041032608695649</v>
      </c>
      <c r="S56" s="111">
        <f>+'Tabela de BDI'!$F$9*C56</f>
        <v>4416.0000000000009</v>
      </c>
      <c r="T56" s="114"/>
      <c r="V56" s="273">
        <f t="shared" si="12"/>
        <v>5081.9502538071065</v>
      </c>
      <c r="W56" s="273">
        <f t="shared" si="13"/>
        <v>18831.950253807106</v>
      </c>
      <c r="X56" s="273">
        <f t="shared" si="14"/>
        <v>5625.1279978904349</v>
      </c>
      <c r="Y56" s="273">
        <f t="shared" si="15"/>
        <v>24457.078251697541</v>
      </c>
      <c r="Z56" s="273">
        <f t="shared" si="16"/>
        <v>126096.08332783967</v>
      </c>
      <c r="AA56" s="279"/>
      <c r="AB56" s="278">
        <f t="shared" si="21"/>
        <v>4.9271412204992232E-2</v>
      </c>
    </row>
    <row r="57" spans="1:28" ht="15.75" customHeight="1" x14ac:dyDescent="0.25">
      <c r="A57" s="224"/>
      <c r="B57" s="116" t="s">
        <v>89</v>
      </c>
      <c r="C57" s="202">
        <f t="shared" si="0"/>
        <v>37.72</v>
      </c>
      <c r="D57" s="204" t="e">
        <f>ABS('Preço SFCR-GROWATT JINKO 460Wp'!$G$43-C57)</f>
        <v>#DIV/0!</v>
      </c>
      <c r="E57" s="181">
        <v>82</v>
      </c>
      <c r="F57" s="112">
        <f>+IF(L57=0,"",ROUND(N57/(1-'Tabela de BDI'!$C$3),0))</f>
        <v>135551</v>
      </c>
      <c r="G57" s="112">
        <f>+ROUND(F57+(F57*'Preço SFCR-GROWATT JINKO 460Wp'!$H$44),0)</f>
        <v>142329</v>
      </c>
      <c r="H57" s="107" t="s">
        <v>302</v>
      </c>
      <c r="I57" s="261"/>
      <c r="J57" s="265">
        <v>102370.07</v>
      </c>
      <c r="K57" s="149">
        <f t="shared" si="6"/>
        <v>103929.00507614214</v>
      </c>
      <c r="L57" s="106">
        <f t="shared" si="1"/>
        <v>103929.00507614214</v>
      </c>
      <c r="M57" s="151">
        <f t="shared" si="42"/>
        <v>14000</v>
      </c>
      <c r="N57" s="106">
        <f t="shared" si="2"/>
        <v>117929.00507614214</v>
      </c>
      <c r="O57" s="106">
        <f>+IF(F57="","",F57*'Tabela de BDI'!$C$7)</f>
        <v>10844.08</v>
      </c>
      <c r="P57" s="106">
        <f>IF(F57="","",F57*'Tabela de BDI'!$C$8)</f>
        <v>6777.55</v>
      </c>
      <c r="Q57" s="109">
        <f t="shared" si="40"/>
        <v>0.30426534826048263</v>
      </c>
      <c r="R57" s="110">
        <f t="shared" si="41"/>
        <v>3.5936108165429483</v>
      </c>
      <c r="S57" s="111">
        <f>+'Tabela de BDI'!$F$9*C57</f>
        <v>4526.3999999999996</v>
      </c>
      <c r="T57" s="114"/>
      <c r="V57" s="273">
        <f t="shared" si="12"/>
        <v>5196.4502538071074</v>
      </c>
      <c r="W57" s="273">
        <f t="shared" si="13"/>
        <v>19196.450253807106</v>
      </c>
      <c r="X57" s="273">
        <f t="shared" si="14"/>
        <v>5734.0046212670568</v>
      </c>
      <c r="Y57" s="273">
        <f t="shared" si="15"/>
        <v>24930.454875074163</v>
      </c>
      <c r="Z57" s="273">
        <f t="shared" si="16"/>
        <v>128859.45995121631</v>
      </c>
      <c r="AA57" s="279"/>
      <c r="AB57" s="278">
        <f t="shared" si="21"/>
        <v>4.936547903581448E-2</v>
      </c>
    </row>
    <row r="58" spans="1:28" ht="15.75" customHeight="1" x14ac:dyDescent="0.25">
      <c r="A58" s="224"/>
      <c r="B58" s="116" t="s">
        <v>89</v>
      </c>
      <c r="C58" s="202">
        <f t="shared" si="0"/>
        <v>38.64</v>
      </c>
      <c r="D58" s="204" t="e">
        <f>ABS('Preço SFCR-GROWATT JINKO 460Wp'!$G$43-C58)</f>
        <v>#DIV/0!</v>
      </c>
      <c r="E58" s="181">
        <v>84</v>
      </c>
      <c r="F58" s="112">
        <f>+IF(L58=0,"",ROUND(N58/(1-'Tabela de BDI'!$C$3),0))</f>
        <v>138918</v>
      </c>
      <c r="G58" s="112">
        <f>+ROUND(F58+(F58*'Preço SFCR-GROWATT JINKO 460Wp'!$H$44),0)</f>
        <v>145864</v>
      </c>
      <c r="H58" s="107" t="s">
        <v>303</v>
      </c>
      <c r="I58" s="261"/>
      <c r="J58" s="265">
        <v>105009.87</v>
      </c>
      <c r="K58" s="149">
        <f t="shared" si="6"/>
        <v>106609.00507614213</v>
      </c>
      <c r="L58" s="106">
        <f t="shared" si="1"/>
        <v>106609.00507614213</v>
      </c>
      <c r="M58" s="151">
        <f t="shared" si="42"/>
        <v>14250</v>
      </c>
      <c r="N58" s="106">
        <f t="shared" si="2"/>
        <v>120859.00507614213</v>
      </c>
      <c r="O58" s="106">
        <f>+IF(F58="","",F58*'Tabela de BDI'!$C$7)</f>
        <v>11113.44</v>
      </c>
      <c r="P58" s="106">
        <f>IF(F58="","",F58*'Tabela de BDI'!$C$8)</f>
        <v>6945.9000000000005</v>
      </c>
      <c r="Q58" s="109">
        <f t="shared" si="40"/>
        <v>0.30306065515555825</v>
      </c>
      <c r="R58" s="110">
        <f t="shared" si="41"/>
        <v>3.595186335403727</v>
      </c>
      <c r="S58" s="111">
        <f>+'Tabela de BDI'!$F$9*C58</f>
        <v>4636.8</v>
      </c>
      <c r="T58" s="114"/>
      <c r="V58" s="273">
        <f t="shared" si="12"/>
        <v>5330.4502538071065</v>
      </c>
      <c r="W58" s="273">
        <f t="shared" si="13"/>
        <v>19580.450253807106</v>
      </c>
      <c r="X58" s="273">
        <f t="shared" si="14"/>
        <v>5848.7059199683572</v>
      </c>
      <c r="Y58" s="273">
        <f t="shared" si="15"/>
        <v>25429.156173775464</v>
      </c>
      <c r="Z58" s="273">
        <f t="shared" si="16"/>
        <v>132038.16124991758</v>
      </c>
      <c r="AA58" s="279"/>
      <c r="AB58" s="278">
        <f t="shared" si="21"/>
        <v>4.9524458674055326E-2</v>
      </c>
    </row>
    <row r="59" spans="1:28" ht="15.75" customHeight="1" x14ac:dyDescent="0.25">
      <c r="A59" s="224"/>
      <c r="B59" s="116" t="s">
        <v>89</v>
      </c>
      <c r="C59" s="202">
        <f t="shared" si="0"/>
        <v>39.56</v>
      </c>
      <c r="D59" s="204" t="e">
        <f>ABS('Preço SFCR-GROWATT JINKO 460Wp'!$G$43-C59)</f>
        <v>#DIV/0!</v>
      </c>
      <c r="E59" s="181">
        <v>86</v>
      </c>
      <c r="F59" s="112">
        <f>+IF(L59=0,"",ROUND(N59/(1-'Tabela de BDI'!$C$3),0))</f>
        <v>141838</v>
      </c>
      <c r="G59" s="112">
        <f>+ROUND(F59+(F59*'Preço SFCR-GROWATT JINKO 460Wp'!$H$44),0)</f>
        <v>148930</v>
      </c>
      <c r="H59" s="107" t="s">
        <v>303</v>
      </c>
      <c r="I59" s="261"/>
      <c r="J59" s="265">
        <v>107265.52</v>
      </c>
      <c r="K59" s="149">
        <f t="shared" si="6"/>
        <v>108899.00507614214</v>
      </c>
      <c r="L59" s="106">
        <f t="shared" si="1"/>
        <v>108899.00507614214</v>
      </c>
      <c r="M59" s="151">
        <f t="shared" si="42"/>
        <v>14500</v>
      </c>
      <c r="N59" s="106">
        <f t="shared" si="2"/>
        <v>123399.00507614214</v>
      </c>
      <c r="O59" s="106">
        <f>+IF(F59="","",F59*'Tabela de BDI'!$C$7)</f>
        <v>11347.04</v>
      </c>
      <c r="P59" s="106">
        <f>IF(F59="","",F59*'Tabela de BDI'!$C$8)</f>
        <v>7091.9000000000005</v>
      </c>
      <c r="Q59" s="109">
        <f t="shared" si="40"/>
        <v>0.30247287292319081</v>
      </c>
      <c r="R59" s="110">
        <f t="shared" si="41"/>
        <v>3.5853892821031339</v>
      </c>
      <c r="S59" s="111">
        <f>+'Tabela de BDI'!$F$9*C59</f>
        <v>4747.2000000000007</v>
      </c>
      <c r="T59" s="114"/>
      <c r="V59" s="273">
        <f t="shared" si="12"/>
        <v>5444.9502538071074</v>
      </c>
      <c r="W59" s="273">
        <f t="shared" si="13"/>
        <v>19944.950253807106</v>
      </c>
      <c r="X59" s="273">
        <f t="shared" si="14"/>
        <v>5957.5825433449791</v>
      </c>
      <c r="Y59" s="273">
        <f t="shared" si="15"/>
        <v>25902.532797152086</v>
      </c>
      <c r="Z59" s="273">
        <f t="shared" si="16"/>
        <v>134801.53787329423</v>
      </c>
      <c r="AA59" s="279"/>
      <c r="AB59" s="278">
        <f t="shared" si="21"/>
        <v>4.9609146538344917E-2</v>
      </c>
    </row>
    <row r="60" spans="1:28" ht="15.75" customHeight="1" x14ac:dyDescent="0.25">
      <c r="A60" s="224"/>
      <c r="B60" s="116" t="s">
        <v>89</v>
      </c>
      <c r="C60" s="202">
        <f t="shared" si="0"/>
        <v>40.480000000000004</v>
      </c>
      <c r="D60" s="204" t="e">
        <f>ABS('Preço SFCR-GROWATT JINKO 460Wp'!$G$43-C60)</f>
        <v>#DIV/0!</v>
      </c>
      <c r="E60" s="181">
        <v>88</v>
      </c>
      <c r="F60" s="112">
        <f>+IF(L60=0,"",ROUND(N60/(1-'Tabela de BDI'!$C$3),0))</f>
        <v>144332</v>
      </c>
      <c r="G60" s="112">
        <f>+ROUND(F60+(F60*'Preço SFCR-GROWATT JINKO 460Wp'!$H$44),0)</f>
        <v>151549</v>
      </c>
      <c r="H60" s="107" t="s">
        <v>303</v>
      </c>
      <c r="I60" s="261"/>
      <c r="J60" s="265">
        <v>109156.72</v>
      </c>
      <c r="K60" s="149">
        <f t="shared" si="6"/>
        <v>110819.00507614213</v>
      </c>
      <c r="L60" s="106">
        <f t="shared" si="1"/>
        <v>110819.00507614213</v>
      </c>
      <c r="M60" s="151">
        <f t="shared" si="42"/>
        <v>14750</v>
      </c>
      <c r="N60" s="106">
        <f t="shared" si="2"/>
        <v>125569.00507614213</v>
      </c>
      <c r="O60" s="106">
        <f>+IF(F60="","",F60*'Tabela de BDI'!$C$7)</f>
        <v>11546.56</v>
      </c>
      <c r="P60" s="106">
        <f>IF(F60="","",F60*'Tabela de BDI'!$C$8)</f>
        <v>7216.6</v>
      </c>
      <c r="Q60" s="109">
        <f t="shared" si="40"/>
        <v>0.30241198159856764</v>
      </c>
      <c r="R60" s="110">
        <f t="shared" si="41"/>
        <v>3.5655138339920946</v>
      </c>
      <c r="S60" s="111">
        <f>+'Tabela de BDI'!$F$9*C60</f>
        <v>4857.6000000000004</v>
      </c>
      <c r="T60" s="114"/>
      <c r="V60" s="273">
        <f t="shared" si="12"/>
        <v>5540.9502538071065</v>
      </c>
      <c r="W60" s="273">
        <f t="shared" si="13"/>
        <v>20290.950253807106</v>
      </c>
      <c r="X60" s="273">
        <f t="shared" si="14"/>
        <v>6060.9331926956293</v>
      </c>
      <c r="Y60" s="273">
        <f t="shared" si="15"/>
        <v>26351.883446502736</v>
      </c>
      <c r="Z60" s="273">
        <f t="shared" si="16"/>
        <v>137170.88852264488</v>
      </c>
      <c r="AA60" s="279"/>
      <c r="AB60" s="278">
        <f t="shared" si="21"/>
        <v>4.961554940938339E-2</v>
      </c>
    </row>
    <row r="61" spans="1:28" ht="15.75" customHeight="1" x14ac:dyDescent="0.25">
      <c r="A61" s="224"/>
      <c r="B61" s="116" t="s">
        <v>89</v>
      </c>
      <c r="C61" s="202">
        <f t="shared" si="0"/>
        <v>41.4</v>
      </c>
      <c r="D61" s="204" t="e">
        <f>ABS('Preço SFCR-GROWATT JINKO 460Wp'!$G$43-C61)</f>
        <v>#DIV/0!</v>
      </c>
      <c r="E61" s="181">
        <v>90</v>
      </c>
      <c r="F61" s="112">
        <f>+IF(L61=0,"",ROUND(N61/(1-'Tabela de BDI'!$C$3),0))</f>
        <v>147252</v>
      </c>
      <c r="G61" s="112">
        <f>+ROUND(F61+(F61*'Preço SFCR-GROWATT JINKO 460Wp'!$H$44),0)</f>
        <v>154615</v>
      </c>
      <c r="H61" s="107" t="s">
        <v>303</v>
      </c>
      <c r="I61" s="261"/>
      <c r="J61" s="265">
        <v>111412.37</v>
      </c>
      <c r="K61" s="149">
        <f t="shared" si="6"/>
        <v>113109.00507614213</v>
      </c>
      <c r="L61" s="106">
        <f t="shared" si="1"/>
        <v>113109.00507614213</v>
      </c>
      <c r="M61" s="151">
        <f t="shared" si="42"/>
        <v>15000</v>
      </c>
      <c r="N61" s="106">
        <f t="shared" si="2"/>
        <v>128109.00507614213</v>
      </c>
      <c r="O61" s="106">
        <f>+IF(F61="","",F61*'Tabela de BDI'!$C$7)</f>
        <v>11780.16</v>
      </c>
      <c r="P61" s="106">
        <f>IF(F61="","",F61*'Tabela de BDI'!$C$8)</f>
        <v>7362.6</v>
      </c>
      <c r="Q61" s="109">
        <f t="shared" si="40"/>
        <v>0.30185921006796645</v>
      </c>
      <c r="R61" s="110">
        <f t="shared" si="41"/>
        <v>3.5568115942028986</v>
      </c>
      <c r="S61" s="111">
        <f>+'Tabela de BDI'!$F$9*C61</f>
        <v>4968</v>
      </c>
      <c r="T61" s="114"/>
      <c r="V61" s="273">
        <f t="shared" si="12"/>
        <v>5655.4502538071065</v>
      </c>
      <c r="W61" s="273">
        <f t="shared" si="13"/>
        <v>20655.450253807106</v>
      </c>
      <c r="X61" s="273">
        <f t="shared" si="14"/>
        <v>6169.8098160722511</v>
      </c>
      <c r="Y61" s="273">
        <f t="shared" si="15"/>
        <v>26825.260069879358</v>
      </c>
      <c r="Z61" s="273">
        <f t="shared" si="16"/>
        <v>139934.2651460215</v>
      </c>
      <c r="AA61" s="279"/>
      <c r="AB61" s="278">
        <f t="shared" si="21"/>
        <v>4.9695317238329539E-2</v>
      </c>
    </row>
    <row r="62" spans="1:28" ht="15.75" customHeight="1" x14ac:dyDescent="0.25">
      <c r="A62" s="224"/>
      <c r="B62" s="116" t="s">
        <v>89</v>
      </c>
      <c r="C62" s="202">
        <f t="shared" si="0"/>
        <v>42.32</v>
      </c>
      <c r="D62" s="204" t="e">
        <f>ABS('Preço SFCR-GROWATT JINKO 460Wp'!$G$43-C62)</f>
        <v>#DIV/0!</v>
      </c>
      <c r="E62" s="181">
        <v>92</v>
      </c>
      <c r="F62" s="112">
        <f>+IF(L62=0,"",ROUND(N62/(1-'Tabela de BDI'!$C$3),0))</f>
        <v>149757</v>
      </c>
      <c r="G62" s="112">
        <f>+ROUND(F62+(F62*'Preço SFCR-GROWATT JINKO 460Wp'!$H$44),0)</f>
        <v>157245</v>
      </c>
      <c r="H62" s="107" t="s">
        <v>303</v>
      </c>
      <c r="I62" s="261"/>
      <c r="J62" s="265">
        <v>113313.42</v>
      </c>
      <c r="K62" s="320">
        <f t="shared" si="6"/>
        <v>115039.00507614213</v>
      </c>
      <c r="L62" s="106">
        <f t="shared" si="1"/>
        <v>115039.00507614213</v>
      </c>
      <c r="M62" s="151">
        <f t="shared" si="42"/>
        <v>15250</v>
      </c>
      <c r="N62" s="106">
        <f t="shared" si="2"/>
        <v>130289.00507614213</v>
      </c>
      <c r="O62" s="106">
        <f>+IF(F62="","",F62*'Tabela de BDI'!$C$7)</f>
        <v>11980.56</v>
      </c>
      <c r="P62" s="106">
        <f>IF(F62="","",F62*'Tabela de BDI'!$C$8)</f>
        <v>7487.85</v>
      </c>
      <c r="Q62" s="109">
        <f t="shared" si="40"/>
        <v>0.30179324743706443</v>
      </c>
      <c r="R62" s="110">
        <f t="shared" si="41"/>
        <v>3.5386814744801511</v>
      </c>
      <c r="S62" s="111">
        <f>+'Tabela de BDI'!$F$9*C62</f>
        <v>5078.3999999999996</v>
      </c>
      <c r="T62" s="114"/>
      <c r="V62" s="273">
        <f t="shared" si="12"/>
        <v>5751.9502538071065</v>
      </c>
      <c r="W62" s="273">
        <f t="shared" si="13"/>
        <v>21001.950253807106</v>
      </c>
      <c r="X62" s="273">
        <f t="shared" si="14"/>
        <v>6273.3098160722511</v>
      </c>
      <c r="Y62" s="273">
        <f t="shared" si="15"/>
        <v>27275.260069879358</v>
      </c>
      <c r="Z62" s="273">
        <f t="shared" si="16"/>
        <v>142314.2651460215</v>
      </c>
      <c r="AA62" s="279"/>
      <c r="AB62" s="278">
        <f t="shared" si="21"/>
        <v>4.9698744325664256E-2</v>
      </c>
    </row>
    <row r="63" spans="1:28" ht="15.75" customHeight="1" x14ac:dyDescent="0.25">
      <c r="A63" s="224"/>
      <c r="B63" s="116" t="s">
        <v>89</v>
      </c>
      <c r="C63" s="202">
        <f t="shared" si="0"/>
        <v>43.24</v>
      </c>
      <c r="D63" s="204" t="e">
        <f>ABS('Preço SFCR-GROWATT JINKO 460Wp'!$G$43-C63)</f>
        <v>#DIV/0!</v>
      </c>
      <c r="E63" s="181">
        <v>94</v>
      </c>
      <c r="F63" s="112">
        <f>+IF(L63=0,"",ROUND(N63/(1-'Tabela de BDI'!$C$3),0))</f>
        <v>152666</v>
      </c>
      <c r="G63" s="112">
        <f>+ROUND(F63+(F63*'Preço SFCR-GROWATT JINKO 460Wp'!$H$44),0)</f>
        <v>160299</v>
      </c>
      <c r="H63" s="107" t="s">
        <v>303</v>
      </c>
      <c r="I63" s="261"/>
      <c r="J63" s="265">
        <v>115559.22</v>
      </c>
      <c r="K63" s="320">
        <f t="shared" si="6"/>
        <v>117319.00507614213</v>
      </c>
      <c r="L63" s="106">
        <f t="shared" si="1"/>
        <v>117319.00507614213</v>
      </c>
      <c r="M63" s="151">
        <f t="shared" si="42"/>
        <v>15500</v>
      </c>
      <c r="N63" s="106">
        <f t="shared" si="2"/>
        <v>132819.00507614214</v>
      </c>
      <c r="O63" s="106">
        <f>+IF(F63="","",F63*'Tabela de BDI'!$C$7)</f>
        <v>12213.28</v>
      </c>
      <c r="P63" s="106">
        <f>IF(F63="","",F63*'Tabela de BDI'!$C$8)</f>
        <v>7633.3</v>
      </c>
      <c r="Q63" s="109">
        <f t="shared" si="40"/>
        <v>0.30128958987435189</v>
      </c>
      <c r="R63" s="110">
        <f t="shared" si="41"/>
        <v>3.5306660499537466</v>
      </c>
      <c r="S63" s="111">
        <f>+'Tabela de BDI'!$F$9*C63</f>
        <v>5188.8</v>
      </c>
      <c r="T63" s="114"/>
      <c r="V63" s="273">
        <f t="shared" si="12"/>
        <v>5865.9502538071065</v>
      </c>
      <c r="W63" s="273">
        <f t="shared" si="13"/>
        <v>21365.950253807106</v>
      </c>
      <c r="X63" s="273">
        <f t="shared" si="14"/>
        <v>6382.0370887995232</v>
      </c>
      <c r="Y63" s="273">
        <f t="shared" si="15"/>
        <v>27747.98734260663</v>
      </c>
      <c r="Z63" s="273">
        <f t="shared" si="16"/>
        <v>145066.99241874876</v>
      </c>
      <c r="AA63" s="279"/>
      <c r="AB63" s="278">
        <f t="shared" si="21"/>
        <v>4.9775376188877923E-2</v>
      </c>
    </row>
    <row r="64" spans="1:28" ht="15.75" customHeight="1" x14ac:dyDescent="0.25">
      <c r="A64" s="224"/>
      <c r="B64" s="116" t="s">
        <v>89</v>
      </c>
      <c r="C64" s="202">
        <f t="shared" si="0"/>
        <v>44.160000000000004</v>
      </c>
      <c r="D64" s="204" t="e">
        <f>ABS('Preço SFCR-GROWATT JINKO 460Wp'!$G$43-C64)</f>
        <v>#DIV/0!</v>
      </c>
      <c r="E64" s="181">
        <v>96</v>
      </c>
      <c r="F64" s="112">
        <f>+IF(L64=0,"",ROUND(N64/(1-'Tabela de BDI'!$C$3),0))</f>
        <v>155171</v>
      </c>
      <c r="G64" s="112">
        <f>+ROUND(F64+(F64*'Preço SFCR-GROWATT JINKO 460Wp'!$H$44),0)</f>
        <v>162930</v>
      </c>
      <c r="H64" s="107" t="s">
        <v>303</v>
      </c>
      <c r="I64" s="261"/>
      <c r="J64" s="265">
        <v>117460.27</v>
      </c>
      <c r="K64" s="320">
        <f t="shared" si="6"/>
        <v>119249.00507614214</v>
      </c>
      <c r="L64" s="106">
        <f t="shared" si="1"/>
        <v>119249.00507614214</v>
      </c>
      <c r="M64" s="151">
        <f t="shared" si="42"/>
        <v>15750</v>
      </c>
      <c r="N64" s="106">
        <f t="shared" si="2"/>
        <v>134999.00507614214</v>
      </c>
      <c r="O64" s="106">
        <f>+IF(F64="","",F64*'Tabela de BDI'!$C$7)</f>
        <v>12413.68</v>
      </c>
      <c r="P64" s="106">
        <f>IF(F64="","",F64*'Tabela de BDI'!$C$8)</f>
        <v>7758.55</v>
      </c>
      <c r="Q64" s="109">
        <f t="shared" si="40"/>
        <v>0.30123517509367198</v>
      </c>
      <c r="R64" s="110">
        <f t="shared" si="41"/>
        <v>3.5138360507246373</v>
      </c>
      <c r="S64" s="111">
        <f>+'Tabela de BDI'!$F$9*C64</f>
        <v>5299.2000000000007</v>
      </c>
      <c r="T64" s="114"/>
      <c r="V64" s="273">
        <f t="shared" si="12"/>
        <v>5962.4502538071074</v>
      </c>
      <c r="W64" s="273">
        <f t="shared" si="13"/>
        <v>21712.450253807106</v>
      </c>
      <c r="X64" s="273">
        <f t="shared" si="14"/>
        <v>6485.5370887995232</v>
      </c>
      <c r="Y64" s="273">
        <f t="shared" si="15"/>
        <v>28197.98734260663</v>
      </c>
      <c r="Z64" s="273">
        <f t="shared" si="16"/>
        <v>147446.99241874876</v>
      </c>
      <c r="AA64" s="279"/>
      <c r="AB64" s="278">
        <f t="shared" si="21"/>
        <v>4.9777391273184014E-2</v>
      </c>
    </row>
    <row r="65" spans="1:28" ht="15.75" customHeight="1" x14ac:dyDescent="0.25">
      <c r="A65" s="224"/>
      <c r="B65" s="116" t="s">
        <v>89</v>
      </c>
      <c r="C65" s="202">
        <f t="shared" si="0"/>
        <v>45.080000000000005</v>
      </c>
      <c r="D65" s="204" t="e">
        <f>ABS('Preço SFCR-GROWATT JINKO 460Wp'!$G$43-C65)</f>
        <v>#DIV/0!</v>
      </c>
      <c r="E65" s="181">
        <v>98</v>
      </c>
      <c r="F65" s="112">
        <f>+IF(L65=0,"",ROUND(N65/(1-'Tabela de BDI'!$C$3),0))</f>
        <v>158091</v>
      </c>
      <c r="G65" s="112">
        <f>+ROUND(F65+(F65*'Preço SFCR-GROWATT JINKO 460Wp'!$H$44),0)</f>
        <v>165996</v>
      </c>
      <c r="H65" s="107" t="s">
        <v>303</v>
      </c>
      <c r="I65" s="261"/>
      <c r="J65" s="265">
        <v>119715.92</v>
      </c>
      <c r="K65" s="320">
        <f t="shared" si="6"/>
        <v>121539.00507614213</v>
      </c>
      <c r="L65" s="106">
        <f t="shared" si="1"/>
        <v>121539.00507614213</v>
      </c>
      <c r="M65" s="151">
        <f t="shared" si="42"/>
        <v>16000</v>
      </c>
      <c r="N65" s="106">
        <f t="shared" si="2"/>
        <v>137539.00507614214</v>
      </c>
      <c r="O65" s="106">
        <f>+IF(F65="","",F65*'Tabela de BDI'!$C$7)</f>
        <v>12647.28</v>
      </c>
      <c r="P65" s="106">
        <f>IF(F65="","",F65*'Tabela de BDI'!$C$8)</f>
        <v>7904.55</v>
      </c>
      <c r="Q65" s="109">
        <f t="shared" si="40"/>
        <v>0.3007429170656668</v>
      </c>
      <c r="R65" s="110">
        <f t="shared" si="41"/>
        <v>3.5068988464951194</v>
      </c>
      <c r="S65" s="111">
        <f>+'Tabela de BDI'!$F$9*C65</f>
        <v>5409.6</v>
      </c>
      <c r="T65" s="114"/>
      <c r="V65" s="273">
        <f t="shared" si="12"/>
        <v>6076.9502538071065</v>
      </c>
      <c r="W65" s="273">
        <f t="shared" si="13"/>
        <v>22076.950253807106</v>
      </c>
      <c r="X65" s="273">
        <f t="shared" si="14"/>
        <v>6594.4137121761487</v>
      </c>
      <c r="Y65" s="273">
        <f t="shared" si="15"/>
        <v>28671.363965983255</v>
      </c>
      <c r="Z65" s="273">
        <f t="shared" si="16"/>
        <v>150210.36904212539</v>
      </c>
      <c r="AA65" s="279"/>
      <c r="AB65" s="278">
        <f t="shared" si="21"/>
        <v>4.9848700798113842E-2</v>
      </c>
    </row>
    <row r="66" spans="1:28" ht="15.75" customHeight="1" x14ac:dyDescent="0.25">
      <c r="A66" s="224"/>
      <c r="B66" s="116" t="s">
        <v>89</v>
      </c>
      <c r="C66" s="202">
        <f t="shared" si="0"/>
        <v>46</v>
      </c>
      <c r="D66" s="204" t="e">
        <f>ABS('Preço SFCR-GROWATT JINKO 460Wp'!$G$43-C66)</f>
        <v>#DIV/0!</v>
      </c>
      <c r="E66" s="181">
        <v>100</v>
      </c>
      <c r="F66" s="112">
        <f>+IF(L66=0,"",ROUND(N66/(1-'Tabela de BDI'!$C$3),0))</f>
        <v>160585</v>
      </c>
      <c r="G66" s="112">
        <f>+ROUND(F66+(F66*'Preço SFCR-GROWATT JINKO 460Wp'!$H$44),0)</f>
        <v>168614</v>
      </c>
      <c r="H66" s="107" t="s">
        <v>303</v>
      </c>
      <c r="I66" s="261"/>
      <c r="J66" s="265">
        <v>121607.12</v>
      </c>
      <c r="K66" s="320">
        <f t="shared" si="6"/>
        <v>123459.00507614213</v>
      </c>
      <c r="L66" s="106">
        <f t="shared" si="1"/>
        <v>123459.00507614213</v>
      </c>
      <c r="M66" s="151">
        <f t="shared" si="42"/>
        <v>16250</v>
      </c>
      <c r="N66" s="106">
        <f t="shared" si="2"/>
        <v>139709.00507614214</v>
      </c>
      <c r="O66" s="106">
        <f>+IF(F66="","",F66*'Tabela de BDI'!$C$7)</f>
        <v>12846.800000000001</v>
      </c>
      <c r="P66" s="106">
        <f>IF(F66="","",F66*'Tabela de BDI'!$C$8)</f>
        <v>8029.25</v>
      </c>
      <c r="Q66" s="109">
        <f t="shared" si="40"/>
        <v>0.3007151637173876</v>
      </c>
      <c r="R66" s="110">
        <f t="shared" si="41"/>
        <v>3.4909782608695652</v>
      </c>
      <c r="S66" s="111">
        <f>+'Tabela de BDI'!$F$9*C66</f>
        <v>5520</v>
      </c>
      <c r="T66" s="114"/>
      <c r="V66" s="273">
        <f t="shared" si="12"/>
        <v>6172.9502538071065</v>
      </c>
      <c r="W66" s="273">
        <f t="shared" si="13"/>
        <v>22422.950253807106</v>
      </c>
      <c r="X66" s="273">
        <f t="shared" si="14"/>
        <v>6697.7643615267989</v>
      </c>
      <c r="Y66" s="273">
        <f t="shared" si="15"/>
        <v>29120.714615333905</v>
      </c>
      <c r="Z66" s="273">
        <f t="shared" si="16"/>
        <v>152579.71969147603</v>
      </c>
      <c r="AA66" s="279"/>
      <c r="AB66" s="278">
        <f t="shared" si="21"/>
        <v>4.9850735177781061E-2</v>
      </c>
    </row>
    <row r="67" spans="1:28" ht="15.75" customHeight="1" x14ac:dyDescent="0.25">
      <c r="A67" s="224"/>
      <c r="B67" s="116" t="s">
        <v>89</v>
      </c>
      <c r="C67" s="202">
        <f t="shared" si="0"/>
        <v>0</v>
      </c>
      <c r="D67" s="204" t="e">
        <f>ABS('Preço SFCR-GROWATT JINKO 460Wp'!$G$43-C67)</f>
        <v>#DIV/0!</v>
      </c>
      <c r="E67" s="181"/>
      <c r="F67" s="112" t="str">
        <f>+IF(L67=0,"",ROUND(N67/(1-'Tabela de BDI'!$C$3),0))</f>
        <v/>
      </c>
      <c r="G67" s="112"/>
      <c r="H67" s="107"/>
      <c r="I67" s="261"/>
      <c r="J67" s="265"/>
      <c r="K67" s="121"/>
      <c r="L67" s="106">
        <f t="shared" si="1"/>
        <v>0</v>
      </c>
      <c r="M67" s="151">
        <f t="shared" si="42"/>
        <v>3750</v>
      </c>
      <c r="N67" s="106">
        <f t="shared" si="2"/>
        <v>3750</v>
      </c>
      <c r="O67" s="106" t="str">
        <f>+IF(F67="","",F67*'Tabela de BDI'!$C$7)</f>
        <v/>
      </c>
      <c r="P67" s="106" t="str">
        <f>IF(F67="","",F67*'Tabela de BDI'!$C$8)</f>
        <v/>
      </c>
      <c r="Q67" s="109" t="str">
        <f t="shared" si="40"/>
        <v/>
      </c>
      <c r="R67" s="110" t="str">
        <f t="shared" si="41"/>
        <v/>
      </c>
      <c r="S67" s="111">
        <f>+'Tabela de BDI'!$F$9*C67</f>
        <v>0</v>
      </c>
      <c r="T67" s="114"/>
      <c r="V67" s="273">
        <f t="shared" si="12"/>
        <v>0</v>
      </c>
      <c r="W67" s="273">
        <f t="shared" si="13"/>
        <v>3750</v>
      </c>
      <c r="X67" s="273">
        <f t="shared" si="14"/>
        <v>1120.1298701298701</v>
      </c>
      <c r="Y67" s="273">
        <f t="shared" si="15"/>
        <v>4870.1298701298701</v>
      </c>
      <c r="Z67" s="273" t="str">
        <f t="shared" si="16"/>
        <v/>
      </c>
      <c r="AA67" s="279"/>
      <c r="AB67" s="278" t="str">
        <f t="shared" si="21"/>
        <v/>
      </c>
    </row>
    <row r="68" spans="1:28" ht="15.75" customHeight="1" x14ac:dyDescent="0.25">
      <c r="A68" s="224"/>
      <c r="B68" s="117"/>
      <c r="C68" s="104"/>
      <c r="D68" s="203"/>
      <c r="E68" s="105"/>
      <c r="F68" s="106"/>
      <c r="G68" s="143"/>
      <c r="H68" s="107"/>
      <c r="I68" s="261"/>
      <c r="J68" s="265"/>
      <c r="K68" s="106"/>
      <c r="L68" s="106"/>
      <c r="M68" s="106"/>
      <c r="N68" s="106"/>
      <c r="O68" s="106"/>
      <c r="P68" s="106"/>
      <c r="Q68" s="106"/>
      <c r="R68" s="110" t="str">
        <f t="shared" si="41"/>
        <v/>
      </c>
      <c r="S68" s="111"/>
      <c r="T68" s="114"/>
      <c r="V68" s="200"/>
    </row>
    <row r="69" spans="1:28" ht="15.75" customHeight="1" x14ac:dyDescent="0.25">
      <c r="A69" s="224"/>
      <c r="B69" s="117"/>
      <c r="C69" s="104"/>
      <c r="D69" s="201"/>
      <c r="E69" s="105"/>
      <c r="F69" s="106"/>
      <c r="G69" s="143"/>
      <c r="H69" s="107"/>
      <c r="I69" s="106"/>
      <c r="J69" s="263"/>
      <c r="K69" s="106"/>
      <c r="L69" s="106"/>
      <c r="M69" s="106"/>
      <c r="N69" s="106"/>
      <c r="O69" s="106"/>
      <c r="P69" s="106"/>
      <c r="Q69" s="106"/>
      <c r="R69" s="110" t="str">
        <f t="shared" si="41"/>
        <v/>
      </c>
      <c r="S69" s="111"/>
      <c r="T69" s="114"/>
      <c r="V69" s="200"/>
    </row>
    <row r="70" spans="1:28" ht="15.75" customHeight="1" x14ac:dyDescent="0.25">
      <c r="A70" s="224"/>
      <c r="B70" s="224"/>
      <c r="C70" s="224"/>
      <c r="D70" s="224"/>
      <c r="E70" s="224"/>
      <c r="F70" s="224"/>
      <c r="G70" s="306"/>
      <c r="H70" s="224"/>
      <c r="I70" s="224"/>
      <c r="J70" s="224"/>
      <c r="K70" s="224"/>
      <c r="L70" s="118"/>
      <c r="M70" s="118"/>
      <c r="N70" s="118"/>
      <c r="O70" s="118"/>
      <c r="P70" s="118"/>
      <c r="Q70" s="118"/>
      <c r="R70" s="118"/>
      <c r="S70" s="224"/>
      <c r="T70" s="224"/>
    </row>
    <row r="71" spans="1:28" ht="15.75" customHeight="1" x14ac:dyDescent="0.25">
      <c r="A71" s="224"/>
      <c r="B71" s="337" t="s">
        <v>79</v>
      </c>
      <c r="C71" s="338"/>
      <c r="D71" s="222"/>
      <c r="E71" s="224"/>
      <c r="F71" s="119"/>
      <c r="G71" s="119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</row>
    <row r="72" spans="1:28" ht="15.75" customHeight="1" x14ac:dyDescent="0.25">
      <c r="A72" s="224"/>
      <c r="B72" s="119">
        <v>44391</v>
      </c>
      <c r="C72" s="224"/>
      <c r="D72" s="224"/>
      <c r="E72" s="224"/>
      <c r="F72" s="224"/>
      <c r="G72" s="306"/>
      <c r="H72" s="224"/>
      <c r="I72" s="224"/>
      <c r="J72" s="224"/>
      <c r="K72" s="224"/>
      <c r="S72" s="224"/>
      <c r="T72" s="224"/>
    </row>
    <row r="73" spans="1:28" ht="15.75" customHeight="1" x14ac:dyDescent="0.25">
      <c r="A73" s="224"/>
      <c r="B73" s="224"/>
      <c r="C73" s="224"/>
      <c r="D73" s="224"/>
      <c r="E73" s="224"/>
      <c r="F73" s="224"/>
      <c r="G73" s="306"/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</row>
    <row r="74" spans="1:28" ht="15.75" customHeight="1" x14ac:dyDescent="0.25">
      <c r="A74" s="224"/>
      <c r="B74" s="224"/>
      <c r="C74" s="224"/>
      <c r="D74" s="224"/>
      <c r="E74" s="224"/>
      <c r="F74" s="224"/>
      <c r="G74" s="306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</row>
    <row r="75" spans="1:28" ht="15.75" customHeight="1" x14ac:dyDescent="0.25">
      <c r="A75" s="224"/>
      <c r="B75" s="224"/>
      <c r="C75" s="224"/>
      <c r="D75" s="224"/>
      <c r="E75" s="224"/>
      <c r="F75" s="224"/>
      <c r="G75" s="306"/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</row>
    <row r="76" spans="1:28" ht="15.75" customHeight="1" x14ac:dyDescent="0.25">
      <c r="A76" s="224"/>
      <c r="B76" s="224"/>
      <c r="C76" s="224"/>
      <c r="D76" s="224"/>
      <c r="E76" s="224"/>
      <c r="F76" s="224"/>
      <c r="G76" s="306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</row>
    <row r="77" spans="1:28" ht="15.75" customHeight="1" x14ac:dyDescent="0.25">
      <c r="A77" s="224"/>
      <c r="B77" s="224"/>
      <c r="C77" s="224"/>
      <c r="D77" s="224"/>
      <c r="E77" s="224"/>
      <c r="F77" s="224"/>
      <c r="G77" s="306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</row>
    <row r="78" spans="1:28" ht="15.75" customHeight="1" x14ac:dyDescent="0.25">
      <c r="A78" s="224"/>
      <c r="B78" s="224"/>
      <c r="C78" s="224"/>
      <c r="D78" s="224"/>
      <c r="E78" s="224"/>
      <c r="F78" s="224"/>
      <c r="G78" s="306"/>
      <c r="H78" s="224"/>
      <c r="I78" s="224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</row>
    <row r="79" spans="1:28" ht="15.75" customHeight="1" x14ac:dyDescent="0.25">
      <c r="A79" s="224"/>
      <c r="B79" s="224"/>
      <c r="C79" s="224"/>
      <c r="D79" s="224"/>
      <c r="E79" s="224"/>
      <c r="F79" s="224"/>
      <c r="G79" s="306"/>
      <c r="H79" s="224"/>
      <c r="I79" s="224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</row>
    <row r="80" spans="1:28" ht="15.75" customHeight="1" x14ac:dyDescent="0.25">
      <c r="A80" s="224"/>
      <c r="B80" s="224"/>
      <c r="C80" s="224"/>
      <c r="D80" s="224"/>
      <c r="E80" s="224"/>
      <c r="F80" s="224"/>
      <c r="G80" s="306"/>
      <c r="H80" s="224"/>
      <c r="I80" s="224"/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</row>
    <row r="81" spans="1:20" ht="15.75" customHeight="1" x14ac:dyDescent="0.25">
      <c r="A81" s="224"/>
      <c r="B81" s="224"/>
      <c r="C81" s="224"/>
      <c r="D81" s="224"/>
      <c r="E81" s="224"/>
      <c r="F81" s="224"/>
      <c r="G81" s="306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</row>
    <row r="82" spans="1:20" ht="15.75" customHeight="1" x14ac:dyDescent="0.25">
      <c r="A82" s="224"/>
      <c r="B82" s="224"/>
      <c r="C82" s="224"/>
      <c r="D82" s="224"/>
      <c r="E82" s="224"/>
      <c r="F82" s="224"/>
      <c r="G82" s="306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</row>
    <row r="83" spans="1:20" ht="15.75" customHeight="1" x14ac:dyDescent="0.25">
      <c r="A83" s="224"/>
      <c r="B83" s="224"/>
      <c r="C83" s="224"/>
      <c r="D83" s="224"/>
      <c r="E83" s="224"/>
      <c r="F83" s="224"/>
      <c r="G83" s="306"/>
      <c r="H83" s="224"/>
      <c r="I83" s="224"/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</row>
    <row r="84" spans="1:20" ht="15.75" customHeight="1" x14ac:dyDescent="0.25">
      <c r="A84" s="224"/>
      <c r="B84" s="224"/>
      <c r="C84" s="224"/>
      <c r="D84" s="224"/>
      <c r="E84" s="224"/>
      <c r="F84" s="224"/>
      <c r="G84" s="306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</row>
    <row r="85" spans="1:20" ht="15.75" customHeight="1" x14ac:dyDescent="0.25">
      <c r="A85" s="224"/>
      <c r="B85" s="224"/>
      <c r="C85" s="224"/>
      <c r="D85" s="224"/>
      <c r="E85" s="224"/>
      <c r="F85" s="224"/>
      <c r="G85" s="306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</row>
    <row r="86" spans="1:20" ht="15.75" customHeight="1" x14ac:dyDescent="0.25">
      <c r="A86" s="224"/>
      <c r="B86" s="224"/>
      <c r="C86" s="224"/>
      <c r="D86" s="224"/>
      <c r="E86" s="224"/>
      <c r="F86" s="224"/>
      <c r="G86" s="306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</row>
    <row r="87" spans="1:20" ht="15.75" customHeight="1" x14ac:dyDescent="0.25">
      <c r="A87" s="224"/>
      <c r="B87" s="224"/>
      <c r="C87" s="224"/>
      <c r="D87" s="224"/>
      <c r="E87" s="224"/>
      <c r="F87" s="224"/>
      <c r="G87" s="306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</row>
    <row r="88" spans="1:20" ht="15.75" customHeight="1" x14ac:dyDescent="0.25">
      <c r="A88" s="224"/>
      <c r="B88" s="224"/>
      <c r="C88" s="224"/>
      <c r="D88" s="224"/>
      <c r="E88" s="224"/>
      <c r="F88" s="224"/>
      <c r="G88" s="306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</row>
    <row r="89" spans="1:20" ht="15.75" customHeight="1" x14ac:dyDescent="0.25">
      <c r="A89" s="224"/>
      <c r="B89" s="224"/>
      <c r="C89" s="224"/>
      <c r="D89" s="224"/>
      <c r="E89" s="224"/>
      <c r="F89" s="224"/>
      <c r="G89" s="306"/>
      <c r="H89" s="224"/>
      <c r="I89" s="224"/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</row>
    <row r="90" spans="1:20" ht="15.75" customHeight="1" x14ac:dyDescent="0.25">
      <c r="A90" s="224"/>
      <c r="B90" s="224"/>
      <c r="C90" s="224"/>
      <c r="D90" s="224"/>
      <c r="E90" s="224"/>
      <c r="F90" s="224"/>
      <c r="G90" s="306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</row>
    <row r="91" spans="1:20" ht="15.75" customHeight="1" x14ac:dyDescent="0.25">
      <c r="A91" s="224"/>
      <c r="B91" s="224"/>
      <c r="C91" s="224"/>
      <c r="D91" s="224"/>
      <c r="E91" s="224"/>
      <c r="F91" s="224"/>
      <c r="G91" s="306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</row>
    <row r="92" spans="1:20" ht="15.75" customHeight="1" x14ac:dyDescent="0.25">
      <c r="A92" s="224"/>
      <c r="B92" s="224"/>
      <c r="C92" s="224"/>
      <c r="D92" s="224"/>
      <c r="E92" s="224"/>
      <c r="F92" s="224"/>
      <c r="G92" s="306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</row>
    <row r="93" spans="1:20" ht="15.75" customHeight="1" x14ac:dyDescent="0.25">
      <c r="A93" s="224"/>
      <c r="B93" s="224"/>
      <c r="C93" s="224"/>
      <c r="D93" s="224"/>
      <c r="E93" s="224"/>
      <c r="F93" s="224"/>
      <c r="G93" s="306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</row>
    <row r="94" spans="1:20" ht="15.75" customHeight="1" x14ac:dyDescent="0.25">
      <c r="A94" s="224"/>
      <c r="B94" s="224"/>
      <c r="C94" s="224"/>
      <c r="D94" s="224"/>
      <c r="E94" s="224"/>
      <c r="F94" s="224"/>
      <c r="G94" s="306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</row>
    <row r="95" spans="1:20" ht="15.75" customHeight="1" x14ac:dyDescent="0.25">
      <c r="A95" s="224"/>
      <c r="B95" s="224"/>
      <c r="C95" s="224"/>
      <c r="D95" s="224"/>
      <c r="E95" s="224"/>
      <c r="F95" s="224"/>
      <c r="G95" s="306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</row>
    <row r="96" spans="1:20" ht="15.75" customHeight="1" x14ac:dyDescent="0.25">
      <c r="A96" s="224"/>
      <c r="B96" s="224"/>
      <c r="C96" s="224"/>
      <c r="D96" s="224"/>
      <c r="E96" s="224"/>
      <c r="F96" s="224"/>
      <c r="G96" s="306"/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</row>
    <row r="97" spans="1:20" ht="15.75" customHeight="1" x14ac:dyDescent="0.25">
      <c r="A97" s="224"/>
      <c r="B97" s="224"/>
      <c r="C97" s="224"/>
      <c r="D97" s="224"/>
      <c r="E97" s="224"/>
      <c r="F97" s="224"/>
      <c r="G97" s="306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</row>
    <row r="98" spans="1:20" ht="15.75" customHeight="1" x14ac:dyDescent="0.25">
      <c r="A98" s="224"/>
      <c r="B98" s="224"/>
      <c r="C98" s="224"/>
      <c r="D98" s="224"/>
      <c r="E98" s="224"/>
      <c r="F98" s="224"/>
      <c r="G98" s="306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</row>
    <row r="99" spans="1:20" ht="15.75" customHeight="1" x14ac:dyDescent="0.25">
      <c r="A99" s="224"/>
      <c r="B99" s="224"/>
      <c r="C99" s="224"/>
      <c r="D99" s="224"/>
      <c r="E99" s="224"/>
      <c r="F99" s="224"/>
      <c r="G99" s="306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</row>
    <row r="100" spans="1:20" ht="15.75" customHeight="1" x14ac:dyDescent="0.25">
      <c r="A100" s="224"/>
      <c r="B100" s="224"/>
      <c r="C100" s="224"/>
      <c r="D100" s="224"/>
      <c r="E100" s="224"/>
      <c r="F100" s="224"/>
      <c r="G100" s="306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</row>
    <row r="101" spans="1:20" ht="15.75" customHeight="1" x14ac:dyDescent="0.25">
      <c r="A101" s="224"/>
      <c r="B101" s="224"/>
      <c r="C101" s="224"/>
      <c r="D101" s="224"/>
      <c r="E101" s="224"/>
      <c r="F101" s="224"/>
      <c r="G101" s="306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</row>
    <row r="102" spans="1:20" ht="15.75" customHeight="1" x14ac:dyDescent="0.25">
      <c r="A102" s="224"/>
      <c r="B102" s="224"/>
      <c r="C102" s="224"/>
      <c r="D102" s="224"/>
      <c r="E102" s="224"/>
      <c r="F102" s="224"/>
      <c r="G102" s="306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</row>
    <row r="103" spans="1:20" ht="15.75" customHeight="1" x14ac:dyDescent="0.25">
      <c r="A103" s="224"/>
      <c r="B103" s="224"/>
      <c r="C103" s="224"/>
      <c r="D103" s="224"/>
      <c r="E103" s="224"/>
      <c r="F103" s="224"/>
      <c r="G103" s="306"/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</row>
    <row r="104" spans="1:20" ht="15.75" customHeight="1" x14ac:dyDescent="0.25">
      <c r="A104" s="224"/>
      <c r="B104" s="224"/>
      <c r="C104" s="224"/>
      <c r="D104" s="224"/>
      <c r="E104" s="224"/>
      <c r="F104" s="224"/>
      <c r="G104" s="306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</row>
    <row r="105" spans="1:20" ht="15.75" customHeight="1" x14ac:dyDescent="0.25">
      <c r="A105" s="224"/>
      <c r="B105" s="224"/>
      <c r="C105" s="224"/>
      <c r="D105" s="224"/>
      <c r="E105" s="224"/>
      <c r="F105" s="224"/>
      <c r="G105" s="306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</row>
    <row r="106" spans="1:20" ht="15.75" customHeight="1" x14ac:dyDescent="0.25">
      <c r="A106" s="224"/>
      <c r="B106" s="224"/>
      <c r="C106" s="224"/>
      <c r="D106" s="224"/>
      <c r="E106" s="224"/>
      <c r="F106" s="224"/>
      <c r="G106" s="306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</row>
    <row r="107" spans="1:20" ht="15.75" customHeight="1" x14ac:dyDescent="0.25">
      <c r="A107" s="224"/>
      <c r="B107" s="224"/>
      <c r="C107" s="224"/>
      <c r="D107" s="224"/>
      <c r="E107" s="224"/>
      <c r="F107" s="224"/>
      <c r="G107" s="306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</row>
    <row r="108" spans="1:20" ht="15.75" customHeight="1" x14ac:dyDescent="0.25">
      <c r="A108" s="224"/>
      <c r="B108" s="224"/>
      <c r="C108" s="224"/>
      <c r="D108" s="224"/>
      <c r="E108" s="224"/>
      <c r="F108" s="224"/>
      <c r="G108" s="306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</row>
    <row r="109" spans="1:20" ht="15.75" customHeight="1" x14ac:dyDescent="0.25">
      <c r="A109" s="224"/>
      <c r="B109" s="224"/>
      <c r="C109" s="224"/>
      <c r="D109" s="224"/>
      <c r="E109" s="224"/>
      <c r="F109" s="224"/>
      <c r="G109" s="306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</row>
    <row r="110" spans="1:20" ht="15.75" customHeight="1" x14ac:dyDescent="0.25">
      <c r="A110" s="224"/>
      <c r="B110" s="224"/>
      <c r="C110" s="224"/>
      <c r="D110" s="224"/>
      <c r="E110" s="224"/>
      <c r="F110" s="224"/>
      <c r="G110" s="306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</row>
    <row r="111" spans="1:20" ht="15.75" customHeight="1" x14ac:dyDescent="0.25">
      <c r="A111" s="224"/>
      <c r="B111" s="224"/>
      <c r="C111" s="224"/>
      <c r="D111" s="224"/>
      <c r="E111" s="224"/>
      <c r="F111" s="224"/>
      <c r="G111" s="306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</row>
    <row r="112" spans="1:20" ht="15.75" customHeight="1" x14ac:dyDescent="0.25">
      <c r="A112" s="224"/>
      <c r="B112" s="224"/>
      <c r="C112" s="224"/>
      <c r="D112" s="224"/>
      <c r="E112" s="224"/>
      <c r="F112" s="224"/>
      <c r="G112" s="306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</row>
    <row r="113" spans="1:20" ht="15.75" customHeight="1" x14ac:dyDescent="0.25">
      <c r="A113" s="224"/>
      <c r="B113" s="224"/>
      <c r="C113" s="224"/>
      <c r="D113" s="224"/>
      <c r="E113" s="224"/>
      <c r="F113" s="224"/>
      <c r="G113" s="306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</row>
    <row r="114" spans="1:20" ht="15.75" customHeight="1" x14ac:dyDescent="0.25">
      <c r="A114" s="224"/>
      <c r="B114" s="224"/>
      <c r="C114" s="224"/>
      <c r="D114" s="224"/>
      <c r="E114" s="224"/>
      <c r="F114" s="224"/>
      <c r="G114" s="306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</row>
  </sheetData>
  <mergeCells count="26">
    <mergeCell ref="B2:D2"/>
    <mergeCell ref="E2:S2"/>
    <mergeCell ref="B3:D3"/>
    <mergeCell ref="E3:S3"/>
    <mergeCell ref="B4:B5"/>
    <mergeCell ref="C4:C5"/>
    <mergeCell ref="D4:D5"/>
    <mergeCell ref="E4:E5"/>
    <mergeCell ref="H4:H5"/>
    <mergeCell ref="P4:P5"/>
    <mergeCell ref="Q4:Q5"/>
    <mergeCell ref="R4:R5"/>
    <mergeCell ref="S4:S5"/>
    <mergeCell ref="N4:N5"/>
    <mergeCell ref="B71:C71"/>
    <mergeCell ref="I4:I5"/>
    <mergeCell ref="K4:K5"/>
    <mergeCell ref="L4:L5"/>
    <mergeCell ref="M4:M5"/>
    <mergeCell ref="F4:G5"/>
    <mergeCell ref="V2:Z3"/>
    <mergeCell ref="Y4:Y5"/>
    <mergeCell ref="Z4:Z5"/>
    <mergeCell ref="AB4:AB5"/>
    <mergeCell ref="O4:O5"/>
    <mergeCell ref="W4:W5"/>
  </mergeCells>
  <pageMargins left="0.51181102362204722" right="0.51181102362204722" top="0.78740157480314965" bottom="0.7874015748031496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FRONIUS-BYD 335Wp</vt:lpstr>
      <vt:lpstr>Preço SFCR-FRONIUS-BYD</vt:lpstr>
      <vt:lpstr>HCONSUMO</vt:lpstr>
      <vt:lpstr>Preço SFCR-GROWATT PHONO 450Wp</vt:lpstr>
      <vt:lpstr>GROWATT-PHONO 450Wp</vt:lpstr>
      <vt:lpstr>Preço SFCR-REFUSOL BYD 400Wp</vt:lpstr>
      <vt:lpstr>REFUSOL-BYD 400Wp</vt:lpstr>
      <vt:lpstr>Preço SFCR-GROWATT JINKO 460Wp</vt:lpstr>
      <vt:lpstr>GROWATT-JINKO 460Wp</vt:lpstr>
      <vt:lpstr>Preço SFCR-GROWATT TRINA 375Wp</vt:lpstr>
      <vt:lpstr>GROWATT-TRINA 375Wp</vt:lpstr>
      <vt:lpstr>Preço SFCR-GROWATT BYD 400Wp</vt:lpstr>
      <vt:lpstr>GROWATT-BYD 400Wp</vt:lpstr>
      <vt:lpstr>Preço SFCR-GROWATT BYD</vt:lpstr>
      <vt:lpstr>GROWATT-BYD 335Wp</vt:lpstr>
      <vt:lpstr>Preço SFCR-SMA JINKO</vt:lpstr>
      <vt:lpstr>SMA-JINKO 440Wp</vt:lpstr>
      <vt:lpstr>Preço SFCR-ABB-JINKO 440Wp</vt:lpstr>
      <vt:lpstr>ABB-JINKO 440Wp</vt:lpstr>
      <vt:lpstr>Preço SFCR-FRONIUS JINKO</vt:lpstr>
      <vt:lpstr>FRONIUS-JINKO 440Wp</vt:lpstr>
      <vt:lpstr>Preço SFCR-FRONIUS PHONO 450Wp</vt:lpstr>
      <vt:lpstr>FRONIUS-PHONO 450Wp</vt:lpstr>
      <vt:lpstr>Preço SFCR-REFUSOL BYD 335Wp</vt:lpstr>
      <vt:lpstr>REFUSOL-BYD 335Wp</vt:lpstr>
      <vt:lpstr>Tabela de Materiais</vt:lpstr>
      <vt:lpstr>Tabela de BDI</vt:lpstr>
      <vt:lpstr>PREÇO DE INVERSORES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 Tavares</dc:creator>
  <cp:lastModifiedBy>Eduardo</cp:lastModifiedBy>
  <cp:lastPrinted>2021-06-29T18:04:16Z</cp:lastPrinted>
  <dcterms:created xsi:type="dcterms:W3CDTF">2016-05-25T06:20:31Z</dcterms:created>
  <dcterms:modified xsi:type="dcterms:W3CDTF">2021-07-14T18:30:32Z</dcterms:modified>
</cp:coreProperties>
</file>