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<sst xmlns="http://schemas.openxmlformats.org/spreadsheetml/2006/main" count="43" uniqueCount="43">
  <si>
    <t>Notes</t>
  </si>
  <si>
    <t>Price</t>
  </si>
  <si>
    <t>In a worst case, ASML seems fairly valued</t>
  </si>
  <si>
    <t>Shares</t>
  </si>
  <si>
    <t>MC</t>
  </si>
  <si>
    <t>guidance expects annual revenue between 44b - 60b, at 58% gross margin</t>
  </si>
  <si>
    <t>Cash</t>
  </si>
  <si>
    <t>Debt</t>
  </si>
  <si>
    <t>EV</t>
  </si>
  <si>
    <t>Q22023</t>
  </si>
  <si>
    <t>Q32023</t>
  </si>
  <si>
    <t>Q42023</t>
  </si>
  <si>
    <t>Q12024</t>
  </si>
  <si>
    <t>Q22024</t>
  </si>
  <si>
    <t>Q32024</t>
  </si>
  <si>
    <t>Q42024</t>
  </si>
  <si>
    <t>Net system sales</t>
  </si>
  <si>
    <t>Net service and field options</t>
  </si>
  <si>
    <t>Total net sales</t>
  </si>
  <si>
    <t>Cost of system sales</t>
  </si>
  <si>
    <t>Cost of services and field options</t>
  </si>
  <si>
    <t>Total cost of sales</t>
  </si>
  <si>
    <t>Gross profit</t>
  </si>
  <si>
    <t>R&amp;D</t>
  </si>
  <si>
    <t>SG&amp;A</t>
  </si>
  <si>
    <t>Other income</t>
  </si>
  <si>
    <t>Income from operations</t>
  </si>
  <si>
    <t>Interes and other net</t>
  </si>
  <si>
    <t>Income before income taxes</t>
  </si>
  <si>
    <t>Income tax expense</t>
  </si>
  <si>
    <t>Income after income taxes</t>
  </si>
  <si>
    <t>Profit from equity investments</t>
  </si>
  <si>
    <t>Net income</t>
  </si>
  <si>
    <t>EPS</t>
  </si>
  <si>
    <t>Revenue y/y</t>
  </si>
  <si>
    <t>Gross margin y/y</t>
  </si>
  <si>
    <t>SG&amp;A y/y</t>
  </si>
  <si>
    <t>Maturity</t>
  </si>
  <si>
    <t>Discount</t>
  </si>
  <si>
    <t>ROIC</t>
  </si>
  <si>
    <t>NPV</t>
  </si>
  <si>
    <t>Share</t>
  </si>
  <si>
    <t>2030 rev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</si>
</sst>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2" numFmtId="3" xfId="0" applyAlignment="1" applyFont="1" applyNumberFormat="1">
      <alignment readingOrder="0"/>
    </xf>
    <xf borderId="0" fillId="0" fontId="1" numFmtId="10" xfId="0" applyFont="1" applyNumberFormat="1"/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4" xfId="0" applyFont="1" applyNumberForma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962025</xdr:colOff>
      <xdr:row>0</xdr:row>
      <xdr:rowOff>0</xdr:rowOff>
    </xdr:from>
    <xdr:ext cx="28575" cy="4943475"/>
    <xdr:grpSp>
      <xdr:nvGrpSpPr>
        <xdr:cNvPr id="2" name="Shape 2" title="Drawing"/>
        <xdr:cNvGrpSpPr/>
      </xdr:nvGrpSpPr>
      <xdr:grpSpPr>
        <a:xfrm>
          <a:off x="2988400" y="653825"/>
          <a:ext cx="10200" cy="4923300"/>
          <a:chOff x="2988400" y="653825"/>
          <a:chExt cx="10200" cy="4923300"/>
        </a:xfrm>
      </xdr:grpSpPr>
      <xdr:cxnSp>
        <xdr:nvCxnSpPr>
          <xdr:cNvPr id="3" name="Shape 3"/>
          <xdr:cNvCxnSpPr/>
        </xdr:nvCxnSpPr>
        <xdr:spPr>
          <a:xfrm flipH="1">
            <a:off x="2988400" y="653825"/>
            <a:ext cx="10200" cy="4923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</cols>
  <sheetData>
    <row r="2">
      <c r="B2" s="1" t="s">
        <v>0</v>
      </c>
      <c r="G2" s="1" t="s">
        <v>1</v>
      </c>
      <c r="H2" s="1">
        <v>642.0</v>
      </c>
    </row>
    <row r="3">
      <c r="B3" s="1" t="s">
        <v>2</v>
      </c>
      <c r="G3" s="1" t="s">
        <v>3</v>
      </c>
      <c r="H3" s="1">
        <v>394.0</v>
      </c>
    </row>
    <row r="4">
      <c r="G4" s="1" t="s">
        <v>4</v>
      </c>
      <c r="H4" s="2">
        <f>H3*H2</f>
        <v>252948</v>
      </c>
    </row>
    <row r="5">
      <c r="B5" s="1" t="s">
        <v>5</v>
      </c>
      <c r="G5" s="1" t="s">
        <v>6</v>
      </c>
      <c r="H5" s="3">
        <v>7004.0</v>
      </c>
    </row>
    <row r="6">
      <c r="G6" s="1" t="s">
        <v>7</v>
      </c>
      <c r="H6" s="2">
        <f>746+3514</f>
        <v>4260</v>
      </c>
    </row>
    <row r="7">
      <c r="G7" s="1" t="s">
        <v>8</v>
      </c>
      <c r="H7" s="2">
        <f>H4+H6-H5</f>
        <v>250204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5.0"/>
    <col customWidth="1" min="2" max="2" width="22.88"/>
  </cols>
  <sheetData>
    <row r="2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O2" s="1">
        <v>2021.0</v>
      </c>
      <c r="P2" s="1">
        <v>2023.0</v>
      </c>
      <c r="Q2" s="1">
        <v>2024.0</v>
      </c>
      <c r="R2" s="1">
        <v>2025.0</v>
      </c>
      <c r="S2" s="1">
        <v>2026.0</v>
      </c>
      <c r="T2" s="1">
        <v>2027.0</v>
      </c>
      <c r="U2" s="1">
        <v>2028.0</v>
      </c>
      <c r="V2" s="1">
        <v>2029.0</v>
      </c>
      <c r="W2" s="1">
        <v>2030.0</v>
      </c>
      <c r="X2" s="4">
        <f t="shared" ref="X2:BK2" si="1">W2+1</f>
        <v>2031</v>
      </c>
      <c r="Y2" s="4">
        <f t="shared" si="1"/>
        <v>2032</v>
      </c>
      <c r="Z2" s="4">
        <f t="shared" si="1"/>
        <v>2033</v>
      </c>
      <c r="AA2" s="4">
        <f t="shared" si="1"/>
        <v>2034</v>
      </c>
      <c r="AB2" s="4">
        <f t="shared" si="1"/>
        <v>2035</v>
      </c>
      <c r="AC2" s="4">
        <f t="shared" si="1"/>
        <v>2036</v>
      </c>
      <c r="AD2" s="4">
        <f t="shared" si="1"/>
        <v>2037</v>
      </c>
      <c r="AE2" s="4">
        <f t="shared" si="1"/>
        <v>2038</v>
      </c>
      <c r="AF2" s="4">
        <f t="shared" si="1"/>
        <v>2039</v>
      </c>
      <c r="AG2" s="4">
        <f t="shared" si="1"/>
        <v>2040</v>
      </c>
      <c r="AH2" s="4">
        <f t="shared" si="1"/>
        <v>2041</v>
      </c>
      <c r="AI2" s="4">
        <f t="shared" si="1"/>
        <v>2042</v>
      </c>
      <c r="AJ2" s="4">
        <f t="shared" si="1"/>
        <v>2043</v>
      </c>
      <c r="AK2" s="4">
        <f t="shared" si="1"/>
        <v>2044</v>
      </c>
      <c r="AL2" s="4">
        <f t="shared" si="1"/>
        <v>2045</v>
      </c>
      <c r="AM2" s="4">
        <f t="shared" si="1"/>
        <v>2046</v>
      </c>
      <c r="AN2" s="4">
        <f t="shared" si="1"/>
        <v>2047</v>
      </c>
      <c r="AO2" s="4">
        <f t="shared" si="1"/>
        <v>2048</v>
      </c>
      <c r="AP2" s="4">
        <f t="shared" si="1"/>
        <v>2049</v>
      </c>
      <c r="AQ2" s="4">
        <f t="shared" si="1"/>
        <v>2050</v>
      </c>
      <c r="AR2" s="4">
        <f t="shared" si="1"/>
        <v>2051</v>
      </c>
      <c r="AS2" s="4">
        <f t="shared" si="1"/>
        <v>2052</v>
      </c>
      <c r="AT2" s="4">
        <f t="shared" si="1"/>
        <v>2053</v>
      </c>
      <c r="AU2" s="4">
        <f t="shared" si="1"/>
        <v>2054</v>
      </c>
      <c r="AV2" s="4">
        <f t="shared" si="1"/>
        <v>2055</v>
      </c>
      <c r="AW2" s="4">
        <f t="shared" si="1"/>
        <v>2056</v>
      </c>
      <c r="AX2" s="4">
        <f t="shared" si="1"/>
        <v>2057</v>
      </c>
      <c r="AY2" s="4">
        <f t="shared" si="1"/>
        <v>2058</v>
      </c>
      <c r="AZ2" s="4">
        <f t="shared" si="1"/>
        <v>2059</v>
      </c>
      <c r="BA2" s="4">
        <f t="shared" si="1"/>
        <v>2060</v>
      </c>
      <c r="BB2" s="4">
        <f t="shared" si="1"/>
        <v>2061</v>
      </c>
      <c r="BC2" s="4">
        <f t="shared" si="1"/>
        <v>2062</v>
      </c>
      <c r="BD2" s="4">
        <f t="shared" si="1"/>
        <v>2063</v>
      </c>
      <c r="BE2" s="4">
        <f t="shared" si="1"/>
        <v>2064</v>
      </c>
      <c r="BF2" s="4">
        <f t="shared" si="1"/>
        <v>2065</v>
      </c>
      <c r="BG2" s="4">
        <f t="shared" si="1"/>
        <v>2066</v>
      </c>
      <c r="BH2" s="4">
        <f t="shared" si="1"/>
        <v>2067</v>
      </c>
      <c r="BI2" s="4">
        <f t="shared" si="1"/>
        <v>2068</v>
      </c>
      <c r="BJ2" s="4">
        <f t="shared" si="1"/>
        <v>2069</v>
      </c>
      <c r="BK2" s="4">
        <f t="shared" si="1"/>
        <v>2070</v>
      </c>
    </row>
    <row r="3">
      <c r="B3" s="1" t="s">
        <v>16</v>
      </c>
      <c r="C3" s="3">
        <v>5606.0</v>
      </c>
      <c r="D3" s="3">
        <v>5308.0</v>
      </c>
      <c r="E3" s="3">
        <v>5682.0</v>
      </c>
      <c r="F3" s="3">
        <v>3965.0</v>
      </c>
      <c r="G3" s="3">
        <v>4760.0</v>
      </c>
      <c r="H3" s="1">
        <v>5926.0</v>
      </c>
      <c r="O3" s="3">
        <v>13652.0</v>
      </c>
      <c r="P3" s="3">
        <v>15430.0</v>
      </c>
      <c r="Q3" s="3">
        <f t="shared" ref="Q3:R3" si="2">P3*1.3</f>
        <v>20059</v>
      </c>
      <c r="R3" s="3">
        <f t="shared" si="2"/>
        <v>26076.7</v>
      </c>
      <c r="S3" s="3">
        <f>R3*1.1</f>
        <v>28684.37</v>
      </c>
      <c r="T3" s="3">
        <f t="shared" ref="T3:U3" si="3">S3*1.05</f>
        <v>30118.5885</v>
      </c>
      <c r="U3" s="3">
        <f t="shared" si="3"/>
        <v>31624.51793</v>
      </c>
      <c r="V3" s="3">
        <f t="shared" ref="V3:W3" si="4">U3*1.08</f>
        <v>34154.47936</v>
      </c>
      <c r="W3" s="3">
        <f t="shared" si="4"/>
        <v>36886.83771</v>
      </c>
    </row>
    <row r="4">
      <c r="B4" s="1" t="s">
        <v>17</v>
      </c>
      <c r="C4" s="3">
        <v>1296.0</v>
      </c>
      <c r="D4" s="3">
        <v>1364.0</v>
      </c>
      <c r="E4" s="3">
        <v>1554.0</v>
      </c>
      <c r="F4" s="3">
        <v>1324.0</v>
      </c>
      <c r="G4" s="3">
        <v>1481.0</v>
      </c>
      <c r="H4" s="1">
        <v>1541.0</v>
      </c>
      <c r="O4" s="3">
        <v>4958.0</v>
      </c>
      <c r="P4" s="3">
        <v>5743.0</v>
      </c>
      <c r="Q4" s="3">
        <v>5619.0</v>
      </c>
      <c r="R4" s="3">
        <f>Q4*1.12</f>
        <v>6293.28</v>
      </c>
      <c r="S4" s="3">
        <f>R4*1.08</f>
        <v>6796.7424</v>
      </c>
      <c r="T4" s="3">
        <f t="shared" ref="T4:U4" si="5">S4*1.03</f>
        <v>7000.644672</v>
      </c>
      <c r="U4" s="3">
        <f t="shared" si="5"/>
        <v>7210.664012</v>
      </c>
      <c r="V4" s="3">
        <f t="shared" ref="V4:W4" si="6">U4*1.05</f>
        <v>7571.197213</v>
      </c>
      <c r="W4" s="3">
        <f t="shared" si="6"/>
        <v>7949.757073</v>
      </c>
    </row>
    <row r="5">
      <c r="B5" s="5" t="s">
        <v>18</v>
      </c>
      <c r="C5" s="6">
        <f t="shared" ref="C5:H5" si="7">SUM(C3:C4)</f>
        <v>6902</v>
      </c>
      <c r="D5" s="6">
        <f t="shared" si="7"/>
        <v>6672</v>
      </c>
      <c r="E5" s="6">
        <f t="shared" si="7"/>
        <v>7236</v>
      </c>
      <c r="F5" s="6">
        <f t="shared" si="7"/>
        <v>5289</v>
      </c>
      <c r="G5" s="6">
        <f t="shared" si="7"/>
        <v>6241</v>
      </c>
      <c r="H5" s="6">
        <f t="shared" si="7"/>
        <v>7467</v>
      </c>
      <c r="O5" s="6">
        <f t="shared" ref="O5:V5" si="8">SUM(O3:O4)</f>
        <v>18610</v>
      </c>
      <c r="P5" s="6">
        <f t="shared" si="8"/>
        <v>21173</v>
      </c>
      <c r="Q5" s="6">
        <f t="shared" si="8"/>
        <v>25678</v>
      </c>
      <c r="R5" s="7">
        <f t="shared" si="8"/>
        <v>32369.98</v>
      </c>
      <c r="S5" s="6">
        <f t="shared" si="8"/>
        <v>35481.1124</v>
      </c>
      <c r="T5" s="6">
        <f t="shared" si="8"/>
        <v>37119.23317</v>
      </c>
      <c r="U5" s="6">
        <f t="shared" si="8"/>
        <v>38835.18194</v>
      </c>
      <c r="V5" s="6">
        <f t="shared" si="8"/>
        <v>41725.67657</v>
      </c>
      <c r="W5" s="7">
        <v>45000.0</v>
      </c>
    </row>
    <row r="6">
      <c r="B6" s="1" t="s">
        <v>19</v>
      </c>
      <c r="C6" s="3">
        <v>3358.0</v>
      </c>
      <c r="D6" s="3">
        <v>3211.0</v>
      </c>
      <c r="E6" s="3">
        <v>3519.0</v>
      </c>
      <c r="F6" s="3">
        <v>2593.0</v>
      </c>
      <c r="G6" s="3">
        <v>3030.0</v>
      </c>
      <c r="H6" s="3">
        <v>3673.9</v>
      </c>
      <c r="O6" s="3">
        <v>6482.0</v>
      </c>
      <c r="P6" s="3">
        <v>7582.0</v>
      </c>
      <c r="Q6" s="3">
        <v>10000.0</v>
      </c>
      <c r="R6" s="3">
        <v>12500.0</v>
      </c>
      <c r="S6" s="3">
        <f t="shared" ref="S6:V6" si="9">R6*1.03</f>
        <v>12875</v>
      </c>
      <c r="T6" s="3">
        <f t="shared" si="9"/>
        <v>13261.25</v>
      </c>
      <c r="U6" s="3">
        <f t="shared" si="9"/>
        <v>13659.0875</v>
      </c>
      <c r="V6" s="3">
        <f t="shared" si="9"/>
        <v>14068.86013</v>
      </c>
      <c r="W6" s="3">
        <f>V6*1.05</f>
        <v>14772.30313</v>
      </c>
    </row>
    <row r="7">
      <c r="B7" s="1" t="s">
        <v>20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O7" s="3">
        <v>2319.0</v>
      </c>
      <c r="P7" s="3">
        <v>2891.0</v>
      </c>
      <c r="Q7" s="3">
        <v>2800.0</v>
      </c>
      <c r="R7" s="3">
        <f>Q7*1.03</f>
        <v>2884</v>
      </c>
      <c r="S7" s="3">
        <f t="shared" ref="S7:V7" si="10">R7*1.02</f>
        <v>2941.68</v>
      </c>
      <c r="T7" s="3">
        <f t="shared" si="10"/>
        <v>3000.5136</v>
      </c>
      <c r="U7" s="3">
        <f t="shared" si="10"/>
        <v>3060.523872</v>
      </c>
      <c r="V7" s="3">
        <f t="shared" si="10"/>
        <v>3121.734349</v>
      </c>
      <c r="W7" s="3">
        <f>V7*1.03</f>
        <v>3215.38638</v>
      </c>
    </row>
    <row r="8">
      <c r="B8" s="1" t="s">
        <v>21</v>
      </c>
      <c r="C8" s="2">
        <f t="shared" ref="C8:H8" si="11">SUM(C6:C7)</f>
        <v>3358</v>
      </c>
      <c r="D8" s="2">
        <f t="shared" si="11"/>
        <v>3211</v>
      </c>
      <c r="E8" s="2">
        <f t="shared" si="11"/>
        <v>3519</v>
      </c>
      <c r="F8" s="2">
        <f t="shared" si="11"/>
        <v>2593</v>
      </c>
      <c r="G8" s="2">
        <f t="shared" si="11"/>
        <v>3030</v>
      </c>
      <c r="H8" s="2">
        <f t="shared" si="11"/>
        <v>3673.9</v>
      </c>
      <c r="O8" s="2">
        <f t="shared" ref="O8:W8" si="12">SUM(O6:O7)</f>
        <v>8801</v>
      </c>
      <c r="P8" s="2">
        <f t="shared" si="12"/>
        <v>10473</v>
      </c>
      <c r="Q8" s="2">
        <f t="shared" si="12"/>
        <v>12800</v>
      </c>
      <c r="R8" s="2">
        <f t="shared" si="12"/>
        <v>15384</v>
      </c>
      <c r="S8" s="2">
        <f t="shared" si="12"/>
        <v>15816.68</v>
      </c>
      <c r="T8" s="2">
        <f t="shared" si="12"/>
        <v>16261.7636</v>
      </c>
      <c r="U8" s="2">
        <f t="shared" si="12"/>
        <v>16719.61137</v>
      </c>
      <c r="V8" s="2">
        <f t="shared" si="12"/>
        <v>17190.59447</v>
      </c>
      <c r="W8" s="2">
        <f t="shared" si="12"/>
        <v>17987.68951</v>
      </c>
    </row>
    <row r="9">
      <c r="B9" s="1" t="s">
        <v>22</v>
      </c>
      <c r="C9" s="2">
        <f t="shared" ref="C9:H9" si="13">C5-C8</f>
        <v>3544</v>
      </c>
      <c r="D9" s="2">
        <f t="shared" si="13"/>
        <v>3461</v>
      </c>
      <c r="E9" s="2">
        <f t="shared" si="13"/>
        <v>3717</v>
      </c>
      <c r="F9" s="2">
        <f t="shared" si="13"/>
        <v>2696</v>
      </c>
      <c r="G9" s="2">
        <f t="shared" si="13"/>
        <v>3211</v>
      </c>
      <c r="H9" s="2">
        <f t="shared" si="13"/>
        <v>3793.1</v>
      </c>
      <c r="O9" s="2">
        <f t="shared" ref="O9:V9" si="14">O5-O8</f>
        <v>9809</v>
      </c>
      <c r="P9" s="2">
        <f t="shared" si="14"/>
        <v>10700</v>
      </c>
      <c r="Q9" s="2">
        <f t="shared" si="14"/>
        <v>12878</v>
      </c>
      <c r="R9" s="2">
        <f t="shared" si="14"/>
        <v>16985.98</v>
      </c>
      <c r="S9" s="2">
        <f t="shared" si="14"/>
        <v>19664.4324</v>
      </c>
      <c r="T9" s="2">
        <f t="shared" si="14"/>
        <v>20857.46957</v>
      </c>
      <c r="U9" s="2">
        <f t="shared" si="14"/>
        <v>22115.57057</v>
      </c>
      <c r="V9" s="2">
        <f t="shared" si="14"/>
        <v>24535.0821</v>
      </c>
      <c r="W9" s="2">
        <f>W5*0.5</f>
        <v>22500</v>
      </c>
    </row>
    <row r="10">
      <c r="B10" s="1" t="s">
        <v>23</v>
      </c>
      <c r="C10" s="3">
        <v>999.0</v>
      </c>
      <c r="D10" s="3">
        <v>991.0</v>
      </c>
      <c r="E10" s="3">
        <v>1041.0</v>
      </c>
      <c r="F10" s="3">
        <v>1031.0</v>
      </c>
      <c r="G10" s="3">
        <v>1100.0</v>
      </c>
      <c r="H10" s="3">
        <v>1055.0</v>
      </c>
      <c r="O10" s="3">
        <v>2547.0</v>
      </c>
      <c r="P10" s="3">
        <v>3253.0</v>
      </c>
      <c r="Q10" s="3">
        <v>3980.0</v>
      </c>
      <c r="R10" s="3">
        <f t="shared" ref="R10:W10" si="15">Q10*1.05</f>
        <v>4179</v>
      </c>
      <c r="S10" s="3">
        <f t="shared" si="15"/>
        <v>4387.95</v>
      </c>
      <c r="T10" s="3">
        <f t="shared" si="15"/>
        <v>4607.3475</v>
      </c>
      <c r="U10" s="3">
        <f t="shared" si="15"/>
        <v>4837.714875</v>
      </c>
      <c r="V10" s="3">
        <f t="shared" si="15"/>
        <v>5079.600619</v>
      </c>
      <c r="W10" s="3">
        <f t="shared" si="15"/>
        <v>5333.58065</v>
      </c>
    </row>
    <row r="11">
      <c r="B11" s="1" t="s">
        <v>24</v>
      </c>
      <c r="C11" s="3">
        <v>281.0</v>
      </c>
      <c r="D11" s="3">
        <v>287.0</v>
      </c>
      <c r="E11" s="3">
        <v>284.0</v>
      </c>
      <c r="F11" s="3">
        <v>273.0</v>
      </c>
      <c r="G11" s="3">
        <v>277.0</v>
      </c>
      <c r="H11" s="3">
        <v>297.0</v>
      </c>
      <c r="O11" s="3">
        <v>725.0</v>
      </c>
      <c r="P11" s="3">
        <v>945.0</v>
      </c>
      <c r="Q11" s="3">
        <v>1113.0</v>
      </c>
      <c r="R11" s="3">
        <f t="shared" ref="R11:W11" si="16">Q11*1.05</f>
        <v>1168.65</v>
      </c>
      <c r="S11" s="3">
        <f t="shared" si="16"/>
        <v>1227.0825</v>
      </c>
      <c r="T11" s="3">
        <f t="shared" si="16"/>
        <v>1288.436625</v>
      </c>
      <c r="U11" s="3">
        <f t="shared" si="16"/>
        <v>1352.858456</v>
      </c>
      <c r="V11" s="3">
        <f t="shared" si="16"/>
        <v>1420.501379</v>
      </c>
      <c r="W11" s="3">
        <f t="shared" si="16"/>
        <v>1491.526448</v>
      </c>
    </row>
    <row r="12">
      <c r="B12" s="1" t="s">
        <v>25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O12" s="3">
        <v>213.0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</row>
    <row r="13">
      <c r="B13" s="1" t="s">
        <v>26</v>
      </c>
      <c r="C13" s="2">
        <f t="shared" ref="C13:H13" si="17">C9+C12-C11-C10</f>
        <v>2264</v>
      </c>
      <c r="D13" s="2">
        <f t="shared" si="17"/>
        <v>2183</v>
      </c>
      <c r="E13" s="2">
        <f t="shared" si="17"/>
        <v>2392</v>
      </c>
      <c r="F13" s="2">
        <f t="shared" si="17"/>
        <v>1392</v>
      </c>
      <c r="G13" s="2">
        <f t="shared" si="17"/>
        <v>1834</v>
      </c>
      <c r="H13" s="2">
        <f t="shared" si="17"/>
        <v>2441.1</v>
      </c>
      <c r="O13" s="2">
        <f t="shared" ref="O13:W13" si="18">O9+O12-O11-O10</f>
        <v>6750</v>
      </c>
      <c r="P13" s="2">
        <f t="shared" si="18"/>
        <v>6502</v>
      </c>
      <c r="Q13" s="2">
        <f t="shared" si="18"/>
        <v>7785</v>
      </c>
      <c r="R13" s="2">
        <f t="shared" si="18"/>
        <v>11638.33</v>
      </c>
      <c r="S13" s="2">
        <f t="shared" si="18"/>
        <v>14049.3999</v>
      </c>
      <c r="T13" s="2">
        <f t="shared" si="18"/>
        <v>14961.68545</v>
      </c>
      <c r="U13" s="2">
        <f t="shared" si="18"/>
        <v>15924.99723</v>
      </c>
      <c r="V13" s="2">
        <f t="shared" si="18"/>
        <v>18034.9801</v>
      </c>
      <c r="W13" s="2">
        <f t="shared" si="18"/>
        <v>15674.8929</v>
      </c>
    </row>
    <row r="14">
      <c r="B14" s="1" t="s">
        <v>27</v>
      </c>
      <c r="C14" s="3">
        <v>0.0</v>
      </c>
      <c r="D14" s="3">
        <v>7.1</v>
      </c>
      <c r="E14" s="3">
        <v>5.2</v>
      </c>
      <c r="F14" s="3">
        <v>26.0</v>
      </c>
      <c r="G14" s="3">
        <v>-11.9</v>
      </c>
      <c r="H14" s="3">
        <v>0.8</v>
      </c>
      <c r="O14" s="3">
        <v>-44.0</v>
      </c>
      <c r="P14" s="3">
        <v>-44.6</v>
      </c>
      <c r="Q14" s="3">
        <v>41.0</v>
      </c>
      <c r="R14" s="3">
        <v>41.0</v>
      </c>
      <c r="S14" s="3">
        <v>41.0</v>
      </c>
      <c r="T14" s="3">
        <v>41.0</v>
      </c>
      <c r="U14" s="3">
        <v>41.0</v>
      </c>
      <c r="V14" s="3">
        <v>41.0</v>
      </c>
      <c r="W14" s="3">
        <v>41.0</v>
      </c>
    </row>
    <row r="15">
      <c r="B15" s="1" t="s">
        <v>28</v>
      </c>
      <c r="C15" s="2">
        <f t="shared" ref="C15:H15" si="19">C13+C14</f>
        <v>2264</v>
      </c>
      <c r="D15" s="2">
        <f t="shared" si="19"/>
        <v>2190.1</v>
      </c>
      <c r="E15" s="2">
        <f t="shared" si="19"/>
        <v>2397.2</v>
      </c>
      <c r="F15" s="2">
        <f t="shared" si="19"/>
        <v>1418</v>
      </c>
      <c r="G15" s="2">
        <f t="shared" si="19"/>
        <v>1822.1</v>
      </c>
      <c r="H15" s="2">
        <f t="shared" si="19"/>
        <v>2441.9</v>
      </c>
      <c r="O15" s="2">
        <f t="shared" ref="O15:W15" si="20">O13+O14</f>
        <v>6706</v>
      </c>
      <c r="P15" s="2">
        <f t="shared" si="20"/>
        <v>6457.4</v>
      </c>
      <c r="Q15" s="2">
        <f t="shared" si="20"/>
        <v>7826</v>
      </c>
      <c r="R15" s="2">
        <f t="shared" si="20"/>
        <v>11679.33</v>
      </c>
      <c r="S15" s="2">
        <f t="shared" si="20"/>
        <v>14090.3999</v>
      </c>
      <c r="T15" s="2">
        <f t="shared" si="20"/>
        <v>15002.68545</v>
      </c>
      <c r="U15" s="2">
        <f t="shared" si="20"/>
        <v>15965.99723</v>
      </c>
      <c r="V15" s="2">
        <f t="shared" si="20"/>
        <v>18075.9801</v>
      </c>
      <c r="W15" s="2">
        <f t="shared" si="20"/>
        <v>15715.8929</v>
      </c>
    </row>
    <row r="16">
      <c r="B16" s="1" t="s">
        <v>29</v>
      </c>
      <c r="C16" s="3">
        <v>403.0</v>
      </c>
      <c r="D16" s="3">
        <v>343.0</v>
      </c>
      <c r="E16" s="3">
        <v>385.0</v>
      </c>
      <c r="F16" s="3">
        <v>224.0</v>
      </c>
      <c r="G16" s="3">
        <v>291.0</v>
      </c>
      <c r="H16" s="3">
        <v>441.0</v>
      </c>
      <c r="O16" s="3">
        <v>1021.0</v>
      </c>
      <c r="P16" s="3">
        <v>969.0</v>
      </c>
      <c r="Q16" s="3">
        <v>1435.0</v>
      </c>
      <c r="R16" s="3">
        <v>1435.0</v>
      </c>
      <c r="S16" s="3">
        <v>1435.0</v>
      </c>
      <c r="T16" s="3">
        <v>1435.0</v>
      </c>
      <c r="U16" s="3">
        <v>1435.0</v>
      </c>
      <c r="V16" s="3">
        <v>1435.0</v>
      </c>
      <c r="W16" s="3">
        <v>1435.0</v>
      </c>
    </row>
    <row r="17">
      <c r="B17" s="1" t="s">
        <v>30</v>
      </c>
      <c r="C17" s="2">
        <f t="shared" ref="C17:H17" si="21">C15-C16</f>
        <v>1861</v>
      </c>
      <c r="D17" s="2">
        <f t="shared" si="21"/>
        <v>1847.1</v>
      </c>
      <c r="E17" s="2">
        <f t="shared" si="21"/>
        <v>2012.2</v>
      </c>
      <c r="F17" s="2">
        <f t="shared" si="21"/>
        <v>1194</v>
      </c>
      <c r="G17" s="2">
        <f t="shared" si="21"/>
        <v>1531.1</v>
      </c>
      <c r="H17" s="2">
        <f t="shared" si="21"/>
        <v>2000.9</v>
      </c>
      <c r="O17" s="2">
        <f t="shared" ref="O17:W17" si="22">O15-O16</f>
        <v>5685</v>
      </c>
      <c r="P17" s="2">
        <f t="shared" si="22"/>
        <v>5488.4</v>
      </c>
      <c r="Q17" s="2">
        <f t="shared" si="22"/>
        <v>6391</v>
      </c>
      <c r="R17" s="2">
        <f t="shared" si="22"/>
        <v>10244.33</v>
      </c>
      <c r="S17" s="2">
        <f t="shared" si="22"/>
        <v>12655.3999</v>
      </c>
      <c r="T17" s="2">
        <f t="shared" si="22"/>
        <v>13567.68545</v>
      </c>
      <c r="U17" s="2">
        <f t="shared" si="22"/>
        <v>14530.99723</v>
      </c>
      <c r="V17" s="2">
        <f t="shared" si="22"/>
        <v>16640.9801</v>
      </c>
      <c r="W17" s="2">
        <f t="shared" si="22"/>
        <v>14280.8929</v>
      </c>
    </row>
    <row r="18">
      <c r="B18" s="1" t="s">
        <v>31</v>
      </c>
      <c r="C18" s="3">
        <v>65.0</v>
      </c>
      <c r="D18" s="3">
        <v>47.0</v>
      </c>
      <c r="E18" s="3">
        <v>36.6</v>
      </c>
      <c r="F18" s="3">
        <v>30.0</v>
      </c>
      <c r="G18" s="3">
        <v>46.8</v>
      </c>
      <c r="H18" s="3">
        <v>77.3</v>
      </c>
      <c r="O18" s="3">
        <v>199.0</v>
      </c>
      <c r="P18" s="3">
        <v>138.0</v>
      </c>
      <c r="Q18" s="3">
        <v>191.0</v>
      </c>
      <c r="R18" s="3">
        <v>191.0</v>
      </c>
      <c r="S18" s="3">
        <v>191.0</v>
      </c>
      <c r="T18" s="3">
        <v>191.0</v>
      </c>
      <c r="U18" s="3">
        <v>191.0</v>
      </c>
      <c r="V18" s="3">
        <v>191.0</v>
      </c>
      <c r="W18" s="3">
        <v>191.0</v>
      </c>
    </row>
    <row r="19">
      <c r="B19" s="1" t="s">
        <v>32</v>
      </c>
      <c r="C19" s="2">
        <f t="shared" ref="C19:H19" si="23">C18+C17</f>
        <v>1926</v>
      </c>
      <c r="D19" s="2">
        <f t="shared" si="23"/>
        <v>1894.1</v>
      </c>
      <c r="E19" s="2">
        <f t="shared" si="23"/>
        <v>2048.8</v>
      </c>
      <c r="F19" s="2">
        <f t="shared" si="23"/>
        <v>1224</v>
      </c>
      <c r="G19" s="2">
        <f t="shared" si="23"/>
        <v>1577.9</v>
      </c>
      <c r="H19" s="2">
        <f t="shared" si="23"/>
        <v>2078.2</v>
      </c>
      <c r="O19" s="2">
        <f t="shared" ref="O19:W19" si="24">O18+O17</f>
        <v>5884</v>
      </c>
      <c r="P19" s="2">
        <f t="shared" si="24"/>
        <v>5626.4</v>
      </c>
      <c r="Q19" s="2">
        <f t="shared" si="24"/>
        <v>6582</v>
      </c>
      <c r="R19" s="2">
        <f t="shared" si="24"/>
        <v>10435.33</v>
      </c>
      <c r="S19" s="2">
        <f t="shared" si="24"/>
        <v>12846.3999</v>
      </c>
      <c r="T19" s="2">
        <f t="shared" si="24"/>
        <v>13758.68545</v>
      </c>
      <c r="U19" s="2">
        <f t="shared" si="24"/>
        <v>14721.99723</v>
      </c>
      <c r="V19" s="2">
        <f t="shared" si="24"/>
        <v>16831.9801</v>
      </c>
      <c r="W19" s="2">
        <f t="shared" si="24"/>
        <v>14471.8929</v>
      </c>
      <c r="X19" s="4">
        <f t="shared" ref="X19:BK19" si="25">W19*(1+ $Z$25)</f>
        <v>14906.04969</v>
      </c>
      <c r="Y19" s="4">
        <f t="shared" si="25"/>
        <v>15353.23118</v>
      </c>
      <c r="Z19" s="4">
        <f t="shared" si="25"/>
        <v>15813.82812</v>
      </c>
      <c r="AA19" s="4">
        <f t="shared" si="25"/>
        <v>16288.24296</v>
      </c>
      <c r="AB19" s="4">
        <f t="shared" si="25"/>
        <v>16776.89025</v>
      </c>
      <c r="AC19" s="4">
        <f t="shared" si="25"/>
        <v>17280.19696</v>
      </c>
      <c r="AD19" s="4">
        <f t="shared" si="25"/>
        <v>17798.60286</v>
      </c>
      <c r="AE19" s="4">
        <f t="shared" si="25"/>
        <v>18332.56095</v>
      </c>
      <c r="AF19" s="4">
        <f t="shared" si="25"/>
        <v>18882.53778</v>
      </c>
      <c r="AG19" s="4">
        <f t="shared" si="25"/>
        <v>19449.01391</v>
      </c>
      <c r="AH19" s="4">
        <f t="shared" si="25"/>
        <v>20032.48433</v>
      </c>
      <c r="AI19" s="4">
        <f t="shared" si="25"/>
        <v>20633.45886</v>
      </c>
      <c r="AJ19" s="4">
        <f t="shared" si="25"/>
        <v>21252.46262</v>
      </c>
      <c r="AK19" s="4">
        <f t="shared" si="25"/>
        <v>21890.0365</v>
      </c>
      <c r="AL19" s="4">
        <f t="shared" si="25"/>
        <v>22546.7376</v>
      </c>
      <c r="AM19" s="4">
        <f t="shared" si="25"/>
        <v>23223.13973</v>
      </c>
      <c r="AN19" s="4">
        <f t="shared" si="25"/>
        <v>23919.83392</v>
      </c>
      <c r="AO19" s="4">
        <f t="shared" si="25"/>
        <v>24637.42894</v>
      </c>
      <c r="AP19" s="4">
        <f t="shared" si="25"/>
        <v>25376.5518</v>
      </c>
      <c r="AQ19" s="4">
        <f t="shared" si="25"/>
        <v>26137.84836</v>
      </c>
      <c r="AR19" s="4">
        <f t="shared" si="25"/>
        <v>26921.98381</v>
      </c>
      <c r="AS19" s="4">
        <f t="shared" si="25"/>
        <v>27729.64332</v>
      </c>
      <c r="AT19" s="4">
        <f t="shared" si="25"/>
        <v>28561.53262</v>
      </c>
      <c r="AU19" s="4">
        <f t="shared" si="25"/>
        <v>29418.3786</v>
      </c>
      <c r="AV19" s="4">
        <f t="shared" si="25"/>
        <v>30300.92996</v>
      </c>
      <c r="AW19" s="4">
        <f t="shared" si="25"/>
        <v>31209.95786</v>
      </c>
      <c r="AX19" s="4">
        <f t="shared" si="25"/>
        <v>32146.25659</v>
      </c>
      <c r="AY19" s="4">
        <f t="shared" si="25"/>
        <v>33110.64429</v>
      </c>
      <c r="AZ19" s="4">
        <f t="shared" si="25"/>
        <v>34103.96362</v>
      </c>
      <c r="BA19" s="4">
        <f t="shared" si="25"/>
        <v>35127.08253</v>
      </c>
      <c r="BB19" s="4">
        <f t="shared" si="25"/>
        <v>36180.895</v>
      </c>
      <c r="BC19" s="4">
        <f t="shared" si="25"/>
        <v>37266.32185</v>
      </c>
      <c r="BD19" s="4">
        <f t="shared" si="25"/>
        <v>38384.31151</v>
      </c>
      <c r="BE19" s="4">
        <f t="shared" si="25"/>
        <v>39535.84086</v>
      </c>
      <c r="BF19" s="4">
        <f t="shared" si="25"/>
        <v>40721.91608</v>
      </c>
      <c r="BG19" s="4">
        <f t="shared" si="25"/>
        <v>41943.57356</v>
      </c>
      <c r="BH19" s="4">
        <f t="shared" si="25"/>
        <v>43201.88077</v>
      </c>
      <c r="BI19" s="4">
        <f t="shared" si="25"/>
        <v>44497.93719</v>
      </c>
      <c r="BJ19" s="4">
        <f t="shared" si="25"/>
        <v>45832.87531</v>
      </c>
      <c r="BK19" s="4">
        <f t="shared" si="25"/>
        <v>47207.86157</v>
      </c>
    </row>
    <row r="20">
      <c r="B20" s="1" t="s">
        <v>33</v>
      </c>
      <c r="C20" s="3">
        <v>14.36</v>
      </c>
      <c r="D20" s="3">
        <v>14.36</v>
      </c>
      <c r="E20" s="3">
        <v>14.36</v>
      </c>
      <c r="F20" s="3">
        <v>3.0</v>
      </c>
      <c r="G20" s="3">
        <v>4.0</v>
      </c>
      <c r="H20" s="3">
        <v>5.28</v>
      </c>
      <c r="O20" s="3">
        <v>14.36</v>
      </c>
      <c r="P20" s="3">
        <v>14.36</v>
      </c>
      <c r="Q20" s="3">
        <v>19.91</v>
      </c>
      <c r="R20" s="3">
        <v>19.91</v>
      </c>
      <c r="S20" s="3">
        <v>19.91</v>
      </c>
      <c r="T20" s="3">
        <v>19.91</v>
      </c>
      <c r="U20" s="3">
        <v>19.91</v>
      </c>
      <c r="V20" s="3">
        <v>19.91</v>
      </c>
      <c r="W20" s="3">
        <v>19.91</v>
      </c>
    </row>
    <row r="22">
      <c r="B22" s="1" t="s">
        <v>34</v>
      </c>
      <c r="D22" s="8">
        <f t="shared" ref="D22:H22" si="26">D5/C5-1</f>
        <v>-0.0333236743</v>
      </c>
      <c r="E22" s="8">
        <f t="shared" si="26"/>
        <v>0.0845323741</v>
      </c>
      <c r="F22" s="8">
        <f t="shared" si="26"/>
        <v>-0.2690713101</v>
      </c>
      <c r="G22" s="8">
        <f t="shared" si="26"/>
        <v>0.1799962186</v>
      </c>
      <c r="H22" s="8">
        <f t="shared" si="26"/>
        <v>0.1964428777</v>
      </c>
      <c r="P22" s="8">
        <f t="shared" ref="P22:W22" si="27">P5/O5-1</f>
        <v>0.137721655</v>
      </c>
      <c r="Q22" s="8">
        <f t="shared" si="27"/>
        <v>0.2127709819</v>
      </c>
      <c r="R22" s="8">
        <f t="shared" si="27"/>
        <v>0.2606114183</v>
      </c>
      <c r="S22" s="8">
        <f t="shared" si="27"/>
        <v>0.09611165654</v>
      </c>
      <c r="T22" s="8">
        <f t="shared" si="27"/>
        <v>0.04616881099</v>
      </c>
      <c r="U22" s="8">
        <f t="shared" si="27"/>
        <v>0.04622802301</v>
      </c>
      <c r="V22" s="8">
        <f t="shared" si="27"/>
        <v>0.07442979511</v>
      </c>
      <c r="W22" s="8">
        <f t="shared" si="27"/>
        <v>0.07847262638</v>
      </c>
    </row>
    <row r="23">
      <c r="B23" s="1" t="s">
        <v>35</v>
      </c>
      <c r="D23" s="8">
        <f t="shared" ref="D23:H23" si="28">D9/D5</f>
        <v>0.518735012</v>
      </c>
      <c r="E23" s="8">
        <f t="shared" si="28"/>
        <v>0.513681592</v>
      </c>
      <c r="F23" s="8">
        <f t="shared" si="28"/>
        <v>0.5097371904</v>
      </c>
      <c r="G23" s="8">
        <f t="shared" si="28"/>
        <v>0.5145008813</v>
      </c>
      <c r="H23" s="8">
        <f t="shared" si="28"/>
        <v>0.5079817865</v>
      </c>
      <c r="O23" s="8">
        <f t="shared" ref="O23:W23" si="29">O9/O5</f>
        <v>0.5270822139</v>
      </c>
      <c r="P23" s="8">
        <f t="shared" si="29"/>
        <v>0.5053606008</v>
      </c>
      <c r="Q23" s="8">
        <f t="shared" si="29"/>
        <v>0.5015188099</v>
      </c>
      <c r="R23" s="8">
        <f t="shared" si="29"/>
        <v>0.5247448407</v>
      </c>
      <c r="S23" s="8">
        <f t="shared" si="29"/>
        <v>0.5542225446</v>
      </c>
      <c r="T23" s="8">
        <f t="shared" si="29"/>
        <v>0.5619046459</v>
      </c>
      <c r="U23" s="8">
        <f t="shared" si="29"/>
        <v>0.5694725623</v>
      </c>
      <c r="V23" s="8">
        <f t="shared" si="29"/>
        <v>0.5880092095</v>
      </c>
      <c r="W23" s="8">
        <f t="shared" si="29"/>
        <v>0.5</v>
      </c>
    </row>
    <row r="24">
      <c r="B24" s="1" t="s">
        <v>36</v>
      </c>
    </row>
    <row r="25">
      <c r="Y25" s="1" t="s">
        <v>37</v>
      </c>
      <c r="Z25" s="9">
        <v>0.03</v>
      </c>
    </row>
    <row r="26">
      <c r="Y26" s="1" t="s">
        <v>38</v>
      </c>
      <c r="Z26" s="10">
        <v>0.07</v>
      </c>
    </row>
    <row r="27">
      <c r="Y27" s="1" t="s">
        <v>39</v>
      </c>
    </row>
    <row r="28">
      <c r="Y28" s="1" t="s">
        <v>40</v>
      </c>
      <c r="Z28" s="11">
        <f t="array" ref="Z28">NPV(Z26,Q19:BK19,+Main!H5-Main!H6)</f>
        <v>248595.0462</v>
      </c>
    </row>
    <row r="29">
      <c r="Y29" s="1" t="s">
        <v>41</v>
      </c>
      <c r="Z29" s="4">
        <f>Z28/Main!H3</f>
        <v>630.951894</v>
      </c>
    </row>
    <row r="36">
      <c r="X36" s="1" t="s">
        <v>42</v>
      </c>
      <c r="Y36" s="1">
        <v>40.0</v>
      </c>
      <c r="Z36" s="1">
        <v>45.0</v>
      </c>
      <c r="AA36" s="1">
        <v>60.0</v>
      </c>
    </row>
    <row r="37">
      <c r="X37" s="10">
        <v>0.5</v>
      </c>
      <c r="Y37" s="12">
        <v>547.0</v>
      </c>
      <c r="Z37" s="13">
        <v>628.0</v>
      </c>
      <c r="AA37" s="14">
        <v>881.0</v>
      </c>
    </row>
    <row r="38">
      <c r="X38" s="10">
        <v>0.55</v>
      </c>
      <c r="Y38" s="12">
        <v>614.0</v>
      </c>
      <c r="Z38" s="13">
        <v>703.0</v>
      </c>
      <c r="AA38" s="14">
        <v>981.0</v>
      </c>
    </row>
    <row r="39">
      <c r="X39" s="10">
        <v>0.6</v>
      </c>
      <c r="Y39" s="12">
        <v>681.0</v>
      </c>
      <c r="Z39" s="14">
        <v>781.0</v>
      </c>
      <c r="AA39" s="14">
        <v>1082.0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