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【風控】\財務\02-PETER\18佳峻投資\03寶晶能源\02薪資\"/>
    </mc:Choice>
  </mc:AlternateContent>
  <xr:revisionPtr revIDLastSave="0" documentId="8_{2F3C675D-AEAA-4188-91F2-C7DE4FDBBB62}" xr6:coauthVersionLast="45" xr6:coauthVersionMax="45" xr10:uidLastSave="{00000000-0000-0000-0000-000000000000}"/>
  <bookViews>
    <workbookView xWindow="-120" yWindow="-120" windowWidth="24240" windowHeight="13140" xr2:uid="{972711F3-94A1-460C-9F6E-83314D88E806}"/>
  </bookViews>
  <sheets>
    <sheet name="109年9月  (更正)" sheetId="1" r:id="rId1"/>
  </sheets>
  <externalReferences>
    <externalReference r:id="rId2"/>
  </externalReferences>
  <definedNames>
    <definedName name="_xlnm._FilterDatabase" localSheetId="0" hidden="1">'109年9月  (更正)'!$A$3:$S$52</definedName>
    <definedName name="_xlnm.Print_Area" localSheetId="0">'109年9月  (更正)'!$A$1:$S$53</definedName>
    <definedName name="_xlnm.Print_Titles" localSheetId="0">'109年9月  (更正)'!$1:$4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1" l="1"/>
  <c r="G106" i="1"/>
  <c r="M52" i="1" s="1"/>
  <c r="E106" i="1"/>
  <c r="L52" i="1" s="1"/>
  <c r="E105" i="1"/>
  <c r="E104" i="1"/>
  <c r="L50" i="1" s="1"/>
  <c r="D103" i="1"/>
  <c r="E103" i="1" s="1"/>
  <c r="L49" i="1" s="1"/>
  <c r="E102" i="1"/>
  <c r="L48" i="1" s="1"/>
  <c r="E101" i="1"/>
  <c r="L47" i="1" s="1"/>
  <c r="E100" i="1"/>
  <c r="L46" i="1" s="1"/>
  <c r="E99" i="1"/>
  <c r="L45" i="1" s="1"/>
  <c r="E98" i="1"/>
  <c r="L44" i="1" s="1"/>
  <c r="E97" i="1"/>
  <c r="L43" i="1" s="1"/>
  <c r="E96" i="1"/>
  <c r="L42" i="1" s="1"/>
  <c r="E95" i="1"/>
  <c r="E94" i="1"/>
  <c r="L40" i="1" s="1"/>
  <c r="E93" i="1"/>
  <c r="L39" i="1" s="1"/>
  <c r="E92" i="1"/>
  <c r="L38" i="1" s="1"/>
  <c r="E91" i="1"/>
  <c r="L37" i="1" s="1"/>
  <c r="E90" i="1"/>
  <c r="L36" i="1" s="1"/>
  <c r="E89" i="1"/>
  <c r="L35" i="1" s="1"/>
  <c r="E88" i="1"/>
  <c r="L34" i="1" s="1"/>
  <c r="E87" i="1"/>
  <c r="E86" i="1"/>
  <c r="L32" i="1" s="1"/>
  <c r="E85" i="1"/>
  <c r="L31" i="1" s="1"/>
  <c r="E84" i="1"/>
  <c r="L30" i="1" s="1"/>
  <c r="E83" i="1"/>
  <c r="L29" i="1" s="1"/>
  <c r="E82" i="1"/>
  <c r="L28" i="1" s="1"/>
  <c r="E81" i="1"/>
  <c r="L27" i="1" s="1"/>
  <c r="E80" i="1"/>
  <c r="L26" i="1" s="1"/>
  <c r="E79" i="1"/>
  <c r="L25" i="1" s="1"/>
  <c r="G78" i="1"/>
  <c r="M24" i="1" s="1"/>
  <c r="E78" i="1"/>
  <c r="L24" i="1" s="1"/>
  <c r="D77" i="1"/>
  <c r="E77" i="1" s="1"/>
  <c r="L23" i="1" s="1"/>
  <c r="G76" i="1"/>
  <c r="E76" i="1"/>
  <c r="L22" i="1" s="1"/>
  <c r="E75" i="1"/>
  <c r="L21" i="1" s="1"/>
  <c r="G74" i="1"/>
  <c r="M20" i="1" s="1"/>
  <c r="E74" i="1"/>
  <c r="G73" i="1"/>
  <c r="E73" i="1"/>
  <c r="L19" i="1" s="1"/>
  <c r="E72" i="1"/>
  <c r="L18" i="1" s="1"/>
  <c r="E71" i="1"/>
  <c r="L17" i="1" s="1"/>
  <c r="E70" i="1"/>
  <c r="L6" i="1" s="1"/>
  <c r="E69" i="1"/>
  <c r="L16" i="1" s="1"/>
  <c r="E68" i="1"/>
  <c r="L15" i="1" s="1"/>
  <c r="E67" i="1"/>
  <c r="L14" i="1" s="1"/>
  <c r="E66" i="1"/>
  <c r="L13" i="1" s="1"/>
  <c r="E65" i="1"/>
  <c r="L12" i="1" s="1"/>
  <c r="E63" i="1"/>
  <c r="L10" i="1" s="1"/>
  <c r="E62" i="1"/>
  <c r="L9" i="1" s="1"/>
  <c r="E61" i="1"/>
  <c r="L8" i="1" s="1"/>
  <c r="E60" i="1"/>
  <c r="L7" i="1" s="1"/>
  <c r="E59" i="1"/>
  <c r="L5" i="1" s="1"/>
  <c r="P53" i="1"/>
  <c r="G53" i="1"/>
  <c r="F53" i="1"/>
  <c r="H52" i="1"/>
  <c r="C52" i="1"/>
  <c r="M51" i="1"/>
  <c r="L51" i="1"/>
  <c r="H51" i="1"/>
  <c r="C51" i="1"/>
  <c r="M50" i="1"/>
  <c r="H50" i="1"/>
  <c r="C50" i="1"/>
  <c r="M49" i="1"/>
  <c r="H49" i="1"/>
  <c r="C49" i="1"/>
  <c r="M48" i="1"/>
  <c r="H48" i="1"/>
  <c r="C48" i="1"/>
  <c r="M47" i="1"/>
  <c r="H47" i="1"/>
  <c r="C47" i="1"/>
  <c r="M46" i="1"/>
  <c r="H46" i="1"/>
  <c r="C46" i="1"/>
  <c r="M45" i="1"/>
  <c r="H45" i="1"/>
  <c r="C45" i="1"/>
  <c r="M44" i="1"/>
  <c r="H44" i="1"/>
  <c r="C44" i="1"/>
  <c r="M43" i="1"/>
  <c r="H43" i="1"/>
  <c r="C43" i="1"/>
  <c r="R42" i="1"/>
  <c r="R53" i="1" s="1"/>
  <c r="M42" i="1"/>
  <c r="H42" i="1"/>
  <c r="C42" i="1"/>
  <c r="M41" i="1"/>
  <c r="L41" i="1"/>
  <c r="H41" i="1"/>
  <c r="C41" i="1"/>
  <c r="M40" i="1"/>
  <c r="H40" i="1"/>
  <c r="C40" i="1"/>
  <c r="M39" i="1"/>
  <c r="H39" i="1"/>
  <c r="C39" i="1"/>
  <c r="M38" i="1"/>
  <c r="H38" i="1"/>
  <c r="C38" i="1"/>
  <c r="M37" i="1"/>
  <c r="H37" i="1"/>
  <c r="C37" i="1"/>
  <c r="M36" i="1"/>
  <c r="H36" i="1"/>
  <c r="C36" i="1"/>
  <c r="M35" i="1"/>
  <c r="H35" i="1"/>
  <c r="C35" i="1"/>
  <c r="M34" i="1"/>
  <c r="H34" i="1"/>
  <c r="C34" i="1"/>
  <c r="M33" i="1"/>
  <c r="L33" i="1"/>
  <c r="H33" i="1"/>
  <c r="C33" i="1"/>
  <c r="M32" i="1"/>
  <c r="H32" i="1"/>
  <c r="C32" i="1"/>
  <c r="M31" i="1"/>
  <c r="H31" i="1"/>
  <c r="C31" i="1"/>
  <c r="M30" i="1"/>
  <c r="H30" i="1"/>
  <c r="C30" i="1"/>
  <c r="O29" i="1"/>
  <c r="M29" i="1"/>
  <c r="H29" i="1"/>
  <c r="C29" i="1"/>
  <c r="M28" i="1"/>
  <c r="H28" i="1"/>
  <c r="C28" i="1"/>
  <c r="M27" i="1"/>
  <c r="H27" i="1"/>
  <c r="C27" i="1"/>
  <c r="M26" i="1"/>
  <c r="H26" i="1"/>
  <c r="C26" i="1"/>
  <c r="O25" i="1"/>
  <c r="M25" i="1"/>
  <c r="H25" i="1"/>
  <c r="C25" i="1"/>
  <c r="O24" i="1"/>
  <c r="H24" i="1"/>
  <c r="C24" i="1"/>
  <c r="M23" i="1"/>
  <c r="H23" i="1"/>
  <c r="C23" i="1"/>
  <c r="M22" i="1"/>
  <c r="H22" i="1"/>
  <c r="C22" i="1"/>
  <c r="M21" i="1"/>
  <c r="H21" i="1"/>
  <c r="C21" i="1"/>
  <c r="O20" i="1"/>
  <c r="L20" i="1"/>
  <c r="H20" i="1"/>
  <c r="C20" i="1"/>
  <c r="O19" i="1"/>
  <c r="H19" i="1"/>
  <c r="C19" i="1"/>
  <c r="O18" i="1"/>
  <c r="M18" i="1"/>
  <c r="H18" i="1"/>
  <c r="C18" i="1"/>
  <c r="M17" i="1"/>
  <c r="M16" i="1"/>
  <c r="H16" i="1"/>
  <c r="M15" i="1"/>
  <c r="J15" i="1"/>
  <c r="M14" i="1"/>
  <c r="J14" i="1"/>
  <c r="M13" i="1"/>
  <c r="J13" i="1"/>
  <c r="M12" i="1"/>
  <c r="J12" i="1"/>
  <c r="M11" i="1"/>
  <c r="L11" i="1"/>
  <c r="J11" i="1"/>
  <c r="M10" i="1"/>
  <c r="H10" i="1"/>
  <c r="J10" i="1" s="1"/>
  <c r="M9" i="1"/>
  <c r="J9" i="1"/>
  <c r="M8" i="1"/>
  <c r="H8" i="1"/>
  <c r="C8" i="1"/>
  <c r="M7" i="1"/>
  <c r="C7" i="1"/>
  <c r="J7" i="1" s="1"/>
  <c r="M6" i="1"/>
  <c r="J6" i="1"/>
  <c r="M5" i="1"/>
  <c r="C5" i="1"/>
  <c r="J5" i="1" s="1"/>
  <c r="AD5" i="1"/>
  <c r="AB10" i="1" l="1"/>
  <c r="Q49" i="1"/>
  <c r="Q23" i="1"/>
  <c r="Q42" i="1"/>
  <c r="Q34" i="1"/>
  <c r="Q5" i="1"/>
  <c r="Q36" i="1"/>
  <c r="I13" i="1"/>
  <c r="K13" i="1" s="1"/>
  <c r="I14" i="1"/>
  <c r="K14" i="1" s="1"/>
  <c r="I15" i="1"/>
  <c r="Q40" i="1"/>
  <c r="Q47" i="1"/>
  <c r="Q15" i="1"/>
  <c r="Q12" i="1"/>
  <c r="I9" i="1"/>
  <c r="K9" i="1" s="1"/>
  <c r="I10" i="1"/>
  <c r="K10" i="1" s="1"/>
  <c r="Q30" i="1"/>
  <c r="Q38" i="1"/>
  <c r="Q46" i="1"/>
  <c r="I22" i="1"/>
  <c r="Q13" i="1"/>
  <c r="Q27" i="1"/>
  <c r="Q39" i="1"/>
  <c r="Q43" i="1"/>
  <c r="J8" i="1"/>
  <c r="Q32" i="1"/>
  <c r="Q14" i="1"/>
  <c r="Q17" i="1"/>
  <c r="Q24" i="1"/>
  <c r="Q21" i="1"/>
  <c r="Q26" i="1"/>
  <c r="Q33" i="1"/>
  <c r="I46" i="1"/>
  <c r="Q48" i="1"/>
  <c r="I6" i="1"/>
  <c r="Q6" i="1"/>
  <c r="Q7" i="1"/>
  <c r="I12" i="1"/>
  <c r="I21" i="1"/>
  <c r="Q28" i="1"/>
  <c r="Q29" i="1"/>
  <c r="I35" i="1"/>
  <c r="I36" i="1"/>
  <c r="Q45" i="1"/>
  <c r="I49" i="1"/>
  <c r="Q50" i="1"/>
  <c r="Q31" i="1"/>
  <c r="Q35" i="1"/>
  <c r="H53" i="1"/>
  <c r="Q8" i="1"/>
  <c r="Q9" i="1"/>
  <c r="Q11" i="1"/>
  <c r="I26" i="1"/>
  <c r="I27" i="1"/>
  <c r="I31" i="1"/>
  <c r="I32" i="1"/>
  <c r="I39" i="1"/>
  <c r="I43" i="1"/>
  <c r="Q52" i="1"/>
  <c r="I7" i="1"/>
  <c r="K7" i="1" s="1"/>
  <c r="Q10" i="1"/>
  <c r="I11" i="1"/>
  <c r="I16" i="1"/>
  <c r="K16" i="1" s="1"/>
  <c r="I19" i="1"/>
  <c r="I24" i="1"/>
  <c r="Q41" i="1"/>
  <c r="I42" i="1"/>
  <c r="I48" i="1"/>
  <c r="E53" i="1"/>
  <c r="L53" i="1"/>
  <c r="C53" i="1"/>
  <c r="N53" i="1"/>
  <c r="AB8" i="1"/>
  <c r="I5" i="1"/>
  <c r="X11" i="1"/>
  <c r="Q16" i="1"/>
  <c r="I17" i="1"/>
  <c r="I23" i="1"/>
  <c r="I29" i="1"/>
  <c r="I34" i="1"/>
  <c r="I37" i="1"/>
  <c r="Q37" i="1"/>
  <c r="I38" i="1"/>
  <c r="I44" i="1"/>
  <c r="Q44" i="1"/>
  <c r="I45" i="1"/>
  <c r="I50" i="1"/>
  <c r="I52" i="1"/>
  <c r="D53" i="1"/>
  <c r="X7" i="1"/>
  <c r="X9" i="1"/>
  <c r="AB11" i="1"/>
  <c r="G107" i="1"/>
  <c r="M19" i="1"/>
  <c r="Q19" i="1" s="1"/>
  <c r="Q22" i="1"/>
  <c r="O53" i="1"/>
  <c r="AB7" i="1"/>
  <c r="AB9" i="1"/>
  <c r="X10" i="1"/>
  <c r="I8" i="1"/>
  <c r="AB12" i="1"/>
  <c r="I41" i="1"/>
  <c r="X8" i="1"/>
  <c r="I18" i="1"/>
  <c r="Q18" i="1"/>
  <c r="I20" i="1"/>
  <c r="Q20" i="1"/>
  <c r="I25" i="1"/>
  <c r="Q25" i="1"/>
  <c r="I28" i="1"/>
  <c r="I30" i="1"/>
  <c r="I33" i="1"/>
  <c r="I40" i="1"/>
  <c r="I47" i="1"/>
  <c r="I51" i="1"/>
  <c r="Q51" i="1"/>
  <c r="E107" i="1"/>
  <c r="S49" i="1" l="1"/>
  <c r="S42" i="1"/>
  <c r="S36" i="1"/>
  <c r="S21" i="1"/>
  <c r="S29" i="1"/>
  <c r="S23" i="1"/>
  <c r="S27" i="1"/>
  <c r="S9" i="1"/>
  <c r="S6" i="1"/>
  <c r="S14" i="1"/>
  <c r="S47" i="1"/>
  <c r="S52" i="1"/>
  <c r="S13" i="1"/>
  <c r="S34" i="1"/>
  <c r="S12" i="1"/>
  <c r="S19" i="1"/>
  <c r="S38" i="1"/>
  <c r="S15" i="1"/>
  <c r="S31" i="1"/>
  <c r="S40" i="1"/>
  <c r="S28" i="1"/>
  <c r="K15" i="1"/>
  <c r="S45" i="1"/>
  <c r="S7" i="1"/>
  <c r="S11" i="1"/>
  <c r="S26" i="1"/>
  <c r="S10" i="1"/>
  <c r="S41" i="1"/>
  <c r="S22" i="1"/>
  <c r="S50" i="1"/>
  <c r="S48" i="1"/>
  <c r="S30" i="1"/>
  <c r="S43" i="1"/>
  <c r="K6" i="1"/>
  <c r="S24" i="1"/>
  <c r="K12" i="1"/>
  <c r="S32" i="1"/>
  <c r="S39" i="1"/>
  <c r="S33" i="1"/>
  <c r="S17" i="1"/>
  <c r="S46" i="1"/>
  <c r="S44" i="1"/>
  <c r="S51" i="1"/>
  <c r="S25" i="1"/>
  <c r="S18" i="1"/>
  <c r="S37" i="1"/>
  <c r="S16" i="1"/>
  <c r="K11" i="1"/>
  <c r="S35" i="1"/>
  <c r="I53" i="1"/>
  <c r="X13" i="1"/>
  <c r="S5" i="1"/>
  <c r="K5" i="1"/>
  <c r="S20" i="1"/>
  <c r="AB4" i="1"/>
  <c r="AB5" i="1"/>
  <c r="M53" i="1"/>
  <c r="AB13" i="1"/>
  <c r="S8" i="1"/>
  <c r="K8" i="1"/>
  <c r="X14" i="1" l="1"/>
  <c r="Q53" i="1"/>
  <c r="S53" i="1" l="1"/>
</calcChain>
</file>

<file path=xl/sharedStrings.xml><?xml version="1.0" encoding="utf-8"?>
<sst xmlns="http://schemas.openxmlformats.org/spreadsheetml/2006/main" count="248" uniqueCount="97">
  <si>
    <t>寶晶能源股份有限公司</t>
    <phoneticPr fontId="4" type="noConversion"/>
  </si>
  <si>
    <t>寶晶能源股份有限公司</t>
  </si>
  <si>
    <t>109.09月薪資(109/10/05支付)</t>
    <phoneticPr fontId="4" type="noConversion"/>
  </si>
  <si>
    <t>2020 年 09 月薪資明細表</t>
    <phoneticPr fontId="3" type="noConversion"/>
  </si>
  <si>
    <t>編號</t>
    <phoneticPr fontId="4" type="noConversion"/>
  </si>
  <si>
    <t>員工</t>
    <phoneticPr fontId="4" type="noConversion"/>
  </si>
  <si>
    <t>本薪</t>
    <phoneticPr fontId="4" type="noConversion"/>
  </si>
  <si>
    <t>假況扣款    (應稅)</t>
    <phoneticPr fontId="4" type="noConversion"/>
  </si>
  <si>
    <t>加班費        (免稅)</t>
    <phoneticPr fontId="4" type="noConversion"/>
  </si>
  <si>
    <t>其他給付        (應稅)</t>
    <phoneticPr fontId="4" type="noConversion"/>
  </si>
  <si>
    <t>結清特休        (免稅)</t>
    <phoneticPr fontId="4" type="noConversion"/>
  </si>
  <si>
    <t>伙食津貼</t>
    <phoneticPr fontId="4" type="noConversion"/>
  </si>
  <si>
    <t>小計</t>
    <phoneticPr fontId="4" type="noConversion"/>
  </si>
  <si>
    <t>薪資總額</t>
    <phoneticPr fontId="3" type="noConversion"/>
  </si>
  <si>
    <t>差異</t>
    <phoneticPr fontId="3" type="noConversion"/>
  </si>
  <si>
    <t>代扣款</t>
    <phoneticPr fontId="4" type="noConversion"/>
  </si>
  <si>
    <t>調整
109/7勞保
109/8勞健保費</t>
    <phoneticPr fontId="3" type="noConversion"/>
  </si>
  <si>
    <t>實付薪資</t>
    <phoneticPr fontId="4" type="noConversion"/>
  </si>
  <si>
    <t>健保費</t>
    <phoneticPr fontId="4" type="noConversion"/>
  </si>
  <si>
    <t>勞保費</t>
    <phoneticPr fontId="4" type="noConversion"/>
  </si>
  <si>
    <t>補充保費</t>
    <phoneticPr fontId="3" type="noConversion"/>
  </si>
  <si>
    <t>勞退自提</t>
    <phoneticPr fontId="4" type="noConversion"/>
  </si>
  <si>
    <t>所得稅</t>
    <phoneticPr fontId="4" type="noConversion"/>
  </si>
  <si>
    <t>代扣小計</t>
    <phoneticPr fontId="4" type="noConversion"/>
  </si>
  <si>
    <t>勞保投保金額：</t>
  </si>
  <si>
    <t>健保投保金額：</t>
    <phoneticPr fontId="3" type="noConversion"/>
  </si>
  <si>
    <t>姓名:</t>
    <phoneticPr fontId="3" type="noConversion"/>
  </si>
  <si>
    <t>薪資:</t>
    <phoneticPr fontId="4" type="noConversion"/>
  </si>
  <si>
    <t>代扣健保費:</t>
    <phoneticPr fontId="4" type="noConversion"/>
  </si>
  <si>
    <t>假況扣款(應稅):</t>
    <phoneticPr fontId="4" type="noConversion"/>
  </si>
  <si>
    <t>代扣勞保費:</t>
    <phoneticPr fontId="4" type="noConversion"/>
  </si>
  <si>
    <t>補充保費:</t>
    <phoneticPr fontId="3" type="noConversion"/>
  </si>
  <si>
    <t>加班費(免稅):</t>
    <phoneticPr fontId="4" type="noConversion"/>
  </si>
  <si>
    <t>其他給付(應稅):</t>
    <phoneticPr fontId="4" type="noConversion"/>
  </si>
  <si>
    <t>代扣勞退自提:</t>
    <phoneticPr fontId="4" type="noConversion"/>
  </si>
  <si>
    <t>伙食津貼:</t>
    <phoneticPr fontId="4" type="noConversion"/>
  </si>
  <si>
    <t>代扣所得稅:</t>
    <phoneticPr fontId="4" type="noConversion"/>
  </si>
  <si>
    <t>調整:</t>
    <phoneticPr fontId="3" type="noConversion"/>
  </si>
  <si>
    <t>應發小計(A):</t>
    <phoneticPr fontId="4" type="noConversion"/>
  </si>
  <si>
    <t>應扣小計(B):</t>
    <phoneticPr fontId="4" type="noConversion"/>
  </si>
  <si>
    <t>實發合計(A)-(B):</t>
    <phoneticPr fontId="3" type="noConversion"/>
  </si>
  <si>
    <t>A11</t>
  </si>
  <si>
    <t>A15</t>
  </si>
  <si>
    <t>註：此明細表僅供本人核對薪資用，不得轉作其他用途。</t>
  </si>
  <si>
    <t>A16</t>
  </si>
  <si>
    <t>A17</t>
  </si>
  <si>
    <t>A18</t>
  </si>
  <si>
    <t>A19</t>
  </si>
  <si>
    <t>A20</t>
  </si>
  <si>
    <t>A22</t>
  </si>
  <si>
    <t>A27</t>
  </si>
  <si>
    <t>A30</t>
  </si>
  <si>
    <t>A31</t>
  </si>
  <si>
    <t>A32</t>
  </si>
  <si>
    <t>A34</t>
  </si>
  <si>
    <t>A35</t>
  </si>
  <si>
    <t>A36</t>
  </si>
  <si>
    <t>A37</t>
  </si>
  <si>
    <t>A38</t>
  </si>
  <si>
    <t>A39</t>
  </si>
  <si>
    <t>A41</t>
  </si>
  <si>
    <t>A42</t>
  </si>
  <si>
    <t>A43</t>
  </si>
  <si>
    <t>A44</t>
  </si>
  <si>
    <t>A45</t>
  </si>
  <si>
    <t>A46</t>
  </si>
  <si>
    <t>A47</t>
  </si>
  <si>
    <t>A48</t>
  </si>
  <si>
    <t>※勞健保投保明細</t>
    <phoneticPr fontId="4" type="noConversion"/>
  </si>
  <si>
    <t>健保</t>
    <phoneticPr fontId="4" type="noConversion"/>
  </si>
  <si>
    <t>勞保</t>
    <phoneticPr fontId="4" type="noConversion"/>
  </si>
  <si>
    <t>投保日期</t>
    <phoneticPr fontId="4" type="noConversion"/>
  </si>
  <si>
    <t>投保級距</t>
    <phoneticPr fontId="4" type="noConversion"/>
  </si>
  <si>
    <t>眷屬人數</t>
    <phoneticPr fontId="4" type="noConversion"/>
  </si>
  <si>
    <t>A10</t>
  </si>
  <si>
    <t>A12</t>
  </si>
  <si>
    <t>A13</t>
  </si>
  <si>
    <t>A21</t>
  </si>
  <si>
    <t>A23</t>
  </si>
  <si>
    <t>A24</t>
  </si>
  <si>
    <t>A26</t>
  </si>
  <si>
    <t>A33</t>
  </si>
  <si>
    <t>A40</t>
  </si>
  <si>
    <t>109/6/2</t>
    <phoneticPr fontId="3" type="noConversion"/>
  </si>
  <si>
    <t>A1</t>
    <phoneticPr fontId="3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</si>
  <si>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</si>
  <si>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</si>
  <si>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</si>
  <si>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</si>
  <si>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</si>
  <si>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</si>
  <si>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</si>
  <si>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</si>
  <si>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A14</t>
  </si>
  <si>
    <t>A25</t>
  </si>
  <si>
    <t>A28</t>
  </si>
  <si>
    <t>A29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</si>
</sst>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m&quot;月&quot;d&quot;日&quot;"/>
    <numFmt numFmtId="177" formatCode="_(* #,##0.00_);_(* \(#,##0.00\);_(* &quot;-&quot;??_);_(@_)"/>
    <numFmt numFmtId="178" formatCode="_-* #,##0_-;\-* #,##0_-;_-* &quot;-&quot;??_-;_-@_-"/>
    <numFmt numFmtId="179" formatCode="_(* #,##0_);_(* \(#,##0\);_(* &quot;-&quot;_);_(@_)"/>
    <numFmt numFmtId="180" formatCode="[$-404]e/m/d;@"/>
    <numFmt numFmtId="182" formatCode="#,##0_ "/>
    <numFmt numFmtId="183" formatCode="_(* #,##0_);_(* \(#,##0\);_(* &quot;-&quot;??_);_(@_)"/>
    <numFmt numFmtId="184" formatCode="_(* #,##0.0_);_(* \(#,##0.0\);_(* &quot;-&quot;??_);_(@_)"/>
  </numFmts>
  <fonts count="1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14"/>
      <color rgb="FF000000"/>
      <name val="標楷體"/>
      <family val="4"/>
      <charset val="136"/>
    </font>
    <font>
      <sz val="12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name val="新細明體"/>
      <family val="1"/>
      <charset val="136"/>
    </font>
    <font>
      <sz val="9"/>
      <color rgb="FF000000"/>
      <name val="新細明體"/>
      <family val="1"/>
      <charset val="136"/>
      <scheme val="minor"/>
    </font>
    <font>
      <b/>
      <sz val="9"/>
      <color rgb="FFFF0000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113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78" fontId="5" fillId="0" borderId="0" xfId="1" applyNumberFormat="1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178" fontId="5" fillId="0" borderId="11" xfId="1" applyNumberFormat="1" applyFont="1" applyBorder="1">
      <alignment vertical="center"/>
    </xf>
    <xf numFmtId="178" fontId="5" fillId="0" borderId="11" xfId="1" applyNumberFormat="1" applyFont="1" applyFill="1" applyBorder="1">
      <alignment vertical="center"/>
    </xf>
    <xf numFmtId="178" fontId="5" fillId="2" borderId="11" xfId="1" applyNumberFormat="1" applyFont="1" applyFill="1" applyBorder="1">
      <alignment vertical="center"/>
    </xf>
    <xf numFmtId="179" fontId="5" fillId="0" borderId="11" xfId="2" applyFont="1" applyBorder="1">
      <alignment vertical="center"/>
    </xf>
    <xf numFmtId="179" fontId="5" fillId="0" borderId="11" xfId="2" applyFont="1" applyFill="1" applyBorder="1">
      <alignment vertical="center"/>
    </xf>
    <xf numFmtId="179" fontId="5" fillId="0" borderId="13" xfId="2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right" vertical="center"/>
    </xf>
    <xf numFmtId="178" fontId="5" fillId="0" borderId="15" xfId="1" applyNumberFormat="1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4" xfId="3" applyFont="1" applyBorder="1" applyAlignment="1">
      <alignment horizontal="right" vertical="center"/>
    </xf>
    <xf numFmtId="0" fontId="5" fillId="0" borderId="0" xfId="3" applyFont="1" applyAlignment="1">
      <alignment horizontal="right" vertical="center"/>
    </xf>
    <xf numFmtId="182" fontId="5" fillId="0" borderId="0" xfId="3" applyNumberFormat="1" applyFont="1" applyAlignment="1">
      <alignment horizontal="right" vertical="center"/>
    </xf>
    <xf numFmtId="182" fontId="5" fillId="0" borderId="0" xfId="1" applyNumberFormat="1" applyFont="1" applyBorder="1" applyAlignment="1">
      <alignment vertical="center"/>
    </xf>
    <xf numFmtId="183" fontId="5" fillId="0" borderId="0" xfId="1" applyNumberFormat="1" applyFont="1" applyBorder="1" applyAlignment="1">
      <alignment vertical="center"/>
    </xf>
    <xf numFmtId="0" fontId="5" fillId="0" borderId="0" xfId="3" applyFont="1" applyAlignment="1">
      <alignment horizontal="right" vertical="center"/>
    </xf>
    <xf numFmtId="179" fontId="5" fillId="0" borderId="13" xfId="2" applyFont="1" applyFill="1" applyBorder="1">
      <alignment vertical="center"/>
    </xf>
    <xf numFmtId="184" fontId="5" fillId="0" borderId="0" xfId="1" applyNumberFormat="1" applyFont="1" applyBorder="1" applyAlignment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182" fontId="5" fillId="0" borderId="15" xfId="3" applyNumberFormat="1" applyFont="1" applyBorder="1" applyAlignment="1">
      <alignment horizontal="right" vertical="center"/>
    </xf>
    <xf numFmtId="0" fontId="5" fillId="0" borderId="16" xfId="0" applyFont="1" applyBorder="1">
      <alignment vertical="center"/>
    </xf>
    <xf numFmtId="0" fontId="5" fillId="0" borderId="4" xfId="0" applyFont="1" applyBorder="1">
      <alignment vertical="center"/>
    </xf>
    <xf numFmtId="178" fontId="5" fillId="4" borderId="11" xfId="1" applyNumberFormat="1" applyFont="1" applyFill="1" applyBorder="1">
      <alignment vertical="center"/>
    </xf>
    <xf numFmtId="0" fontId="10" fillId="0" borderId="0" xfId="0" applyFont="1" applyAlignment="1">
      <alignment vertical="center" wrapText="1"/>
    </xf>
    <xf numFmtId="0" fontId="5" fillId="5" borderId="0" xfId="0" applyFont="1" applyFill="1">
      <alignment vertical="center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1" fillId="0" borderId="17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182" fontId="5" fillId="0" borderId="18" xfId="3" applyNumberFormat="1" applyFont="1" applyBorder="1" applyAlignment="1">
      <alignment horizontal="right" vertical="center"/>
    </xf>
    <xf numFmtId="178" fontId="5" fillId="0" borderId="18" xfId="0" applyNumberFormat="1" applyFont="1" applyBorder="1">
      <alignment vertical="center"/>
    </xf>
    <xf numFmtId="0" fontId="5" fillId="0" borderId="19" xfId="0" applyFont="1" applyBorder="1">
      <alignment vertical="center"/>
    </xf>
    <xf numFmtId="179" fontId="5" fillId="4" borderId="11" xfId="2" applyFont="1" applyFill="1" applyBorder="1">
      <alignment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78" fontId="5" fillId="0" borderId="22" xfId="1" applyNumberFormat="1" applyFont="1" applyBorder="1">
      <alignment vertical="center"/>
    </xf>
    <xf numFmtId="178" fontId="5" fillId="0" borderId="22" xfId="1" applyNumberFormat="1" applyFont="1" applyFill="1" applyBorder="1">
      <alignment vertical="center"/>
    </xf>
    <xf numFmtId="178" fontId="5" fillId="2" borderId="22" xfId="1" applyNumberFormat="1" applyFont="1" applyFill="1" applyBorder="1">
      <alignment vertical="center"/>
    </xf>
    <xf numFmtId="179" fontId="5" fillId="0" borderId="22" xfId="2" applyFont="1" applyBorder="1">
      <alignment vertical="center"/>
    </xf>
    <xf numFmtId="178" fontId="5" fillId="0" borderId="23" xfId="1" applyNumberFormat="1" applyFont="1" applyBorder="1">
      <alignment vertical="center"/>
    </xf>
    <xf numFmtId="0" fontId="0" fillId="2" borderId="0" xfId="0" applyFill="1">
      <alignment vertical="center"/>
    </xf>
    <xf numFmtId="179" fontId="5" fillId="0" borderId="0" xfId="2" applyFont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182" fontId="5" fillId="6" borderId="11" xfId="1" applyNumberFormat="1" applyFont="1" applyFill="1" applyBorder="1" applyAlignment="1">
      <alignment horizontal="center" vertical="center"/>
    </xf>
    <xf numFmtId="178" fontId="5" fillId="0" borderId="11" xfId="1" applyNumberFormat="1" applyFont="1" applyFill="1" applyBorder="1" applyAlignment="1">
      <alignment horizontal="center" vertical="center"/>
    </xf>
    <xf numFmtId="178" fontId="5" fillId="6" borderId="11" xfId="1" applyNumberFormat="1" applyFont="1" applyFill="1" applyBorder="1" applyAlignment="1">
      <alignment horizontal="center" vertical="center"/>
    </xf>
    <xf numFmtId="178" fontId="5" fillId="0" borderId="30" xfId="1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180" fontId="7" fillId="2" borderId="0" xfId="0" applyNumberFormat="1" applyFont="1" applyFill="1" applyAlignment="1">
      <alignment horizontal="center" vertical="center"/>
    </xf>
    <xf numFmtId="180" fontId="7" fillId="0" borderId="13" xfId="0" applyNumberFormat="1" applyFont="1" applyBorder="1" applyAlignment="1">
      <alignment horizontal="center" vertical="center"/>
    </xf>
    <xf numFmtId="179" fontId="5" fillId="6" borderId="11" xfId="2" applyFont="1" applyFill="1" applyBorder="1">
      <alignment vertical="center"/>
    </xf>
    <xf numFmtId="180" fontId="7" fillId="0" borderId="0" xfId="0" applyNumberFormat="1" applyFont="1" applyAlignment="1">
      <alignment horizontal="center" vertical="center"/>
    </xf>
    <xf numFmtId="178" fontId="5" fillId="7" borderId="11" xfId="1" applyNumberFormat="1" applyFont="1" applyFill="1" applyBorder="1" applyAlignment="1">
      <alignment horizontal="center" vertical="center"/>
    </xf>
    <xf numFmtId="179" fontId="5" fillId="6" borderId="20" xfId="2" applyFont="1" applyFill="1" applyBorder="1">
      <alignment vertical="center"/>
    </xf>
    <xf numFmtId="182" fontId="5" fillId="6" borderId="20" xfId="1" applyNumberFormat="1" applyFont="1" applyFill="1" applyBorder="1" applyAlignment="1">
      <alignment horizontal="center" vertical="center"/>
    </xf>
    <xf numFmtId="178" fontId="5" fillId="0" borderId="32" xfId="1" applyNumberFormat="1" applyFont="1" applyBorder="1" applyAlignment="1">
      <alignment horizontal="center" vertical="center"/>
    </xf>
    <xf numFmtId="180" fontId="7" fillId="0" borderId="33" xfId="0" applyNumberFormat="1" applyFont="1" applyBorder="1" applyAlignment="1">
      <alignment horizontal="center" vertical="center"/>
    </xf>
    <xf numFmtId="178" fontId="5" fillId="0" borderId="32" xfId="1" applyNumberFormat="1" applyFont="1" applyFill="1" applyBorder="1" applyAlignment="1">
      <alignment horizontal="center" vertical="center"/>
    </xf>
    <xf numFmtId="179" fontId="5" fillId="4" borderId="20" xfId="2" applyFont="1" applyFill="1" applyBorder="1">
      <alignment vertical="center"/>
    </xf>
    <xf numFmtId="178" fontId="5" fillId="7" borderId="32" xfId="1" applyNumberFormat="1" applyFont="1" applyFill="1" applyBorder="1" applyAlignment="1">
      <alignment horizontal="center" vertical="center"/>
    </xf>
    <xf numFmtId="176" fontId="7" fillId="0" borderId="0" xfId="0" applyNumberFormat="1" applyFont="1">
      <alignment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78" fontId="5" fillId="0" borderId="22" xfId="0" applyNumberFormat="1" applyFont="1" applyBorder="1">
      <alignment vertical="center"/>
    </xf>
    <xf numFmtId="0" fontId="5" fillId="0" borderId="22" xfId="0" applyFont="1" applyBorder="1">
      <alignment vertical="center"/>
    </xf>
    <xf numFmtId="178" fontId="5" fillId="0" borderId="36" xfId="0" applyNumberFormat="1" applyFont="1" applyBorder="1">
      <alignment vertical="center"/>
    </xf>
    <xf numFmtId="0" fontId="5" fillId="0" borderId="23" xfId="0" applyFont="1" applyBorder="1">
      <alignment vertical="center"/>
    </xf>
  </cellXfs>
  <cellStyles count="4">
    <cellStyle name="一般" xfId="0" builtinId="0"/>
    <cellStyle name="一般 3" xfId="3" xr:uid="{C56FF1B0-3CD6-4026-BC64-65371548CB3F}"/>
    <cellStyle name="千分位" xfId="1" builtinId="3"/>
    <cellStyle name="千分位[0]" xfId="2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2304;&#39080;&#25511;&#12305;/&#36001;&#21209;/02-PETER/18&#20339;&#23803;&#25237;&#36039;/&#34218;&#36039;&#26126;&#32048;-&#23542;&#26230;&#33021;&#28304;%20-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7年7月"/>
      <sheetName val="107年8月"/>
      <sheetName val="107年9月"/>
      <sheetName val="107年10月"/>
      <sheetName val="10710月調整附件"/>
      <sheetName val="107年11月"/>
      <sheetName val="107年12月"/>
      <sheetName val="107年終"/>
      <sheetName val="108年1月"/>
      <sheetName val="108年2月"/>
      <sheetName val="108年3月"/>
      <sheetName val="108年4月"/>
      <sheetName val="108年5月"/>
      <sheetName val="108端午節金"/>
      <sheetName val="108年6月"/>
      <sheetName val="108年7月"/>
      <sheetName val="108年8月"/>
      <sheetName val="108中秋節金"/>
      <sheetName val="108年9月"/>
      <sheetName val="108年10月"/>
      <sheetName val="108年11月"/>
      <sheetName val="108年12月"/>
      <sheetName val="108年終"/>
      <sheetName val="109年1月 "/>
      <sheetName val="109年2月"/>
      <sheetName val="109年2月 -更新"/>
      <sheetName val="109年3月 "/>
      <sheetName val="109年4月 "/>
      <sheetName val="109年5月"/>
      <sheetName val="109年5月假況"/>
      <sheetName val="109端午節金"/>
      <sheetName val="109年6月"/>
      <sheetName val="109年6月假況"/>
      <sheetName val="109年7月"/>
      <sheetName val="109年7月假況"/>
      <sheetName val="109年8月"/>
      <sheetName val="109年8月假況"/>
      <sheetName val="109中秋節金"/>
      <sheetName val="109年9月 "/>
      <sheetName val="109年9月假況"/>
      <sheetName val="109年9月  (更正)"/>
      <sheetName val="工作表1"/>
      <sheetName val="107年補充保費"/>
      <sheetName val="請款單"/>
      <sheetName val="請款單 (2)"/>
      <sheetName val="109年"/>
      <sheetName val="108年薪資所得扣繳"/>
      <sheetName val="勞保級距-108"/>
      <sheetName val="1080101勞保10%-雇主"/>
      <sheetName val="健保級距-107"/>
      <sheetName val="勞保級距-107"/>
      <sheetName val="1070101勞保9.5%-雇主"/>
      <sheetName val="1070101健保費-雇主"/>
      <sheetName val="107年薪資所得扣繳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C1" t="str">
            <v>全民健康保險保險費負擔金額表(三)</v>
          </cell>
        </row>
        <row r="2">
          <cell r="C2" t="str">
            <v>﹝公、民營事業、機構及有一定雇主之受雇者適用﹞</v>
          </cell>
          <cell r="I2" t="str">
            <v>單位：新台幣元</v>
          </cell>
        </row>
        <row r="3">
          <cell r="A3" t="str">
            <v>月投保金額</v>
          </cell>
          <cell r="B3" t="str">
            <v>投保金額等級</v>
          </cell>
          <cell r="C3" t="str">
            <v>月投保金額</v>
          </cell>
          <cell r="D3" t="str">
            <v>被保險人及眷屬負擔金額﹝負擔比率30%﹞</v>
          </cell>
          <cell r="H3" t="str">
            <v>投保單位負擔金額﹝負擔比率60%﹞</v>
          </cell>
          <cell r="I3" t="str">
            <v>政府補助金額﹝補助比率10%﹞</v>
          </cell>
        </row>
        <row r="4">
          <cell r="D4" t="str">
            <v>本人</v>
          </cell>
          <cell r="E4" t="str">
            <v>本人+１眷口</v>
          </cell>
          <cell r="F4" t="str">
            <v>本人+２眷口</v>
          </cell>
          <cell r="G4" t="str">
            <v>本人+３眷口</v>
          </cell>
        </row>
        <row r="5">
          <cell r="A5">
            <v>22000</v>
          </cell>
          <cell r="B5">
            <v>1</v>
          </cell>
          <cell r="C5">
            <v>22000</v>
          </cell>
          <cell r="D5">
            <v>310</v>
          </cell>
          <cell r="E5">
            <v>620</v>
          </cell>
          <cell r="F5">
            <v>930</v>
          </cell>
          <cell r="G5">
            <v>1240</v>
          </cell>
          <cell r="H5">
            <v>997</v>
          </cell>
          <cell r="I5">
            <v>166</v>
          </cell>
        </row>
        <row r="6">
          <cell r="A6">
            <v>22800</v>
          </cell>
          <cell r="B6">
            <v>2</v>
          </cell>
          <cell r="C6">
            <v>22800</v>
          </cell>
          <cell r="D6">
            <v>321</v>
          </cell>
          <cell r="E6">
            <v>642</v>
          </cell>
          <cell r="F6">
            <v>963</v>
          </cell>
          <cell r="G6">
            <v>1284</v>
          </cell>
          <cell r="H6">
            <v>1033</v>
          </cell>
          <cell r="I6">
            <v>172</v>
          </cell>
        </row>
        <row r="7">
          <cell r="A7">
            <v>24000</v>
          </cell>
          <cell r="B7">
            <v>3</v>
          </cell>
          <cell r="C7">
            <v>24000</v>
          </cell>
          <cell r="D7">
            <v>338</v>
          </cell>
          <cell r="E7">
            <v>676</v>
          </cell>
          <cell r="F7">
            <v>1014</v>
          </cell>
          <cell r="G7">
            <v>1352</v>
          </cell>
          <cell r="H7">
            <v>1087</v>
          </cell>
          <cell r="I7">
            <v>181</v>
          </cell>
        </row>
        <row r="8">
          <cell r="A8">
            <v>25200</v>
          </cell>
          <cell r="B8">
            <v>4</v>
          </cell>
          <cell r="C8">
            <v>25200</v>
          </cell>
          <cell r="D8">
            <v>355</v>
          </cell>
          <cell r="E8">
            <v>710</v>
          </cell>
          <cell r="F8">
            <v>1065</v>
          </cell>
          <cell r="G8">
            <v>1420</v>
          </cell>
          <cell r="H8">
            <v>1142</v>
          </cell>
          <cell r="I8">
            <v>190</v>
          </cell>
        </row>
        <row r="9">
          <cell r="A9">
            <v>26400</v>
          </cell>
          <cell r="B9">
            <v>5</v>
          </cell>
          <cell r="C9">
            <v>26400</v>
          </cell>
          <cell r="D9">
            <v>371</v>
          </cell>
          <cell r="E9">
            <v>742</v>
          </cell>
          <cell r="F9">
            <v>1113</v>
          </cell>
          <cell r="G9">
            <v>1484</v>
          </cell>
          <cell r="H9">
            <v>1196</v>
          </cell>
          <cell r="I9">
            <v>199</v>
          </cell>
        </row>
        <row r="10">
          <cell r="A10">
            <v>27600</v>
          </cell>
          <cell r="B10">
            <v>6</v>
          </cell>
          <cell r="C10">
            <v>27600</v>
          </cell>
          <cell r="D10">
            <v>388</v>
          </cell>
          <cell r="E10">
            <v>776</v>
          </cell>
          <cell r="F10">
            <v>1164</v>
          </cell>
          <cell r="G10">
            <v>1552</v>
          </cell>
          <cell r="H10">
            <v>1250</v>
          </cell>
          <cell r="I10">
            <v>208</v>
          </cell>
        </row>
        <row r="11">
          <cell r="A11">
            <v>28800</v>
          </cell>
          <cell r="B11">
            <v>7</v>
          </cell>
          <cell r="C11">
            <v>28800</v>
          </cell>
          <cell r="D11">
            <v>405</v>
          </cell>
          <cell r="E11">
            <v>810</v>
          </cell>
          <cell r="F11">
            <v>1215</v>
          </cell>
          <cell r="G11">
            <v>1620</v>
          </cell>
          <cell r="H11">
            <v>1305</v>
          </cell>
          <cell r="I11">
            <v>217</v>
          </cell>
        </row>
        <row r="12">
          <cell r="A12">
            <v>30300</v>
          </cell>
          <cell r="B12">
            <v>8</v>
          </cell>
          <cell r="C12">
            <v>30300</v>
          </cell>
          <cell r="D12">
            <v>426</v>
          </cell>
          <cell r="E12">
            <v>852</v>
          </cell>
          <cell r="F12">
            <v>1278</v>
          </cell>
          <cell r="G12">
            <v>1704</v>
          </cell>
          <cell r="H12">
            <v>1373</v>
          </cell>
          <cell r="I12">
            <v>229</v>
          </cell>
        </row>
        <row r="13">
          <cell r="A13">
            <v>31800</v>
          </cell>
          <cell r="B13">
            <v>9</v>
          </cell>
          <cell r="C13">
            <v>31800</v>
          </cell>
          <cell r="D13">
            <v>447</v>
          </cell>
          <cell r="E13">
            <v>894</v>
          </cell>
          <cell r="F13">
            <v>1341</v>
          </cell>
          <cell r="G13">
            <v>1788</v>
          </cell>
          <cell r="H13">
            <v>1441</v>
          </cell>
          <cell r="I13">
            <v>240</v>
          </cell>
        </row>
        <row r="14">
          <cell r="A14">
            <v>33300</v>
          </cell>
          <cell r="B14">
            <v>10</v>
          </cell>
          <cell r="C14">
            <v>33300</v>
          </cell>
          <cell r="D14">
            <v>469</v>
          </cell>
          <cell r="E14">
            <v>938</v>
          </cell>
          <cell r="F14">
            <v>1407</v>
          </cell>
          <cell r="G14">
            <v>1876</v>
          </cell>
          <cell r="H14">
            <v>1509</v>
          </cell>
          <cell r="I14">
            <v>251</v>
          </cell>
        </row>
        <row r="15">
          <cell r="A15">
            <v>34800</v>
          </cell>
          <cell r="B15">
            <v>11</v>
          </cell>
          <cell r="C15">
            <v>34800</v>
          </cell>
          <cell r="D15">
            <v>490</v>
          </cell>
          <cell r="E15">
            <v>980</v>
          </cell>
          <cell r="F15">
            <v>1470</v>
          </cell>
          <cell r="G15">
            <v>1960</v>
          </cell>
          <cell r="H15">
            <v>1577</v>
          </cell>
          <cell r="I15">
            <v>263</v>
          </cell>
        </row>
        <row r="16">
          <cell r="A16">
            <v>36300</v>
          </cell>
          <cell r="B16">
            <v>12</v>
          </cell>
          <cell r="C16">
            <v>36300</v>
          </cell>
          <cell r="D16">
            <v>511</v>
          </cell>
          <cell r="E16">
            <v>1022</v>
          </cell>
          <cell r="F16">
            <v>1533</v>
          </cell>
          <cell r="G16">
            <v>2044</v>
          </cell>
          <cell r="H16">
            <v>1645</v>
          </cell>
          <cell r="I16">
            <v>274</v>
          </cell>
        </row>
        <row r="17">
          <cell r="A17">
            <v>38200</v>
          </cell>
          <cell r="B17">
            <v>13</v>
          </cell>
          <cell r="C17">
            <v>38200</v>
          </cell>
          <cell r="D17">
            <v>537</v>
          </cell>
          <cell r="E17">
            <v>1074</v>
          </cell>
          <cell r="F17">
            <v>1611</v>
          </cell>
          <cell r="G17">
            <v>2148</v>
          </cell>
          <cell r="H17">
            <v>1731</v>
          </cell>
          <cell r="I17">
            <v>288</v>
          </cell>
        </row>
        <row r="18">
          <cell r="A18">
            <v>40100</v>
          </cell>
          <cell r="B18">
            <v>14</v>
          </cell>
          <cell r="C18">
            <v>40100</v>
          </cell>
          <cell r="D18">
            <v>564</v>
          </cell>
          <cell r="E18">
            <v>1128</v>
          </cell>
          <cell r="F18">
            <v>1692</v>
          </cell>
          <cell r="G18">
            <v>2256</v>
          </cell>
          <cell r="H18">
            <v>1817</v>
          </cell>
          <cell r="I18">
            <v>303</v>
          </cell>
        </row>
        <row r="19">
          <cell r="A19">
            <v>42000</v>
          </cell>
          <cell r="B19">
            <v>15</v>
          </cell>
          <cell r="C19">
            <v>42000</v>
          </cell>
          <cell r="D19">
            <v>591</v>
          </cell>
          <cell r="E19">
            <v>1182</v>
          </cell>
          <cell r="F19">
            <v>1773</v>
          </cell>
          <cell r="G19">
            <v>2364</v>
          </cell>
          <cell r="H19">
            <v>1903</v>
          </cell>
          <cell r="I19">
            <v>317</v>
          </cell>
        </row>
        <row r="20">
          <cell r="A20">
            <v>43900</v>
          </cell>
          <cell r="B20">
            <v>16</v>
          </cell>
          <cell r="C20">
            <v>43900</v>
          </cell>
          <cell r="D20">
            <v>618</v>
          </cell>
          <cell r="E20">
            <v>1236</v>
          </cell>
          <cell r="F20">
            <v>1854</v>
          </cell>
          <cell r="G20">
            <v>2472</v>
          </cell>
          <cell r="H20">
            <v>1989</v>
          </cell>
          <cell r="I20">
            <v>331</v>
          </cell>
        </row>
        <row r="21">
          <cell r="A21">
            <v>45800</v>
          </cell>
          <cell r="B21">
            <v>17</v>
          </cell>
          <cell r="C21">
            <v>45800</v>
          </cell>
          <cell r="D21">
            <v>644</v>
          </cell>
          <cell r="E21">
            <v>1288</v>
          </cell>
          <cell r="F21">
            <v>1932</v>
          </cell>
          <cell r="G21">
            <v>2576</v>
          </cell>
          <cell r="H21">
            <v>2075</v>
          </cell>
          <cell r="I21">
            <v>346</v>
          </cell>
        </row>
        <row r="22">
          <cell r="A22">
            <v>48200</v>
          </cell>
          <cell r="B22">
            <v>18</v>
          </cell>
          <cell r="C22">
            <v>48200</v>
          </cell>
          <cell r="D22">
            <v>678</v>
          </cell>
          <cell r="E22">
            <v>1356</v>
          </cell>
          <cell r="F22">
            <v>2034</v>
          </cell>
          <cell r="G22">
            <v>2712</v>
          </cell>
          <cell r="H22">
            <v>2184</v>
          </cell>
          <cell r="I22">
            <v>364</v>
          </cell>
        </row>
        <row r="23">
          <cell r="A23">
            <v>50600</v>
          </cell>
          <cell r="B23">
            <v>19</v>
          </cell>
          <cell r="C23">
            <v>50600</v>
          </cell>
          <cell r="D23">
            <v>712</v>
          </cell>
          <cell r="E23">
            <v>1424</v>
          </cell>
          <cell r="F23">
            <v>2136</v>
          </cell>
          <cell r="G23">
            <v>2848</v>
          </cell>
          <cell r="H23">
            <v>2292</v>
          </cell>
          <cell r="I23">
            <v>382</v>
          </cell>
        </row>
        <row r="24">
          <cell r="A24">
            <v>53000</v>
          </cell>
          <cell r="B24">
            <v>20</v>
          </cell>
          <cell r="C24">
            <v>53000</v>
          </cell>
          <cell r="D24">
            <v>746</v>
          </cell>
          <cell r="E24">
            <v>1492</v>
          </cell>
          <cell r="F24">
            <v>2238</v>
          </cell>
          <cell r="G24">
            <v>2984</v>
          </cell>
          <cell r="H24">
            <v>2401</v>
          </cell>
          <cell r="I24">
            <v>400</v>
          </cell>
        </row>
        <row r="25">
          <cell r="A25">
            <v>55400</v>
          </cell>
          <cell r="B25">
            <v>21</v>
          </cell>
          <cell r="C25">
            <v>55400</v>
          </cell>
          <cell r="D25">
            <v>779</v>
          </cell>
          <cell r="E25">
            <v>1558</v>
          </cell>
          <cell r="F25">
            <v>2337</v>
          </cell>
          <cell r="G25">
            <v>3116</v>
          </cell>
          <cell r="H25">
            <v>2510</v>
          </cell>
          <cell r="I25">
            <v>418</v>
          </cell>
        </row>
        <row r="26">
          <cell r="A26">
            <v>57800</v>
          </cell>
          <cell r="B26">
            <v>22</v>
          </cell>
          <cell r="C26">
            <v>57800</v>
          </cell>
          <cell r="D26">
            <v>813</v>
          </cell>
          <cell r="E26">
            <v>1626</v>
          </cell>
          <cell r="F26">
            <v>2439</v>
          </cell>
          <cell r="G26">
            <v>3252</v>
          </cell>
          <cell r="H26">
            <v>2619</v>
          </cell>
          <cell r="I26">
            <v>436</v>
          </cell>
        </row>
        <row r="27">
          <cell r="A27">
            <v>60800</v>
          </cell>
          <cell r="B27">
            <v>23</v>
          </cell>
          <cell r="C27">
            <v>60800</v>
          </cell>
          <cell r="D27">
            <v>855</v>
          </cell>
          <cell r="E27">
            <v>1710</v>
          </cell>
          <cell r="F27">
            <v>2565</v>
          </cell>
          <cell r="G27">
            <v>3420</v>
          </cell>
          <cell r="H27">
            <v>2755</v>
          </cell>
          <cell r="I27">
            <v>459</v>
          </cell>
        </row>
        <row r="28">
          <cell r="A28">
            <v>63800</v>
          </cell>
          <cell r="B28">
            <v>24</v>
          </cell>
          <cell r="C28">
            <v>63800</v>
          </cell>
          <cell r="D28">
            <v>898</v>
          </cell>
          <cell r="E28">
            <v>1796</v>
          </cell>
          <cell r="F28">
            <v>2694</v>
          </cell>
          <cell r="G28">
            <v>3592</v>
          </cell>
          <cell r="H28">
            <v>2890</v>
          </cell>
          <cell r="I28">
            <v>482</v>
          </cell>
        </row>
        <row r="29">
          <cell r="A29">
            <v>66800</v>
          </cell>
          <cell r="B29">
            <v>25</v>
          </cell>
          <cell r="C29">
            <v>66800</v>
          </cell>
          <cell r="D29">
            <v>940</v>
          </cell>
          <cell r="E29">
            <v>1880</v>
          </cell>
          <cell r="F29">
            <v>2820</v>
          </cell>
          <cell r="G29">
            <v>3760</v>
          </cell>
          <cell r="H29">
            <v>3026</v>
          </cell>
          <cell r="I29">
            <v>504</v>
          </cell>
        </row>
        <row r="30">
          <cell r="A30">
            <v>69800</v>
          </cell>
          <cell r="B30">
            <v>26</v>
          </cell>
          <cell r="C30">
            <v>69800</v>
          </cell>
          <cell r="D30">
            <v>982</v>
          </cell>
          <cell r="E30">
            <v>1964</v>
          </cell>
          <cell r="F30">
            <v>2946</v>
          </cell>
          <cell r="G30">
            <v>3928</v>
          </cell>
          <cell r="H30">
            <v>3162</v>
          </cell>
          <cell r="I30">
            <v>527</v>
          </cell>
        </row>
        <row r="31">
          <cell r="A31">
            <v>72800</v>
          </cell>
          <cell r="B31">
            <v>27</v>
          </cell>
          <cell r="C31">
            <v>72800</v>
          </cell>
          <cell r="D31">
            <v>1024</v>
          </cell>
          <cell r="E31">
            <v>2048</v>
          </cell>
          <cell r="F31">
            <v>3072</v>
          </cell>
          <cell r="G31">
            <v>4096</v>
          </cell>
          <cell r="H31">
            <v>3298</v>
          </cell>
          <cell r="I31">
            <v>550</v>
          </cell>
        </row>
        <row r="32">
          <cell r="A32">
            <v>76500</v>
          </cell>
          <cell r="B32">
            <v>28</v>
          </cell>
          <cell r="C32">
            <v>76500</v>
          </cell>
          <cell r="D32">
            <v>1076</v>
          </cell>
          <cell r="E32">
            <v>2152</v>
          </cell>
          <cell r="F32">
            <v>3228</v>
          </cell>
          <cell r="G32">
            <v>4304</v>
          </cell>
          <cell r="H32">
            <v>3466</v>
          </cell>
          <cell r="I32">
            <v>578</v>
          </cell>
        </row>
        <row r="33">
          <cell r="A33">
            <v>80200</v>
          </cell>
          <cell r="B33">
            <v>29</v>
          </cell>
          <cell r="C33">
            <v>80200</v>
          </cell>
          <cell r="D33">
            <v>1128</v>
          </cell>
          <cell r="E33">
            <v>2256</v>
          </cell>
          <cell r="F33">
            <v>3384</v>
          </cell>
          <cell r="G33">
            <v>4512</v>
          </cell>
          <cell r="H33">
            <v>3633</v>
          </cell>
          <cell r="I33">
            <v>606</v>
          </cell>
        </row>
        <row r="34">
          <cell r="A34">
            <v>83900</v>
          </cell>
          <cell r="B34">
            <v>30</v>
          </cell>
          <cell r="C34">
            <v>83900</v>
          </cell>
          <cell r="D34">
            <v>1180</v>
          </cell>
          <cell r="E34">
            <v>2360</v>
          </cell>
          <cell r="F34">
            <v>3540</v>
          </cell>
          <cell r="G34">
            <v>4720</v>
          </cell>
          <cell r="H34">
            <v>3801</v>
          </cell>
          <cell r="I34">
            <v>634</v>
          </cell>
        </row>
        <row r="35">
          <cell r="A35">
            <v>87600</v>
          </cell>
          <cell r="B35">
            <v>31</v>
          </cell>
          <cell r="C35">
            <v>87600</v>
          </cell>
          <cell r="D35">
            <v>1233</v>
          </cell>
          <cell r="E35">
            <v>2466</v>
          </cell>
          <cell r="F35">
            <v>3699</v>
          </cell>
          <cell r="G35">
            <v>4932</v>
          </cell>
          <cell r="H35">
            <v>3969</v>
          </cell>
          <cell r="I35">
            <v>661</v>
          </cell>
        </row>
        <row r="36">
          <cell r="A36">
            <v>92100</v>
          </cell>
          <cell r="B36">
            <v>32</v>
          </cell>
          <cell r="C36">
            <v>92100</v>
          </cell>
          <cell r="D36">
            <v>1296</v>
          </cell>
          <cell r="E36">
            <v>2592</v>
          </cell>
          <cell r="F36">
            <v>3888</v>
          </cell>
          <cell r="G36">
            <v>5184</v>
          </cell>
          <cell r="H36">
            <v>4173</v>
          </cell>
          <cell r="I36">
            <v>695</v>
          </cell>
        </row>
        <row r="37">
          <cell r="A37">
            <v>96600</v>
          </cell>
          <cell r="B37">
            <v>33</v>
          </cell>
          <cell r="C37">
            <v>96600</v>
          </cell>
          <cell r="D37">
            <v>1359</v>
          </cell>
          <cell r="E37">
            <v>2718</v>
          </cell>
          <cell r="F37">
            <v>4077</v>
          </cell>
          <cell r="G37">
            <v>5436</v>
          </cell>
          <cell r="H37">
            <v>4377</v>
          </cell>
          <cell r="I37">
            <v>729</v>
          </cell>
        </row>
        <row r="38">
          <cell r="A38">
            <v>101100</v>
          </cell>
          <cell r="B38">
            <v>34</v>
          </cell>
          <cell r="C38">
            <v>101100</v>
          </cell>
          <cell r="D38">
            <v>1422</v>
          </cell>
          <cell r="E38">
            <v>2844</v>
          </cell>
          <cell r="F38">
            <v>4266</v>
          </cell>
          <cell r="G38">
            <v>5688</v>
          </cell>
          <cell r="H38">
            <v>4580</v>
          </cell>
          <cell r="I38">
            <v>763</v>
          </cell>
        </row>
        <row r="39">
          <cell r="A39">
            <v>105600</v>
          </cell>
          <cell r="B39">
            <v>35</v>
          </cell>
          <cell r="C39">
            <v>105600</v>
          </cell>
          <cell r="D39">
            <v>1486</v>
          </cell>
          <cell r="E39">
            <v>2972</v>
          </cell>
          <cell r="F39">
            <v>4458</v>
          </cell>
          <cell r="G39">
            <v>5944</v>
          </cell>
          <cell r="H39">
            <v>4784</v>
          </cell>
          <cell r="I39">
            <v>797</v>
          </cell>
        </row>
        <row r="40">
          <cell r="A40">
            <v>110100</v>
          </cell>
          <cell r="B40">
            <v>36</v>
          </cell>
          <cell r="C40">
            <v>110100</v>
          </cell>
          <cell r="D40">
            <v>1549</v>
          </cell>
          <cell r="E40">
            <v>3098</v>
          </cell>
          <cell r="F40">
            <v>4647</v>
          </cell>
          <cell r="G40">
            <v>6196</v>
          </cell>
          <cell r="H40">
            <v>4988</v>
          </cell>
          <cell r="I40">
            <v>831</v>
          </cell>
        </row>
        <row r="41">
          <cell r="A41">
            <v>115500</v>
          </cell>
          <cell r="B41">
            <v>37</v>
          </cell>
          <cell r="C41">
            <v>115500</v>
          </cell>
          <cell r="D41">
            <v>1625</v>
          </cell>
          <cell r="E41">
            <v>3250</v>
          </cell>
          <cell r="F41">
            <v>4875</v>
          </cell>
          <cell r="G41">
            <v>6500</v>
          </cell>
          <cell r="H41">
            <v>5233</v>
          </cell>
          <cell r="I41">
            <v>872</v>
          </cell>
        </row>
        <row r="42">
          <cell r="A42">
            <v>120900</v>
          </cell>
          <cell r="B42">
            <v>38</v>
          </cell>
          <cell r="C42">
            <v>120900</v>
          </cell>
          <cell r="D42">
            <v>1701</v>
          </cell>
          <cell r="E42">
            <v>3402</v>
          </cell>
          <cell r="F42">
            <v>5103</v>
          </cell>
          <cell r="G42">
            <v>6804</v>
          </cell>
          <cell r="H42">
            <v>5477</v>
          </cell>
          <cell r="I42">
            <v>913</v>
          </cell>
        </row>
        <row r="43">
          <cell r="A43">
            <v>126300</v>
          </cell>
          <cell r="B43">
            <v>39</v>
          </cell>
          <cell r="C43">
            <v>126300</v>
          </cell>
          <cell r="D43">
            <v>1777</v>
          </cell>
          <cell r="E43">
            <v>3554</v>
          </cell>
          <cell r="F43">
            <v>5331</v>
          </cell>
          <cell r="G43">
            <v>7108</v>
          </cell>
          <cell r="H43">
            <v>5722</v>
          </cell>
          <cell r="I43">
            <v>954</v>
          </cell>
        </row>
        <row r="44">
          <cell r="A44">
            <v>131700</v>
          </cell>
          <cell r="B44">
            <v>40</v>
          </cell>
          <cell r="C44">
            <v>131700</v>
          </cell>
          <cell r="D44">
            <v>1853</v>
          </cell>
          <cell r="E44">
            <v>3706</v>
          </cell>
          <cell r="F44">
            <v>5559</v>
          </cell>
          <cell r="G44">
            <v>7412</v>
          </cell>
          <cell r="H44">
            <v>5967</v>
          </cell>
          <cell r="I44">
            <v>994</v>
          </cell>
        </row>
        <row r="45">
          <cell r="A45">
            <v>137100</v>
          </cell>
          <cell r="B45">
            <v>41</v>
          </cell>
          <cell r="C45">
            <v>137100</v>
          </cell>
          <cell r="D45">
            <v>1929</v>
          </cell>
          <cell r="E45">
            <v>3858</v>
          </cell>
          <cell r="F45">
            <v>5787</v>
          </cell>
          <cell r="G45">
            <v>7716</v>
          </cell>
          <cell r="H45">
            <v>6211</v>
          </cell>
          <cell r="I45">
            <v>1035</v>
          </cell>
        </row>
        <row r="46">
          <cell r="A46">
            <v>142500</v>
          </cell>
          <cell r="B46">
            <v>42</v>
          </cell>
          <cell r="C46">
            <v>142500</v>
          </cell>
          <cell r="D46">
            <v>2005</v>
          </cell>
          <cell r="E46">
            <v>4010</v>
          </cell>
          <cell r="F46">
            <v>6015</v>
          </cell>
          <cell r="G46">
            <v>8020</v>
          </cell>
          <cell r="H46">
            <v>6456</v>
          </cell>
          <cell r="I46">
            <v>1076</v>
          </cell>
        </row>
        <row r="47">
          <cell r="A47">
            <v>147900</v>
          </cell>
          <cell r="B47">
            <v>43</v>
          </cell>
          <cell r="C47">
            <v>147900</v>
          </cell>
          <cell r="D47">
            <v>2081</v>
          </cell>
          <cell r="E47">
            <v>4162</v>
          </cell>
          <cell r="F47">
            <v>6243</v>
          </cell>
          <cell r="G47">
            <v>8324</v>
          </cell>
          <cell r="H47">
            <v>6701</v>
          </cell>
          <cell r="I47">
            <v>1117</v>
          </cell>
        </row>
        <row r="48">
          <cell r="A48">
            <v>150000</v>
          </cell>
          <cell r="B48">
            <v>44</v>
          </cell>
          <cell r="C48">
            <v>150000</v>
          </cell>
          <cell r="D48">
            <v>2111</v>
          </cell>
          <cell r="E48">
            <v>4222</v>
          </cell>
          <cell r="F48">
            <v>6333</v>
          </cell>
          <cell r="G48">
            <v>8444</v>
          </cell>
          <cell r="H48">
            <v>6796</v>
          </cell>
          <cell r="I48">
            <v>1133</v>
          </cell>
        </row>
        <row r="49">
          <cell r="A49">
            <v>156400</v>
          </cell>
          <cell r="B49">
            <v>45</v>
          </cell>
          <cell r="C49">
            <v>156400</v>
          </cell>
          <cell r="D49">
            <v>2201</v>
          </cell>
          <cell r="E49">
            <v>4402</v>
          </cell>
          <cell r="F49">
            <v>6603</v>
          </cell>
          <cell r="G49">
            <v>8804</v>
          </cell>
          <cell r="H49">
            <v>7086</v>
          </cell>
          <cell r="I49">
            <v>1181</v>
          </cell>
        </row>
        <row r="50">
          <cell r="A50">
            <v>162800</v>
          </cell>
          <cell r="B50">
            <v>46</v>
          </cell>
          <cell r="C50">
            <v>162800</v>
          </cell>
          <cell r="D50">
            <v>2291</v>
          </cell>
          <cell r="E50">
            <v>4582</v>
          </cell>
          <cell r="F50">
            <v>6873</v>
          </cell>
          <cell r="G50">
            <v>9164</v>
          </cell>
          <cell r="H50">
            <v>7376</v>
          </cell>
          <cell r="I50">
            <v>1229</v>
          </cell>
        </row>
        <row r="51">
          <cell r="A51">
            <v>169200</v>
          </cell>
          <cell r="B51">
            <v>47</v>
          </cell>
          <cell r="C51">
            <v>169200</v>
          </cell>
          <cell r="D51">
            <v>2381</v>
          </cell>
          <cell r="E51">
            <v>4762</v>
          </cell>
          <cell r="F51">
            <v>7143</v>
          </cell>
          <cell r="G51">
            <v>9524</v>
          </cell>
          <cell r="H51">
            <v>7666</v>
          </cell>
          <cell r="I51">
            <v>1278</v>
          </cell>
        </row>
        <row r="52">
          <cell r="A52">
            <v>175600</v>
          </cell>
          <cell r="B52">
            <v>48</v>
          </cell>
          <cell r="C52">
            <v>175600</v>
          </cell>
          <cell r="D52">
            <v>2471</v>
          </cell>
          <cell r="E52">
            <v>4942</v>
          </cell>
          <cell r="F52">
            <v>7413</v>
          </cell>
          <cell r="G52">
            <v>9884</v>
          </cell>
          <cell r="H52">
            <v>7956</v>
          </cell>
          <cell r="I52">
            <v>1326</v>
          </cell>
        </row>
        <row r="53">
          <cell r="A53">
            <v>182000</v>
          </cell>
          <cell r="B53">
            <v>49</v>
          </cell>
          <cell r="C53">
            <v>182000</v>
          </cell>
          <cell r="D53">
            <v>2561</v>
          </cell>
          <cell r="E53">
            <v>5122</v>
          </cell>
          <cell r="F53">
            <v>7683</v>
          </cell>
          <cell r="G53">
            <v>10244</v>
          </cell>
          <cell r="H53">
            <v>8246</v>
          </cell>
          <cell r="I53">
            <v>1374</v>
          </cell>
        </row>
        <row r="54">
          <cell r="B54" t="str">
            <v>107年1月1日起實施</v>
          </cell>
          <cell r="I54" t="str">
            <v xml:space="preserve">                         承保組製表</v>
          </cell>
        </row>
        <row r="56">
          <cell r="B56" t="str">
            <v>註:1.自107年1月1日起配合基本工資調整，第一級調整為22,000元。</v>
          </cell>
        </row>
        <row r="57">
          <cell r="B57" t="str">
            <v xml:space="preserve">    2.自105年1月1日起費率調整為4.69％ 。 </v>
          </cell>
        </row>
        <row r="58">
          <cell r="B58" t="str">
            <v xml:space="preserve">    3.自105年1月1日起調整平均眷口數為0.61人，投保單位及政府負擔金額含本人
       及平均眷屬人數0.61人，合計1.61人。</v>
          </cell>
        </row>
      </sheetData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2C93-F286-46D7-B8A0-5D13ED66E27B}">
  <sheetPr>
    <pageSetUpPr fitToPage="1"/>
  </sheetPr>
  <dimension ref="A1:AD112"/>
  <sheetViews>
    <sheetView tabSelected="1" view="pageBreakPreview" zoomScale="80" zoomScaleNormal="90" zoomScaleSheetLayoutView="80" workbookViewId="0">
      <pane xSplit="2" ySplit="4" topLeftCell="M32" activePane="bottomRight" state="frozen"/>
      <selection pane="topRight" activeCell="C1" sqref="C1"/>
      <selection pane="bottomLeft" activeCell="A5" sqref="A5"/>
      <selection pane="bottomRight" activeCell="X7" sqref="X7"/>
    </sheetView>
  </sheetViews>
  <sheetFormatPr defaultRowHeight="16.5" x14ac:dyDescent="0.25"/>
  <cols>
    <col min="2" max="2" width="14" customWidth="1"/>
    <col min="3" max="3" width="17.125" customWidth="1"/>
    <col min="4" max="8" width="13.5" customWidth="1"/>
    <col min="9" max="9" width="16.125" customWidth="1"/>
    <col min="10" max="10" width="15.875" style="76" hidden="1" customWidth="1"/>
    <col min="11" max="11" width="11.875" style="76" hidden="1" customWidth="1"/>
    <col min="12" max="16" width="12.625" customWidth="1"/>
    <col min="17" max="17" width="13.625" customWidth="1"/>
    <col min="18" max="18" width="11.875" customWidth="1"/>
    <col min="19" max="19" width="17.75" customWidth="1"/>
    <col min="22" max="23" width="11.375" customWidth="1"/>
    <col min="24" max="24" width="19.125" customWidth="1"/>
    <col min="28" max="28" width="12.25" bestFit="1" customWidth="1"/>
  </cols>
  <sheetData>
    <row r="1" spans="1:30" s="2" customFormat="1" ht="30" customHeight="1" x14ac:dyDescent="0.25">
      <c r="A1" s="1" t="s">
        <v>0</v>
      </c>
      <c r="J1" s="3"/>
      <c r="K1" s="3"/>
      <c r="V1" s="4" t="s">
        <v>1</v>
      </c>
      <c r="W1" s="5"/>
      <c r="X1" s="5"/>
      <c r="Y1" s="5"/>
      <c r="Z1" s="5"/>
      <c r="AA1" s="5"/>
      <c r="AB1" s="5"/>
      <c r="AC1" s="6"/>
    </row>
    <row r="2" spans="1:30" s="2" customFormat="1" ht="30" customHeight="1" x14ac:dyDescent="0.25">
      <c r="A2" s="2" t="s">
        <v>2</v>
      </c>
      <c r="J2" s="3"/>
      <c r="K2" s="3"/>
      <c r="V2" s="7" t="s">
        <v>3</v>
      </c>
      <c r="W2" s="8"/>
      <c r="X2" s="8"/>
      <c r="Y2" s="8"/>
      <c r="Z2" s="8"/>
      <c r="AA2" s="8"/>
      <c r="AB2" s="8"/>
      <c r="AC2" s="9"/>
    </row>
    <row r="3" spans="1:30" s="2" customFormat="1" ht="25.15" customHeight="1" x14ac:dyDescent="0.25">
      <c r="A3" s="10" t="s">
        <v>4</v>
      </c>
      <c r="B3" s="11" t="s">
        <v>5</v>
      </c>
      <c r="C3" s="11" t="s">
        <v>6</v>
      </c>
      <c r="D3" s="12" t="s">
        <v>7</v>
      </c>
      <c r="E3" s="12" t="s">
        <v>8</v>
      </c>
      <c r="F3" s="12" t="s">
        <v>9</v>
      </c>
      <c r="G3" s="12" t="s">
        <v>10</v>
      </c>
      <c r="H3" s="11" t="s">
        <v>11</v>
      </c>
      <c r="I3" s="11" t="s">
        <v>12</v>
      </c>
      <c r="J3" s="13" t="s">
        <v>13</v>
      </c>
      <c r="K3" s="13" t="s">
        <v>14</v>
      </c>
      <c r="L3" s="11" t="s">
        <v>15</v>
      </c>
      <c r="M3" s="11"/>
      <c r="N3" s="11"/>
      <c r="O3" s="11"/>
      <c r="P3" s="11"/>
      <c r="Q3" s="11"/>
      <c r="R3" s="14" t="s">
        <v>16</v>
      </c>
      <c r="S3" s="15" t="s">
        <v>17</v>
      </c>
      <c r="T3" s="16"/>
      <c r="V3" s="17"/>
      <c r="W3" s="18"/>
      <c r="AC3" s="19"/>
    </row>
    <row r="4" spans="1:30" s="16" customFormat="1" ht="25.15" customHeight="1" x14ac:dyDescent="0.25">
      <c r="A4" s="20"/>
      <c r="B4" s="21"/>
      <c r="C4" s="21"/>
      <c r="D4" s="22"/>
      <c r="E4" s="22"/>
      <c r="F4" s="22"/>
      <c r="G4" s="22"/>
      <c r="H4" s="21"/>
      <c r="I4" s="21"/>
      <c r="J4" s="23"/>
      <c r="K4" s="23"/>
      <c r="L4" s="24" t="s">
        <v>18</v>
      </c>
      <c r="M4" s="24" t="s">
        <v>19</v>
      </c>
      <c r="N4" s="24" t="s">
        <v>20</v>
      </c>
      <c r="O4" s="24" t="s">
        <v>21</v>
      </c>
      <c r="P4" s="24" t="s">
        <v>22</v>
      </c>
      <c r="Q4" s="24" t="s">
        <v>23</v>
      </c>
      <c r="R4" s="25"/>
      <c r="S4" s="26"/>
      <c r="V4" s="17"/>
      <c r="W4" s="18"/>
      <c r="Y4" s="2"/>
      <c r="Z4" s="2"/>
      <c r="AA4" s="27" t="s">
        <v>24</v>
      </c>
      <c r="AB4" s="28">
        <f>VLOOKUP(X6,B57:H106,5,0)</f>
        <v>45800</v>
      </c>
      <c r="AC4" s="19"/>
      <c r="AD4" s="16">
        <v>6</v>
      </c>
    </row>
    <row r="5" spans="1:30" s="2" customFormat="1" ht="25.15" customHeight="1" x14ac:dyDescent="0.25">
      <c r="A5" s="29" t="s">
        <v>84</v>
      </c>
      <c r="B5" s="24" t="s">
        <v>84</v>
      </c>
      <c r="C5" s="30">
        <f>35000-H5</f>
        <v>32600</v>
      </c>
      <c r="D5" s="30">
        <v>-2042</v>
      </c>
      <c r="E5" s="30">
        <v>391</v>
      </c>
      <c r="F5" s="30"/>
      <c r="G5" s="30"/>
      <c r="H5" s="30">
        <v>2400</v>
      </c>
      <c r="I5" s="31">
        <f t="shared" ref="I5:I16" si="0">SUM(C5:H5)</f>
        <v>33349</v>
      </c>
      <c r="J5" s="32">
        <f t="shared" ref="J5:J9" si="1">C5+H5</f>
        <v>35000</v>
      </c>
      <c r="K5" s="32">
        <f t="shared" ref="K5:K9" si="2">I5-J5</f>
        <v>-1651</v>
      </c>
      <c r="L5" s="33">
        <f>E59</f>
        <v>511</v>
      </c>
      <c r="M5" s="33">
        <f>G59</f>
        <v>799</v>
      </c>
      <c r="N5" s="33"/>
      <c r="O5" s="33"/>
      <c r="P5" s="33"/>
      <c r="Q5" s="33">
        <f t="shared" ref="Q5:Q52" si="3">SUM(L5:P5)</f>
        <v>1310</v>
      </c>
      <c r="R5" s="33"/>
      <c r="S5" s="35">
        <f t="shared" ref="S5:S52" si="4">I5-Q5+R5</f>
        <v>32039</v>
      </c>
      <c r="V5" s="36"/>
      <c r="W5" s="37"/>
      <c r="X5" s="37"/>
      <c r="Y5" s="37"/>
      <c r="Z5" s="37"/>
      <c r="AA5" s="38" t="s">
        <v>25</v>
      </c>
      <c r="AB5" s="39">
        <f>VLOOKUP(X6,B57:H106,2,0)</f>
        <v>57800</v>
      </c>
      <c r="AC5" s="40"/>
      <c r="AD5" s="2">
        <f>AD4-4</f>
        <v>2</v>
      </c>
    </row>
    <row r="6" spans="1:30" s="2" customFormat="1" ht="25.15" customHeight="1" x14ac:dyDescent="0.25">
      <c r="A6" s="29" t="s">
        <v>85</v>
      </c>
      <c r="B6" s="24" t="s">
        <v>85</v>
      </c>
      <c r="C6" s="31">
        <v>53800</v>
      </c>
      <c r="D6" s="30">
        <v>0</v>
      </c>
      <c r="E6" s="30">
        <v>0</v>
      </c>
      <c r="F6" s="31">
        <v>1000</v>
      </c>
      <c r="G6" s="31"/>
      <c r="H6" s="31">
        <v>2400</v>
      </c>
      <c r="I6" s="31">
        <f>SUM(C6:H6)</f>
        <v>57200</v>
      </c>
      <c r="J6" s="32">
        <f>C6+H6</f>
        <v>56200</v>
      </c>
      <c r="K6" s="32">
        <f>I6-J6</f>
        <v>1000</v>
      </c>
      <c r="L6" s="34">
        <f>E70</f>
        <v>813</v>
      </c>
      <c r="M6" s="34">
        <f>G70</f>
        <v>916</v>
      </c>
      <c r="N6" s="34"/>
      <c r="O6" s="34"/>
      <c r="P6" s="34"/>
      <c r="Q6" s="34">
        <f>SUM(L6:P6)</f>
        <v>1729</v>
      </c>
      <c r="R6" s="34"/>
      <c r="S6" s="50">
        <f>I6-Q6+R6</f>
        <v>55471</v>
      </c>
      <c r="V6" s="41" t="s">
        <v>26</v>
      </c>
      <c r="W6" s="42"/>
      <c r="X6" s="28" t="str">
        <f>INDEX($A$5:$S$52,$AD$5,2)</f>
        <v>A2</v>
      </c>
      <c r="AA6" s="43"/>
      <c r="AC6" s="19"/>
    </row>
    <row r="7" spans="1:30" s="2" customFormat="1" ht="25.15" customHeight="1" x14ac:dyDescent="0.25">
      <c r="A7" s="29" t="s">
        <v>86</v>
      </c>
      <c r="B7" s="24" t="s">
        <v>86</v>
      </c>
      <c r="C7" s="30">
        <f>57000-H7</f>
        <v>54600</v>
      </c>
      <c r="D7" s="30">
        <v>-9263</v>
      </c>
      <c r="E7" s="30">
        <v>0</v>
      </c>
      <c r="F7" s="30"/>
      <c r="G7" s="30"/>
      <c r="H7" s="30">
        <v>2400</v>
      </c>
      <c r="I7" s="31">
        <f t="shared" si="0"/>
        <v>47737</v>
      </c>
      <c r="J7" s="32">
        <f t="shared" si="1"/>
        <v>57000</v>
      </c>
      <c r="K7" s="32">
        <f t="shared" si="2"/>
        <v>-9263</v>
      </c>
      <c r="L7" s="33">
        <f>E60</f>
        <v>813</v>
      </c>
      <c r="M7" s="33">
        <f>G60</f>
        <v>1008</v>
      </c>
      <c r="N7" s="33"/>
      <c r="O7" s="33"/>
      <c r="P7" s="33"/>
      <c r="Q7" s="33">
        <f t="shared" si="3"/>
        <v>1821</v>
      </c>
      <c r="R7" s="33"/>
      <c r="S7" s="35">
        <f t="shared" si="4"/>
        <v>45916</v>
      </c>
      <c r="V7" s="44" t="s">
        <v>27</v>
      </c>
      <c r="W7" s="45"/>
      <c r="X7" s="47">
        <f>INDEX($A$5:$S$52,$AD$5,3)</f>
        <v>53800</v>
      </c>
      <c r="AA7" s="46" t="s">
        <v>28</v>
      </c>
      <c r="AB7" s="48">
        <f>INDEX($A$5:$S$52,$AD$5,12)</f>
        <v>813</v>
      </c>
      <c r="AC7" s="19"/>
    </row>
    <row r="8" spans="1:30" s="2" customFormat="1" ht="25.15" customHeight="1" x14ac:dyDescent="0.25">
      <c r="A8" s="29" t="s">
        <v>87</v>
      </c>
      <c r="B8" s="24" t="s">
        <v>87</v>
      </c>
      <c r="C8" s="30">
        <f>47600</f>
        <v>47600</v>
      </c>
      <c r="D8" s="30">
        <v>-1667</v>
      </c>
      <c r="E8" s="30">
        <v>1813</v>
      </c>
      <c r="F8" s="30"/>
      <c r="G8" s="30"/>
      <c r="H8" s="30">
        <f>2400</f>
        <v>2400</v>
      </c>
      <c r="I8" s="31">
        <f t="shared" si="0"/>
        <v>50146</v>
      </c>
      <c r="J8" s="32">
        <f t="shared" si="1"/>
        <v>50000</v>
      </c>
      <c r="K8" s="32">
        <f t="shared" si="2"/>
        <v>146</v>
      </c>
      <c r="L8" s="33">
        <f>E61</f>
        <v>712</v>
      </c>
      <c r="M8" s="33">
        <f>G61</f>
        <v>1008</v>
      </c>
      <c r="N8" s="33"/>
      <c r="O8" s="33"/>
      <c r="P8" s="33"/>
      <c r="Q8" s="33">
        <f t="shared" si="3"/>
        <v>1720</v>
      </c>
      <c r="R8" s="33"/>
      <c r="S8" s="35">
        <f>I8-Q8+R8</f>
        <v>48426</v>
      </c>
      <c r="V8" s="44" t="s">
        <v>29</v>
      </c>
      <c r="W8" s="45"/>
      <c r="X8" s="47">
        <f>INDEX($A$5:$S$52,$AD$5,4)</f>
        <v>0</v>
      </c>
      <c r="AA8" s="46" t="s">
        <v>30</v>
      </c>
      <c r="AB8" s="48">
        <f>INDEX($A$5:$S$52,$AD$5,13)</f>
        <v>916</v>
      </c>
      <c r="AC8" s="19"/>
    </row>
    <row r="9" spans="1:30" s="2" customFormat="1" ht="25.15" customHeight="1" x14ac:dyDescent="0.25">
      <c r="A9" s="29" t="s">
        <v>88</v>
      </c>
      <c r="B9" s="24" t="s">
        <v>88</v>
      </c>
      <c r="C9" s="30">
        <v>49600</v>
      </c>
      <c r="D9" s="30">
        <v>0</v>
      </c>
      <c r="E9" s="30">
        <v>0</v>
      </c>
      <c r="F9" s="30"/>
      <c r="G9" s="30"/>
      <c r="H9" s="30">
        <v>2400</v>
      </c>
      <c r="I9" s="31">
        <f t="shared" si="0"/>
        <v>52000</v>
      </c>
      <c r="J9" s="32">
        <f t="shared" si="1"/>
        <v>52000</v>
      </c>
      <c r="K9" s="32">
        <f t="shared" si="2"/>
        <v>0</v>
      </c>
      <c r="L9" s="33">
        <f>E62</f>
        <v>678</v>
      </c>
      <c r="M9" s="33">
        <f>G62</f>
        <v>1008</v>
      </c>
      <c r="N9" s="33"/>
      <c r="O9" s="33"/>
      <c r="P9" s="33"/>
      <c r="Q9" s="33">
        <f t="shared" si="3"/>
        <v>1686</v>
      </c>
      <c r="R9" s="33"/>
      <c r="S9" s="35">
        <f t="shared" si="4"/>
        <v>50314</v>
      </c>
      <c r="V9" s="44" t="s">
        <v>32</v>
      </c>
      <c r="W9" s="45"/>
      <c r="X9" s="47">
        <f>INDEX($A$5:$S$52,$AD$5,5)</f>
        <v>0</v>
      </c>
      <c r="AA9" s="49" t="s">
        <v>31</v>
      </c>
      <c r="AB9" s="48">
        <f>INDEX($A$5:$S$52,$AD$5,14)</f>
        <v>0</v>
      </c>
      <c r="AC9" s="19"/>
    </row>
    <row r="10" spans="1:30" s="2" customFormat="1" ht="25.15" customHeight="1" x14ac:dyDescent="0.25">
      <c r="A10" s="29" t="s">
        <v>89</v>
      </c>
      <c r="B10" s="24" t="s">
        <v>89</v>
      </c>
      <c r="C10" s="30">
        <v>35600</v>
      </c>
      <c r="D10" s="30">
        <v>-950</v>
      </c>
      <c r="E10" s="30">
        <v>212</v>
      </c>
      <c r="F10" s="30"/>
      <c r="G10" s="30"/>
      <c r="H10" s="30">
        <f>2400</f>
        <v>2400</v>
      </c>
      <c r="I10" s="31">
        <f t="shared" si="0"/>
        <v>37262</v>
      </c>
      <c r="J10" s="32">
        <f>C10+H10</f>
        <v>38000</v>
      </c>
      <c r="K10" s="32">
        <f>I10-J10</f>
        <v>-738</v>
      </c>
      <c r="L10" s="33">
        <f>E63</f>
        <v>537</v>
      </c>
      <c r="M10" s="33">
        <f>G63</f>
        <v>840</v>
      </c>
      <c r="N10" s="33"/>
      <c r="O10" s="33"/>
      <c r="P10" s="33"/>
      <c r="Q10" s="33">
        <f t="shared" si="3"/>
        <v>1377</v>
      </c>
      <c r="R10" s="33"/>
      <c r="S10" s="35">
        <f t="shared" si="4"/>
        <v>35885</v>
      </c>
      <c r="T10" s="58"/>
      <c r="V10" s="44" t="s">
        <v>33</v>
      </c>
      <c r="W10" s="45"/>
      <c r="X10" s="51">
        <f>INDEX($A$5:$S$52,$AD$5,6)</f>
        <v>1000</v>
      </c>
      <c r="AA10" s="46" t="s">
        <v>34</v>
      </c>
      <c r="AB10" s="48">
        <f>INDEX($A$5:$S$52,$AD$5,15)</f>
        <v>0</v>
      </c>
      <c r="AC10" s="19"/>
    </row>
    <row r="11" spans="1:30" s="2" customFormat="1" ht="25.15" customHeight="1" x14ac:dyDescent="0.25">
      <c r="A11" s="29" t="s">
        <v>90</v>
      </c>
      <c r="B11" s="24" t="s">
        <v>90</v>
      </c>
      <c r="C11" s="30">
        <v>37600</v>
      </c>
      <c r="D11" s="30">
        <v>0</v>
      </c>
      <c r="E11" s="30">
        <v>4680</v>
      </c>
      <c r="F11" s="30"/>
      <c r="G11" s="30"/>
      <c r="H11" s="30">
        <v>2400</v>
      </c>
      <c r="I11" s="31">
        <f t="shared" si="0"/>
        <v>44680</v>
      </c>
      <c r="J11" s="32">
        <f>C11+H11</f>
        <v>40000</v>
      </c>
      <c r="K11" s="32">
        <f>I11-J11</f>
        <v>4680</v>
      </c>
      <c r="L11" s="33">
        <f>E64</f>
        <v>0</v>
      </c>
      <c r="M11" s="33">
        <f>G64</f>
        <v>882</v>
      </c>
      <c r="N11" s="33"/>
      <c r="O11" s="33"/>
      <c r="P11" s="33"/>
      <c r="Q11" s="33">
        <f t="shared" si="3"/>
        <v>882</v>
      </c>
      <c r="R11" s="33"/>
      <c r="S11" s="35">
        <f t="shared" si="4"/>
        <v>43798</v>
      </c>
      <c r="T11" s="58"/>
      <c r="V11" s="44" t="s">
        <v>35</v>
      </c>
      <c r="W11" s="45"/>
      <c r="X11" s="47">
        <f>INDEX($A$5:$S$52,$AD$5,8)</f>
        <v>2400</v>
      </c>
      <c r="AA11" s="46" t="s">
        <v>36</v>
      </c>
      <c r="AB11" s="48">
        <f>INDEX($A$5:$S$52,$AD$5,16)</f>
        <v>0</v>
      </c>
      <c r="AC11" s="19"/>
    </row>
    <row r="12" spans="1:30" s="2" customFormat="1" ht="25.15" customHeight="1" x14ac:dyDescent="0.25">
      <c r="A12" s="29" t="s">
        <v>91</v>
      </c>
      <c r="B12" s="24" t="s">
        <v>91</v>
      </c>
      <c r="C12" s="30">
        <v>47600</v>
      </c>
      <c r="D12" s="30">
        <v>-3624</v>
      </c>
      <c r="E12" s="30">
        <v>0</v>
      </c>
      <c r="F12" s="30"/>
      <c r="G12" s="30"/>
      <c r="H12" s="30">
        <v>2400</v>
      </c>
      <c r="I12" s="31">
        <f t="shared" si="0"/>
        <v>46376</v>
      </c>
      <c r="J12" s="32">
        <f>C12+H12</f>
        <v>50000</v>
      </c>
      <c r="K12" s="32">
        <f>I12-J12</f>
        <v>-3624</v>
      </c>
      <c r="L12" s="33">
        <f>E65</f>
        <v>712</v>
      </c>
      <c r="M12" s="33">
        <f>G65</f>
        <v>1008</v>
      </c>
      <c r="N12" s="33"/>
      <c r="O12" s="33"/>
      <c r="P12" s="33"/>
      <c r="Q12" s="33">
        <f t="shared" si="3"/>
        <v>1720</v>
      </c>
      <c r="R12" s="33"/>
      <c r="S12" s="35">
        <f t="shared" si="4"/>
        <v>44656</v>
      </c>
      <c r="T12" s="58"/>
      <c r="V12" s="52"/>
      <c r="W12" s="53"/>
      <c r="X12" s="53"/>
      <c r="Y12" s="53"/>
      <c r="Z12" s="53"/>
      <c r="AA12" s="54" t="s">
        <v>37</v>
      </c>
      <c r="AB12" s="39">
        <f>-INDEX($A$5:$S$52,$AD$5,18)</f>
        <v>0</v>
      </c>
      <c r="AC12" s="55"/>
    </row>
    <row r="13" spans="1:30" s="2" customFormat="1" ht="25.15" customHeight="1" x14ac:dyDescent="0.25">
      <c r="A13" s="29" t="s">
        <v>92</v>
      </c>
      <c r="B13" s="24" t="s">
        <v>92</v>
      </c>
      <c r="C13" s="31">
        <v>68600</v>
      </c>
      <c r="D13" s="30">
        <v>0</v>
      </c>
      <c r="E13" s="30">
        <v>0</v>
      </c>
      <c r="F13" s="31"/>
      <c r="G13" s="31"/>
      <c r="H13" s="31">
        <v>2400</v>
      </c>
      <c r="I13" s="31">
        <f t="shared" si="0"/>
        <v>71000</v>
      </c>
      <c r="J13" s="32">
        <f>C13+H13</f>
        <v>71000</v>
      </c>
      <c r="K13" s="32">
        <f t="shared" ref="K13:K16" si="5">I13-J13</f>
        <v>0</v>
      </c>
      <c r="L13" s="34">
        <f>E66</f>
        <v>2048</v>
      </c>
      <c r="M13" s="34">
        <f>G66</f>
        <v>1008</v>
      </c>
      <c r="N13" s="34"/>
      <c r="O13" s="34"/>
      <c r="P13" s="34"/>
      <c r="Q13" s="34">
        <f t="shared" si="3"/>
        <v>3056</v>
      </c>
      <c r="R13" s="34"/>
      <c r="S13" s="50">
        <f t="shared" si="4"/>
        <v>67944</v>
      </c>
      <c r="T13" s="58"/>
      <c r="V13" s="56"/>
      <c r="W13" s="46" t="s">
        <v>38</v>
      </c>
      <c r="X13" s="47">
        <f>SUM(X7:X12)</f>
        <v>57200</v>
      </c>
      <c r="AA13" s="46" t="s">
        <v>39</v>
      </c>
      <c r="AB13" s="48">
        <f>SUM(AB7:AB12)</f>
        <v>1729</v>
      </c>
      <c r="AC13" s="19"/>
    </row>
    <row r="14" spans="1:30" s="2" customFormat="1" ht="24" customHeight="1" x14ac:dyDescent="0.25">
      <c r="A14" s="29" t="s">
        <v>74</v>
      </c>
      <c r="B14" s="24" t="s">
        <v>74</v>
      </c>
      <c r="C14" s="31">
        <v>42600</v>
      </c>
      <c r="D14" s="30">
        <v>0</v>
      </c>
      <c r="E14" s="30">
        <v>3383</v>
      </c>
      <c r="F14" s="31"/>
      <c r="G14" s="31"/>
      <c r="H14" s="31">
        <v>2400</v>
      </c>
      <c r="I14" s="31">
        <f t="shared" si="0"/>
        <v>48383</v>
      </c>
      <c r="J14" s="32">
        <f>C14+H14</f>
        <v>45000</v>
      </c>
      <c r="K14" s="32">
        <f t="shared" si="5"/>
        <v>3383</v>
      </c>
      <c r="L14" s="34">
        <f>E67</f>
        <v>2576</v>
      </c>
      <c r="M14" s="34">
        <f>G67</f>
        <v>1008</v>
      </c>
      <c r="N14" s="34"/>
      <c r="O14" s="34"/>
      <c r="P14" s="34"/>
      <c r="Q14" s="34">
        <f t="shared" si="3"/>
        <v>3584</v>
      </c>
      <c r="R14" s="34"/>
      <c r="S14" s="50">
        <f t="shared" si="4"/>
        <v>44799</v>
      </c>
      <c r="T14" s="58"/>
      <c r="V14" s="56" t="s">
        <v>40</v>
      </c>
      <c r="W14" s="58"/>
      <c r="X14" s="47">
        <f>X13-AB13</f>
        <v>55471</v>
      </c>
      <c r="AA14" s="46"/>
      <c r="AB14" s="48"/>
      <c r="AC14" s="19"/>
    </row>
    <row r="15" spans="1:30" s="2" customFormat="1" ht="25.15" customHeight="1" x14ac:dyDescent="0.25">
      <c r="A15" s="29" t="s">
        <v>41</v>
      </c>
      <c r="B15" s="24" t="s">
        <v>41</v>
      </c>
      <c r="C15" s="31">
        <v>32600</v>
      </c>
      <c r="D15" s="30">
        <v>-1458</v>
      </c>
      <c r="E15" s="30">
        <v>0</v>
      </c>
      <c r="F15" s="31"/>
      <c r="G15" s="31"/>
      <c r="H15" s="31">
        <v>2400</v>
      </c>
      <c r="I15" s="31">
        <f t="shared" si="0"/>
        <v>33542</v>
      </c>
      <c r="J15" s="32">
        <f>C15+H15</f>
        <v>35000</v>
      </c>
      <c r="K15" s="32">
        <f t="shared" si="5"/>
        <v>-1458</v>
      </c>
      <c r="L15" s="34">
        <f>E68</f>
        <v>1277</v>
      </c>
      <c r="M15" s="34">
        <f>G68</f>
        <v>799</v>
      </c>
      <c r="N15" s="34"/>
      <c r="O15" s="34"/>
      <c r="P15" s="34"/>
      <c r="Q15" s="34">
        <f t="shared" si="3"/>
        <v>2076</v>
      </c>
      <c r="R15" s="34"/>
      <c r="S15" s="50">
        <f t="shared" si="4"/>
        <v>31466</v>
      </c>
      <c r="T15" s="58"/>
      <c r="V15" s="60"/>
      <c r="W15" s="61"/>
      <c r="X15" s="61"/>
      <c r="Y15" s="61"/>
      <c r="Z15" s="61"/>
      <c r="AA15" s="61"/>
      <c r="AB15" s="61"/>
      <c r="AC15" s="62"/>
    </row>
    <row r="16" spans="1:30" s="2" customFormat="1" ht="25.15" customHeight="1" thickBot="1" x14ac:dyDescent="0.3">
      <c r="A16" s="29" t="s">
        <v>75</v>
      </c>
      <c r="B16" s="24" t="s">
        <v>75</v>
      </c>
      <c r="C16" s="31">
        <v>45600</v>
      </c>
      <c r="D16" s="30">
        <v>0</v>
      </c>
      <c r="E16" s="30">
        <v>0</v>
      </c>
      <c r="F16" s="31"/>
      <c r="G16" s="31"/>
      <c r="H16" s="31">
        <f>2400</f>
        <v>2400</v>
      </c>
      <c r="I16" s="31">
        <f t="shared" si="0"/>
        <v>48000</v>
      </c>
      <c r="J16" s="32">
        <v>48000</v>
      </c>
      <c r="K16" s="32">
        <f t="shared" si="5"/>
        <v>0</v>
      </c>
      <c r="L16" s="34">
        <f>E69</f>
        <v>2712</v>
      </c>
      <c r="M16" s="34">
        <f>G69</f>
        <v>1008</v>
      </c>
      <c r="N16" s="34"/>
      <c r="O16" s="34"/>
      <c r="P16" s="34"/>
      <c r="Q16" s="34">
        <f t="shared" si="3"/>
        <v>3720</v>
      </c>
      <c r="R16" s="34"/>
      <c r="S16" s="50">
        <f t="shared" si="4"/>
        <v>44280</v>
      </c>
      <c r="T16" s="58"/>
      <c r="V16" s="63" t="s">
        <v>43</v>
      </c>
      <c r="W16" s="64"/>
      <c r="X16" s="64"/>
      <c r="Y16" s="64"/>
      <c r="Z16" s="64"/>
      <c r="AA16" s="65"/>
      <c r="AB16" s="66"/>
      <c r="AC16" s="67"/>
    </row>
    <row r="17" spans="1:19" s="2" customFormat="1" ht="25.15" customHeight="1" x14ac:dyDescent="0.25">
      <c r="A17" s="29" t="s">
        <v>76</v>
      </c>
      <c r="B17" s="24" t="s">
        <v>76</v>
      </c>
      <c r="C17" s="30">
        <v>47600</v>
      </c>
      <c r="D17" s="30">
        <v>0</v>
      </c>
      <c r="E17" s="30">
        <v>0</v>
      </c>
      <c r="F17" s="30"/>
      <c r="G17" s="30"/>
      <c r="H17" s="31">
        <v>2400</v>
      </c>
      <c r="I17" s="31">
        <f t="shared" ref="I17:I51" si="6">SUM(C17:H17)</f>
        <v>50000</v>
      </c>
      <c r="J17" s="30"/>
      <c r="K17" s="30"/>
      <c r="L17" s="34">
        <f>E71</f>
        <v>712</v>
      </c>
      <c r="M17" s="34">
        <f>G71</f>
        <v>1008</v>
      </c>
      <c r="N17" s="33"/>
      <c r="O17" s="33"/>
      <c r="P17" s="33"/>
      <c r="Q17" s="33">
        <f t="shared" si="3"/>
        <v>1720</v>
      </c>
      <c r="R17" s="33"/>
      <c r="S17" s="35">
        <f t="shared" si="4"/>
        <v>48280</v>
      </c>
    </row>
    <row r="18" spans="1:19" s="2" customFormat="1" ht="25.15" customHeight="1" x14ac:dyDescent="0.25">
      <c r="A18" s="29" t="s">
        <v>93</v>
      </c>
      <c r="B18" s="24" t="s">
        <v>93</v>
      </c>
      <c r="C18" s="30">
        <f>ROUND((65000-2400)/30*30,0)</f>
        <v>62600</v>
      </c>
      <c r="D18" s="30">
        <v>-2167</v>
      </c>
      <c r="E18" s="30">
        <v>0</v>
      </c>
      <c r="F18" s="30"/>
      <c r="G18" s="30"/>
      <c r="H18" s="31">
        <f t="shared" ref="H18:H52" si="7">ROUND(2400/30*30,0)</f>
        <v>2400</v>
      </c>
      <c r="I18" s="31">
        <f t="shared" si="6"/>
        <v>62833</v>
      </c>
      <c r="J18" s="30"/>
      <c r="K18" s="30"/>
      <c r="L18" s="34">
        <f>E72</f>
        <v>940</v>
      </c>
      <c r="M18" s="34">
        <f>G72</f>
        <v>1008</v>
      </c>
      <c r="N18" s="33"/>
      <c r="O18" s="33">
        <f>ROUND(C72*6%,0)</f>
        <v>4008</v>
      </c>
      <c r="P18" s="33"/>
      <c r="Q18" s="33">
        <f t="shared" si="3"/>
        <v>5956</v>
      </c>
      <c r="R18" s="33"/>
      <c r="S18" s="35">
        <f t="shared" si="4"/>
        <v>56877</v>
      </c>
    </row>
    <row r="19" spans="1:19" s="2" customFormat="1" ht="25.15" customHeight="1" x14ac:dyDescent="0.25">
      <c r="A19" s="29" t="s">
        <v>42</v>
      </c>
      <c r="B19" s="24" t="s">
        <v>42</v>
      </c>
      <c r="C19" s="30">
        <f>ROUND((45000-2400)/30*30,0)</f>
        <v>42600</v>
      </c>
      <c r="D19" s="30">
        <v>0</v>
      </c>
      <c r="E19" s="30">
        <v>2382</v>
      </c>
      <c r="F19" s="30"/>
      <c r="G19" s="30"/>
      <c r="H19" s="31">
        <f t="shared" si="7"/>
        <v>2400</v>
      </c>
      <c r="I19" s="31">
        <f>SUM(C19:H19)</f>
        <v>47382</v>
      </c>
      <c r="J19" s="30"/>
      <c r="K19" s="30"/>
      <c r="L19" s="34">
        <f>E73</f>
        <v>2576</v>
      </c>
      <c r="M19" s="34">
        <f>G73</f>
        <v>1008</v>
      </c>
      <c r="N19" s="33"/>
      <c r="O19" s="33">
        <f>ROUND(C73*3%,0)</f>
        <v>1374</v>
      </c>
      <c r="P19" s="33"/>
      <c r="Q19" s="33">
        <f t="shared" si="3"/>
        <v>4958</v>
      </c>
      <c r="R19" s="33"/>
      <c r="S19" s="35">
        <f t="shared" si="4"/>
        <v>42424</v>
      </c>
    </row>
    <row r="20" spans="1:19" s="2" customFormat="1" ht="25.15" customHeight="1" x14ac:dyDescent="0.25">
      <c r="A20" s="29" t="s">
        <v>44</v>
      </c>
      <c r="B20" s="24" t="s">
        <v>44</v>
      </c>
      <c r="C20" s="30">
        <f>ROUND((45000-2400)/30*30,0)</f>
        <v>42600</v>
      </c>
      <c r="D20" s="30">
        <v>0</v>
      </c>
      <c r="E20" s="30">
        <v>2382</v>
      </c>
      <c r="F20" s="30"/>
      <c r="G20" s="30"/>
      <c r="H20" s="31">
        <f t="shared" si="7"/>
        <v>2400</v>
      </c>
      <c r="I20" s="31">
        <f>SUM(C20:H20)</f>
        <v>47382</v>
      </c>
      <c r="J20" s="30"/>
      <c r="K20" s="30"/>
      <c r="L20" s="34">
        <f>E74</f>
        <v>1932</v>
      </c>
      <c r="M20" s="34">
        <f>G74</f>
        <v>1008</v>
      </c>
      <c r="N20" s="33"/>
      <c r="O20" s="68">
        <f>ROUND(C74*6%/30*30,0)-275</f>
        <v>2473</v>
      </c>
      <c r="P20" s="33"/>
      <c r="Q20" s="33">
        <f t="shared" si="3"/>
        <v>5413</v>
      </c>
      <c r="R20" s="33"/>
      <c r="S20" s="35">
        <f t="shared" si="4"/>
        <v>41969</v>
      </c>
    </row>
    <row r="21" spans="1:19" s="2" customFormat="1" ht="25.15" customHeight="1" x14ac:dyDescent="0.25">
      <c r="A21" s="29" t="s">
        <v>45</v>
      </c>
      <c r="B21" s="24" t="s">
        <v>45</v>
      </c>
      <c r="C21" s="30">
        <f>ROUND((28000-2400)/30*30,0)</f>
        <v>25600</v>
      </c>
      <c r="D21" s="30">
        <v>-58</v>
      </c>
      <c r="E21" s="30">
        <v>313</v>
      </c>
      <c r="F21" s="30"/>
      <c r="G21" s="30"/>
      <c r="H21" s="31">
        <f t="shared" si="7"/>
        <v>2400</v>
      </c>
      <c r="I21" s="31">
        <f>SUM(C21:H21)</f>
        <v>28255</v>
      </c>
      <c r="J21" s="30"/>
      <c r="K21" s="30"/>
      <c r="L21" s="34">
        <f>E75</f>
        <v>405</v>
      </c>
      <c r="M21" s="34">
        <f>G75</f>
        <v>634</v>
      </c>
      <c r="N21" s="33"/>
      <c r="O21" s="33"/>
      <c r="P21" s="33"/>
      <c r="Q21" s="33">
        <f t="shared" si="3"/>
        <v>1039</v>
      </c>
      <c r="R21" s="33"/>
      <c r="S21" s="35">
        <f t="shared" si="4"/>
        <v>27216</v>
      </c>
    </row>
    <row r="22" spans="1:19" s="2" customFormat="1" ht="24.75" customHeight="1" x14ac:dyDescent="0.25">
      <c r="A22" s="29" t="s">
        <v>46</v>
      </c>
      <c r="B22" s="24" t="s">
        <v>46</v>
      </c>
      <c r="C22" s="30">
        <f>ROUND((50000-2400)/30*30,0)</f>
        <v>47600</v>
      </c>
      <c r="D22" s="30">
        <v>-1875</v>
      </c>
      <c r="E22" s="30">
        <v>0</v>
      </c>
      <c r="F22" s="30"/>
      <c r="G22" s="30"/>
      <c r="H22" s="31">
        <f t="shared" si="7"/>
        <v>2400</v>
      </c>
      <c r="I22" s="31">
        <f t="shared" si="6"/>
        <v>48125</v>
      </c>
      <c r="J22" s="30"/>
      <c r="K22" s="30"/>
      <c r="L22" s="34">
        <f>E76</f>
        <v>712</v>
      </c>
      <c r="M22" s="34">
        <f>G76</f>
        <v>1008</v>
      </c>
      <c r="N22" s="33"/>
      <c r="O22" s="33"/>
      <c r="P22" s="33"/>
      <c r="Q22" s="33">
        <f t="shared" si="3"/>
        <v>1720</v>
      </c>
      <c r="R22" s="33"/>
      <c r="S22" s="35">
        <f t="shared" si="4"/>
        <v>46405</v>
      </c>
    </row>
    <row r="23" spans="1:19" s="2" customFormat="1" ht="24.75" customHeight="1" x14ac:dyDescent="0.25">
      <c r="A23" s="29" t="s">
        <v>47</v>
      </c>
      <c r="B23" s="24" t="s">
        <v>47</v>
      </c>
      <c r="C23" s="30">
        <f>ROUND((42000-2400)/30*30,0)</f>
        <v>39600</v>
      </c>
      <c r="D23" s="30">
        <v>0</v>
      </c>
      <c r="E23" s="30">
        <v>0</v>
      </c>
      <c r="F23" s="30"/>
      <c r="G23" s="30"/>
      <c r="H23" s="31">
        <f t="shared" si="7"/>
        <v>2400</v>
      </c>
      <c r="I23" s="31">
        <f t="shared" si="6"/>
        <v>42000</v>
      </c>
      <c r="J23" s="30"/>
      <c r="K23" s="30"/>
      <c r="L23" s="34">
        <f>E77</f>
        <v>1182</v>
      </c>
      <c r="M23" s="34">
        <f>G77</f>
        <v>924</v>
      </c>
      <c r="N23" s="33"/>
      <c r="O23" s="33"/>
      <c r="P23" s="33"/>
      <c r="Q23" s="33">
        <f t="shared" si="3"/>
        <v>2106</v>
      </c>
      <c r="R23" s="33"/>
      <c r="S23" s="35">
        <f t="shared" si="4"/>
        <v>39894</v>
      </c>
    </row>
    <row r="24" spans="1:19" s="2" customFormat="1" ht="24.75" customHeight="1" x14ac:dyDescent="0.25">
      <c r="A24" s="29" t="s">
        <v>48</v>
      </c>
      <c r="B24" s="24" t="s">
        <v>48</v>
      </c>
      <c r="C24" s="30">
        <f>ROUND((70000-2400)/30*30,0)</f>
        <v>67600</v>
      </c>
      <c r="D24" s="30">
        <v>0</v>
      </c>
      <c r="E24" s="30">
        <v>0</v>
      </c>
      <c r="F24" s="30"/>
      <c r="G24" s="30"/>
      <c r="H24" s="31">
        <f t="shared" si="7"/>
        <v>2400</v>
      </c>
      <c r="I24" s="31">
        <f t="shared" si="6"/>
        <v>70000</v>
      </c>
      <c r="J24" s="30"/>
      <c r="K24" s="30"/>
      <c r="L24" s="34">
        <f>E78</f>
        <v>1024</v>
      </c>
      <c r="M24" s="34">
        <f>G78</f>
        <v>1008</v>
      </c>
      <c r="N24" s="33"/>
      <c r="O24" s="68">
        <f>ROUND(C78*6%/30*30,0)-146</f>
        <v>4222</v>
      </c>
      <c r="P24" s="33"/>
      <c r="Q24" s="33">
        <f t="shared" ref="Q24:Q25" si="8">SUM(L24:P24)</f>
        <v>6254</v>
      </c>
      <c r="R24" s="33"/>
      <c r="S24" s="35">
        <f t="shared" si="4"/>
        <v>63746</v>
      </c>
    </row>
    <row r="25" spans="1:19" s="2" customFormat="1" ht="24.75" customHeight="1" x14ac:dyDescent="0.25">
      <c r="A25" s="29" t="s">
        <v>77</v>
      </c>
      <c r="B25" s="24" t="s">
        <v>77</v>
      </c>
      <c r="C25" s="30">
        <f>ROUND((43000-2400)/30*30,0)</f>
        <v>40600</v>
      </c>
      <c r="D25" s="30">
        <v>-717</v>
      </c>
      <c r="E25" s="30">
        <v>0</v>
      </c>
      <c r="F25" s="30"/>
      <c r="G25" s="30"/>
      <c r="H25" s="31">
        <f t="shared" si="7"/>
        <v>2400</v>
      </c>
      <c r="I25" s="31">
        <f t="shared" si="6"/>
        <v>42283</v>
      </c>
      <c r="J25" s="30"/>
      <c r="K25" s="30"/>
      <c r="L25" s="34">
        <f>E79</f>
        <v>618</v>
      </c>
      <c r="M25" s="34">
        <f>G79</f>
        <v>966</v>
      </c>
      <c r="N25" s="33"/>
      <c r="O25" s="68">
        <f>ROUND(C79*2%/30*30,0)-29</f>
        <v>849</v>
      </c>
      <c r="P25" s="33"/>
      <c r="Q25" s="33">
        <f t="shared" si="8"/>
        <v>2433</v>
      </c>
      <c r="R25" s="33"/>
      <c r="S25" s="35">
        <f t="shared" si="4"/>
        <v>39850</v>
      </c>
    </row>
    <row r="26" spans="1:19" s="2" customFormat="1" ht="24.75" customHeight="1" x14ac:dyDescent="0.25">
      <c r="A26" s="29" t="s">
        <v>49</v>
      </c>
      <c r="B26" s="24" t="s">
        <v>49</v>
      </c>
      <c r="C26" s="30">
        <f>ROUND((28000-2400)/30*30,0)</f>
        <v>25600</v>
      </c>
      <c r="D26" s="30">
        <v>-2800</v>
      </c>
      <c r="E26" s="30">
        <v>0</v>
      </c>
      <c r="F26" s="30"/>
      <c r="G26" s="30"/>
      <c r="H26" s="31">
        <f t="shared" si="7"/>
        <v>2400</v>
      </c>
      <c r="I26" s="31">
        <f>SUM(C26:H26)</f>
        <v>25200</v>
      </c>
      <c r="J26" s="30"/>
      <c r="K26" s="30"/>
      <c r="L26" s="34">
        <f>E80</f>
        <v>607</v>
      </c>
      <c r="M26" s="34">
        <f>G80</f>
        <v>634</v>
      </c>
      <c r="N26" s="33"/>
      <c r="O26" s="33"/>
      <c r="P26" s="33"/>
      <c r="Q26" s="33">
        <f t="shared" ref="Q26:Q51" si="9">SUM(L26:P26)</f>
        <v>1241</v>
      </c>
      <c r="R26" s="33"/>
      <c r="S26" s="35">
        <f t="shared" si="4"/>
        <v>23959</v>
      </c>
    </row>
    <row r="27" spans="1:19" s="2" customFormat="1" ht="25.15" customHeight="1" x14ac:dyDescent="0.25">
      <c r="A27" s="29" t="s">
        <v>78</v>
      </c>
      <c r="B27" s="24" t="s">
        <v>78</v>
      </c>
      <c r="C27" s="30">
        <f>ROUND((42000-2400)/30*30,0)</f>
        <v>39600</v>
      </c>
      <c r="D27" s="30">
        <v>0</v>
      </c>
      <c r="E27" s="30">
        <v>2696</v>
      </c>
      <c r="F27" s="30"/>
      <c r="G27" s="30"/>
      <c r="H27" s="31">
        <f t="shared" si="7"/>
        <v>2400</v>
      </c>
      <c r="I27" s="31">
        <f t="shared" si="6"/>
        <v>44696</v>
      </c>
      <c r="J27" s="30"/>
      <c r="K27" s="30"/>
      <c r="L27" s="34">
        <f>E81</f>
        <v>591</v>
      </c>
      <c r="M27" s="34">
        <f>G81</f>
        <v>924</v>
      </c>
      <c r="N27" s="33"/>
      <c r="O27" s="33"/>
      <c r="P27" s="33"/>
      <c r="Q27" s="33">
        <f t="shared" si="9"/>
        <v>1515</v>
      </c>
      <c r="R27" s="33"/>
      <c r="S27" s="35">
        <f t="shared" si="4"/>
        <v>43181</v>
      </c>
    </row>
    <row r="28" spans="1:19" s="2" customFormat="1" ht="24.75" customHeight="1" x14ac:dyDescent="0.25">
      <c r="A28" s="29" t="s">
        <v>79</v>
      </c>
      <c r="B28" s="24" t="s">
        <v>79</v>
      </c>
      <c r="C28" s="30">
        <f>ROUND((38000-2400)/30*30,0)</f>
        <v>35600</v>
      </c>
      <c r="D28" s="30">
        <v>-1900</v>
      </c>
      <c r="E28" s="30">
        <v>0</v>
      </c>
      <c r="F28" s="30"/>
      <c r="G28" s="30"/>
      <c r="H28" s="31">
        <f t="shared" si="7"/>
        <v>2400</v>
      </c>
      <c r="I28" s="31">
        <f t="shared" si="6"/>
        <v>36100</v>
      </c>
      <c r="J28" s="30"/>
      <c r="K28" s="30"/>
      <c r="L28" s="34">
        <f>E82</f>
        <v>511</v>
      </c>
      <c r="M28" s="34">
        <f>G82</f>
        <v>799</v>
      </c>
      <c r="N28" s="33"/>
      <c r="O28" s="33"/>
      <c r="P28" s="33"/>
      <c r="Q28" s="33">
        <f t="shared" si="9"/>
        <v>1310</v>
      </c>
      <c r="R28" s="33"/>
      <c r="S28" s="35">
        <f t="shared" si="4"/>
        <v>34790</v>
      </c>
    </row>
    <row r="29" spans="1:19" s="2" customFormat="1" ht="24.75" customHeight="1" x14ac:dyDescent="0.25">
      <c r="A29" s="29" t="s">
        <v>94</v>
      </c>
      <c r="B29" s="24" t="s">
        <v>94</v>
      </c>
      <c r="C29" s="30">
        <f>ROUND((70000-2400)/30*30,0)</f>
        <v>67600</v>
      </c>
      <c r="D29" s="30">
        <v>0</v>
      </c>
      <c r="E29" s="30">
        <v>0</v>
      </c>
      <c r="F29" s="30"/>
      <c r="G29" s="30"/>
      <c r="H29" s="31">
        <f t="shared" si="7"/>
        <v>2400</v>
      </c>
      <c r="I29" s="31">
        <f t="shared" si="6"/>
        <v>70000</v>
      </c>
      <c r="J29" s="30"/>
      <c r="K29" s="30"/>
      <c r="L29" s="34">
        <f>E83</f>
        <v>1024</v>
      </c>
      <c r="M29" s="34">
        <f>G83</f>
        <v>1008</v>
      </c>
      <c r="N29" s="33"/>
      <c r="O29" s="33">
        <f>ROUND(C83*6%/30*30,0)</f>
        <v>4368</v>
      </c>
      <c r="P29" s="33"/>
      <c r="Q29" s="33">
        <f t="shared" si="9"/>
        <v>6400</v>
      </c>
      <c r="R29" s="33"/>
      <c r="S29" s="35">
        <f t="shared" si="4"/>
        <v>63600</v>
      </c>
    </row>
    <row r="30" spans="1:19" s="2" customFormat="1" ht="24.75" customHeight="1" x14ac:dyDescent="0.25">
      <c r="A30" s="29" t="s">
        <v>80</v>
      </c>
      <c r="B30" s="24" t="s">
        <v>80</v>
      </c>
      <c r="C30" s="30">
        <f>ROUND((40000-2400)/30*30,0)</f>
        <v>37600</v>
      </c>
      <c r="D30" s="30">
        <v>0</v>
      </c>
      <c r="E30" s="30">
        <v>2117</v>
      </c>
      <c r="F30" s="30"/>
      <c r="G30" s="30"/>
      <c r="H30" s="31">
        <f t="shared" ref="H30:H42" si="10">ROUND(2400/30*30,0)</f>
        <v>2400</v>
      </c>
      <c r="I30" s="31">
        <f t="shared" si="6"/>
        <v>42117</v>
      </c>
      <c r="J30" s="30"/>
      <c r="K30" s="30"/>
      <c r="L30" s="34">
        <f>E84</f>
        <v>564</v>
      </c>
      <c r="M30" s="34">
        <f>G84</f>
        <v>882</v>
      </c>
      <c r="N30" s="33"/>
      <c r="O30" s="33"/>
      <c r="P30" s="33"/>
      <c r="Q30" s="33">
        <f t="shared" si="9"/>
        <v>1446</v>
      </c>
      <c r="R30" s="33"/>
      <c r="S30" s="35">
        <f t="shared" si="4"/>
        <v>40671</v>
      </c>
    </row>
    <row r="31" spans="1:19" s="2" customFormat="1" ht="24.75" customHeight="1" x14ac:dyDescent="0.25">
      <c r="A31" s="29" t="s">
        <v>50</v>
      </c>
      <c r="B31" s="24" t="s">
        <v>50</v>
      </c>
      <c r="C31" s="30">
        <f>ROUND((33000-2400)/30*30,0)</f>
        <v>30600</v>
      </c>
      <c r="D31" s="30">
        <v>0</v>
      </c>
      <c r="E31" s="30">
        <v>2114</v>
      </c>
      <c r="F31" s="30"/>
      <c r="G31" s="30"/>
      <c r="H31" s="31">
        <f t="shared" si="10"/>
        <v>2400</v>
      </c>
      <c r="I31" s="31">
        <f t="shared" si="6"/>
        <v>35114</v>
      </c>
      <c r="J31" s="30"/>
      <c r="K31" s="30"/>
      <c r="L31" s="34">
        <f>E85</f>
        <v>469</v>
      </c>
      <c r="M31" s="34">
        <f>G85</f>
        <v>733</v>
      </c>
      <c r="N31" s="33"/>
      <c r="O31" s="33"/>
      <c r="P31" s="33"/>
      <c r="Q31" s="33">
        <f t="shared" si="9"/>
        <v>1202</v>
      </c>
      <c r="R31" s="33"/>
      <c r="S31" s="35">
        <f t="shared" si="4"/>
        <v>33912</v>
      </c>
    </row>
    <row r="32" spans="1:19" s="2" customFormat="1" ht="24.75" customHeight="1" x14ac:dyDescent="0.25">
      <c r="A32" s="29" t="s">
        <v>95</v>
      </c>
      <c r="B32" s="24" t="s">
        <v>95</v>
      </c>
      <c r="C32" s="30">
        <f>ROUND((50000-2400)/30*30,0)</f>
        <v>47600</v>
      </c>
      <c r="D32" s="30">
        <v>-208</v>
      </c>
      <c r="E32" s="30">
        <v>0</v>
      </c>
      <c r="F32" s="30"/>
      <c r="G32" s="30"/>
      <c r="H32" s="31">
        <f t="shared" si="10"/>
        <v>2400</v>
      </c>
      <c r="I32" s="31">
        <f t="shared" si="6"/>
        <v>49792</v>
      </c>
      <c r="J32" s="30"/>
      <c r="K32" s="30"/>
      <c r="L32" s="34">
        <f>E86</f>
        <v>712</v>
      </c>
      <c r="M32" s="34">
        <f>G86</f>
        <v>1008</v>
      </c>
      <c r="N32" s="33"/>
      <c r="O32" s="33"/>
      <c r="P32" s="33"/>
      <c r="Q32" s="33">
        <f t="shared" si="9"/>
        <v>1720</v>
      </c>
      <c r="R32" s="33"/>
      <c r="S32" s="35">
        <f t="shared" si="4"/>
        <v>48072</v>
      </c>
    </row>
    <row r="33" spans="1:19" s="2" customFormat="1" ht="24.75" customHeight="1" x14ac:dyDescent="0.25">
      <c r="A33" s="29" t="s">
        <v>96</v>
      </c>
      <c r="B33" s="24" t="s">
        <v>96</v>
      </c>
      <c r="C33" s="30">
        <f>ROUND((42000-2400)/30*30,0)</f>
        <v>39600</v>
      </c>
      <c r="D33" s="30">
        <v>0</v>
      </c>
      <c r="E33" s="30">
        <v>0</v>
      </c>
      <c r="F33" s="30"/>
      <c r="G33" s="30"/>
      <c r="H33" s="31">
        <f t="shared" si="10"/>
        <v>2400</v>
      </c>
      <c r="I33" s="31">
        <f t="shared" si="6"/>
        <v>42000</v>
      </c>
      <c r="J33" s="30"/>
      <c r="K33" s="30"/>
      <c r="L33" s="34">
        <f>E87</f>
        <v>591</v>
      </c>
      <c r="M33" s="34">
        <f>G87</f>
        <v>924</v>
      </c>
      <c r="N33" s="33"/>
      <c r="O33" s="33"/>
      <c r="P33" s="33"/>
      <c r="Q33" s="33">
        <f t="shared" si="9"/>
        <v>1515</v>
      </c>
      <c r="R33" s="33"/>
      <c r="S33" s="35">
        <f t="shared" si="4"/>
        <v>40485</v>
      </c>
    </row>
    <row r="34" spans="1:19" s="2" customFormat="1" ht="24.75" customHeight="1" x14ac:dyDescent="0.25">
      <c r="A34" s="29" t="s">
        <v>51</v>
      </c>
      <c r="B34" s="24" t="s">
        <v>51</v>
      </c>
      <c r="C34" s="57">
        <f>ROUND((52000-2400)/30*28,0)+ROUND((55000-2400)/30*2,0)</f>
        <v>49800</v>
      </c>
      <c r="D34" s="30">
        <v>0</v>
      </c>
      <c r="E34" s="30">
        <v>1452</v>
      </c>
      <c r="F34" s="31"/>
      <c r="G34" s="31"/>
      <c r="H34" s="31">
        <f>ROUND(2400/30*30,0)</f>
        <v>2400</v>
      </c>
      <c r="I34" s="31">
        <f t="shared" si="6"/>
        <v>53652</v>
      </c>
      <c r="J34" s="30"/>
      <c r="K34" s="30"/>
      <c r="L34" s="34">
        <f>E88</f>
        <v>746</v>
      </c>
      <c r="M34" s="34">
        <f>G88</f>
        <v>1008</v>
      </c>
      <c r="N34" s="33"/>
      <c r="O34" s="33"/>
      <c r="P34" s="33"/>
      <c r="Q34" s="33">
        <f t="shared" si="9"/>
        <v>1754</v>
      </c>
      <c r="R34" s="33"/>
      <c r="S34" s="35">
        <f t="shared" si="4"/>
        <v>51898</v>
      </c>
    </row>
    <row r="35" spans="1:19" s="2" customFormat="1" ht="24.75" customHeight="1" x14ac:dyDescent="0.25">
      <c r="A35" s="29" t="s">
        <v>52</v>
      </c>
      <c r="B35" s="24" t="s">
        <v>52</v>
      </c>
      <c r="C35" s="30">
        <f>ROUND((45000-2400)/30*30,0)</f>
        <v>42600</v>
      </c>
      <c r="D35" s="30">
        <v>-1500</v>
      </c>
      <c r="E35" s="30">
        <v>1442</v>
      </c>
      <c r="F35" s="30"/>
      <c r="G35" s="30"/>
      <c r="H35" s="31">
        <f t="shared" si="10"/>
        <v>2400</v>
      </c>
      <c r="I35" s="31">
        <f t="shared" si="6"/>
        <v>44942</v>
      </c>
      <c r="J35" s="30"/>
      <c r="K35" s="30"/>
      <c r="L35" s="34">
        <f>E89</f>
        <v>1932</v>
      </c>
      <c r="M35" s="34">
        <f>G89</f>
        <v>1008</v>
      </c>
      <c r="N35" s="33"/>
      <c r="O35" s="33"/>
      <c r="P35" s="33"/>
      <c r="Q35" s="33">
        <f t="shared" si="9"/>
        <v>2940</v>
      </c>
      <c r="R35" s="33"/>
      <c r="S35" s="35">
        <f t="shared" si="4"/>
        <v>42002</v>
      </c>
    </row>
    <row r="36" spans="1:19" s="2" customFormat="1" ht="24.75" customHeight="1" x14ac:dyDescent="0.25">
      <c r="A36" s="29" t="s">
        <v>53</v>
      </c>
      <c r="B36" s="24" t="s">
        <v>53</v>
      </c>
      <c r="C36" s="30">
        <f>ROUND((42000-2400)/30*30,0)</f>
        <v>39600</v>
      </c>
      <c r="D36" s="30">
        <v>0</v>
      </c>
      <c r="E36" s="30">
        <v>2223</v>
      </c>
      <c r="F36" s="31">
        <v>200</v>
      </c>
      <c r="G36" s="30"/>
      <c r="H36" s="31">
        <f t="shared" si="10"/>
        <v>2400</v>
      </c>
      <c r="I36" s="31">
        <f t="shared" si="6"/>
        <v>44423</v>
      </c>
      <c r="J36" s="30"/>
      <c r="K36" s="30"/>
      <c r="L36" s="34">
        <f>E90</f>
        <v>591</v>
      </c>
      <c r="M36" s="34">
        <f>G90</f>
        <v>924</v>
      </c>
      <c r="N36" s="33"/>
      <c r="O36" s="33"/>
      <c r="P36" s="33"/>
      <c r="Q36" s="33">
        <f t="shared" si="9"/>
        <v>1515</v>
      </c>
      <c r="R36" s="33"/>
      <c r="S36" s="35">
        <f t="shared" si="4"/>
        <v>42908</v>
      </c>
    </row>
    <row r="37" spans="1:19" s="2" customFormat="1" ht="24.75" customHeight="1" x14ac:dyDescent="0.25">
      <c r="A37" s="29" t="s">
        <v>81</v>
      </c>
      <c r="B37" s="24" t="s">
        <v>81</v>
      </c>
      <c r="C37" s="30">
        <f>ROUND((40000-2400)/30*30,0)</f>
        <v>37600</v>
      </c>
      <c r="D37" s="30">
        <v>0</v>
      </c>
      <c r="E37" s="30">
        <v>0</v>
      </c>
      <c r="F37" s="30"/>
      <c r="G37" s="30"/>
      <c r="H37" s="31">
        <f t="shared" si="10"/>
        <v>2400</v>
      </c>
      <c r="I37" s="31">
        <f t="shared" si="6"/>
        <v>40000</v>
      </c>
      <c r="J37" s="30"/>
      <c r="K37" s="30"/>
      <c r="L37" s="34">
        <f>E91</f>
        <v>564</v>
      </c>
      <c r="M37" s="34">
        <f>G91</f>
        <v>882</v>
      </c>
      <c r="N37" s="33"/>
      <c r="O37" s="33"/>
      <c r="P37" s="33"/>
      <c r="Q37" s="33">
        <f t="shared" si="9"/>
        <v>1446</v>
      </c>
      <c r="R37" s="33"/>
      <c r="S37" s="35">
        <f t="shared" si="4"/>
        <v>38554</v>
      </c>
    </row>
    <row r="38" spans="1:19" s="2" customFormat="1" ht="24.75" customHeight="1" x14ac:dyDescent="0.25">
      <c r="A38" s="29" t="s">
        <v>54</v>
      </c>
      <c r="B38" s="24" t="s">
        <v>54</v>
      </c>
      <c r="C38" s="30">
        <f t="shared" ref="C38:C42" si="11">ROUND((27000-2400)/30*30,0)</f>
        <v>24600</v>
      </c>
      <c r="D38" s="30">
        <v>0</v>
      </c>
      <c r="E38" s="30">
        <v>0</v>
      </c>
      <c r="F38" s="30"/>
      <c r="G38" s="30"/>
      <c r="H38" s="31">
        <f t="shared" si="10"/>
        <v>2400</v>
      </c>
      <c r="I38" s="31">
        <f t="shared" si="6"/>
        <v>27000</v>
      </c>
      <c r="J38" s="30"/>
      <c r="K38" s="30"/>
      <c r="L38" s="34">
        <f>E92</f>
        <v>388</v>
      </c>
      <c r="M38" s="34">
        <f>G92</f>
        <v>607</v>
      </c>
      <c r="N38" s="33"/>
      <c r="O38" s="33"/>
      <c r="P38" s="33"/>
      <c r="Q38" s="33">
        <f t="shared" si="9"/>
        <v>995</v>
      </c>
      <c r="R38" s="33"/>
      <c r="S38" s="35">
        <f t="shared" si="4"/>
        <v>26005</v>
      </c>
    </row>
    <row r="39" spans="1:19" s="2" customFormat="1" ht="24.75" customHeight="1" x14ac:dyDescent="0.25">
      <c r="A39" s="29" t="s">
        <v>55</v>
      </c>
      <c r="B39" s="24" t="s">
        <v>55</v>
      </c>
      <c r="C39" s="30">
        <f t="shared" si="11"/>
        <v>24600</v>
      </c>
      <c r="D39" s="30">
        <v>-338</v>
      </c>
      <c r="E39" s="30">
        <v>678</v>
      </c>
      <c r="F39" s="30"/>
      <c r="G39" s="30"/>
      <c r="H39" s="31">
        <f t="shared" si="10"/>
        <v>2400</v>
      </c>
      <c r="I39" s="31">
        <f t="shared" si="6"/>
        <v>27340</v>
      </c>
      <c r="J39" s="30"/>
      <c r="K39" s="30"/>
      <c r="L39" s="34">
        <f>E93</f>
        <v>388</v>
      </c>
      <c r="M39" s="34">
        <f>G93</f>
        <v>607</v>
      </c>
      <c r="N39" s="33"/>
      <c r="O39" s="33"/>
      <c r="P39" s="33"/>
      <c r="Q39" s="33">
        <f t="shared" si="9"/>
        <v>995</v>
      </c>
      <c r="R39" s="33"/>
      <c r="S39" s="35">
        <f t="shared" si="4"/>
        <v>26345</v>
      </c>
    </row>
    <row r="40" spans="1:19" s="2" customFormat="1" ht="24.75" customHeight="1" x14ac:dyDescent="0.25">
      <c r="A40" s="29" t="s">
        <v>56</v>
      </c>
      <c r="B40" s="24" t="s">
        <v>56</v>
      </c>
      <c r="C40" s="30">
        <f t="shared" si="11"/>
        <v>24600</v>
      </c>
      <c r="D40" s="30">
        <v>0</v>
      </c>
      <c r="E40" s="30">
        <v>2406</v>
      </c>
      <c r="F40" s="30"/>
      <c r="G40" s="30"/>
      <c r="H40" s="31">
        <f t="shared" si="10"/>
        <v>2400</v>
      </c>
      <c r="I40" s="31">
        <f t="shared" si="6"/>
        <v>29406</v>
      </c>
      <c r="J40" s="30"/>
      <c r="K40" s="30"/>
      <c r="L40" s="34">
        <f>E94</f>
        <v>0</v>
      </c>
      <c r="M40" s="34">
        <f>G94</f>
        <v>607</v>
      </c>
      <c r="N40" s="33"/>
      <c r="O40" s="33"/>
      <c r="P40" s="33"/>
      <c r="Q40" s="33">
        <f t="shared" si="9"/>
        <v>607</v>
      </c>
      <c r="R40" s="33"/>
      <c r="S40" s="35">
        <f t="shared" si="4"/>
        <v>28799</v>
      </c>
    </row>
    <row r="41" spans="1:19" s="2" customFormat="1" ht="24.75" customHeight="1" x14ac:dyDescent="0.25">
      <c r="A41" s="29" t="s">
        <v>57</v>
      </c>
      <c r="B41" s="24" t="s">
        <v>57</v>
      </c>
      <c r="C41" s="30">
        <f t="shared" si="11"/>
        <v>24600</v>
      </c>
      <c r="D41" s="30">
        <v>0</v>
      </c>
      <c r="E41" s="30">
        <v>1729</v>
      </c>
      <c r="F41" s="30"/>
      <c r="G41" s="30"/>
      <c r="H41" s="31">
        <f t="shared" si="10"/>
        <v>2400</v>
      </c>
      <c r="I41" s="31">
        <f t="shared" si="6"/>
        <v>28729</v>
      </c>
      <c r="J41" s="30"/>
      <c r="K41" s="30"/>
      <c r="L41" s="34">
        <f>E95</f>
        <v>388</v>
      </c>
      <c r="M41" s="34">
        <f>G95</f>
        <v>607</v>
      </c>
      <c r="N41" s="33"/>
      <c r="O41" s="33"/>
      <c r="P41" s="33"/>
      <c r="Q41" s="33">
        <f t="shared" si="9"/>
        <v>995</v>
      </c>
      <c r="R41" s="33"/>
      <c r="S41" s="35">
        <f t="shared" si="4"/>
        <v>27734</v>
      </c>
    </row>
    <row r="42" spans="1:19" s="2" customFormat="1" ht="24.75" customHeight="1" x14ac:dyDescent="0.25">
      <c r="A42" s="29" t="s">
        <v>58</v>
      </c>
      <c r="B42" s="24" t="s">
        <v>58</v>
      </c>
      <c r="C42" s="30">
        <f t="shared" si="11"/>
        <v>24600</v>
      </c>
      <c r="D42" s="30">
        <v>-1824</v>
      </c>
      <c r="E42" s="30">
        <v>1429</v>
      </c>
      <c r="F42" s="30"/>
      <c r="G42" s="30"/>
      <c r="H42" s="31">
        <f t="shared" si="10"/>
        <v>2400</v>
      </c>
      <c r="I42" s="31">
        <f t="shared" si="6"/>
        <v>26605</v>
      </c>
      <c r="J42" s="30"/>
      <c r="K42" s="30"/>
      <c r="L42" s="34">
        <f>E96</f>
        <v>0</v>
      </c>
      <c r="M42" s="34">
        <f>G96</f>
        <v>303</v>
      </c>
      <c r="N42" s="33"/>
      <c r="O42" s="33"/>
      <c r="P42" s="33"/>
      <c r="Q42" s="33">
        <f t="shared" si="9"/>
        <v>303</v>
      </c>
      <c r="R42" s="34">
        <f>1261*2+608</f>
        <v>3130</v>
      </c>
      <c r="S42" s="35">
        <f t="shared" si="4"/>
        <v>29432</v>
      </c>
    </row>
    <row r="43" spans="1:19" s="2" customFormat="1" ht="24.75" customHeight="1" x14ac:dyDescent="0.25">
      <c r="A43" s="29" t="s">
        <v>59</v>
      </c>
      <c r="B43" s="24" t="s">
        <v>59</v>
      </c>
      <c r="C43" s="31">
        <f>ROUND((45000-2400)/30*30,0)</f>
        <v>42600</v>
      </c>
      <c r="D43" s="30">
        <v>-1125</v>
      </c>
      <c r="E43" s="30">
        <v>0</v>
      </c>
      <c r="F43" s="31"/>
      <c r="G43" s="31"/>
      <c r="H43" s="31">
        <f>ROUND(2400/30*30,0)</f>
        <v>2400</v>
      </c>
      <c r="I43" s="31">
        <f t="shared" si="6"/>
        <v>43875</v>
      </c>
      <c r="J43" s="30"/>
      <c r="K43" s="30"/>
      <c r="L43" s="34">
        <f>E97</f>
        <v>644</v>
      </c>
      <c r="M43" s="34">
        <f>G97</f>
        <v>1008</v>
      </c>
      <c r="N43" s="33"/>
      <c r="O43" s="33"/>
      <c r="P43" s="33"/>
      <c r="Q43" s="33">
        <f t="shared" si="9"/>
        <v>1652</v>
      </c>
      <c r="R43" s="33"/>
      <c r="S43" s="35">
        <f t="shared" si="4"/>
        <v>42223</v>
      </c>
    </row>
    <row r="44" spans="1:19" s="2" customFormat="1" ht="24.75" customHeight="1" x14ac:dyDescent="0.25">
      <c r="A44" s="29" t="s">
        <v>82</v>
      </c>
      <c r="B44" s="24" t="s">
        <v>82</v>
      </c>
      <c r="C44" s="31">
        <f>ROUND((42000-2400)/30*30,0)</f>
        <v>39600</v>
      </c>
      <c r="D44" s="30">
        <v>-700</v>
      </c>
      <c r="E44" s="30">
        <v>469</v>
      </c>
      <c r="F44" s="31"/>
      <c r="G44" s="31"/>
      <c r="H44" s="31">
        <f>ROUND(2400/30*30,0)</f>
        <v>2400</v>
      </c>
      <c r="I44" s="31">
        <f t="shared" si="6"/>
        <v>41769</v>
      </c>
      <c r="J44" s="30"/>
      <c r="K44" s="30"/>
      <c r="L44" s="34">
        <f>E98</f>
        <v>1182</v>
      </c>
      <c r="M44" s="34">
        <f>G98</f>
        <v>924</v>
      </c>
      <c r="N44" s="33"/>
      <c r="O44" s="33"/>
      <c r="P44" s="33"/>
      <c r="Q44" s="33">
        <f t="shared" si="9"/>
        <v>2106</v>
      </c>
      <c r="R44" s="33"/>
      <c r="S44" s="35">
        <f t="shared" si="4"/>
        <v>39663</v>
      </c>
    </row>
    <row r="45" spans="1:19" s="2" customFormat="1" ht="24.75" customHeight="1" x14ac:dyDescent="0.25">
      <c r="A45" s="29" t="s">
        <v>60</v>
      </c>
      <c r="B45" s="24" t="s">
        <v>60</v>
      </c>
      <c r="C45" s="31">
        <f>ROUND((27000-2400)/30*30,0)</f>
        <v>24600</v>
      </c>
      <c r="D45" s="30">
        <v>-1013</v>
      </c>
      <c r="E45" s="30">
        <v>490</v>
      </c>
      <c r="F45" s="31"/>
      <c r="G45" s="31"/>
      <c r="H45" s="31">
        <f>ROUND(2400/30*30,0)</f>
        <v>2400</v>
      </c>
      <c r="I45" s="31">
        <f t="shared" si="6"/>
        <v>26477</v>
      </c>
      <c r="J45" s="30"/>
      <c r="K45" s="30"/>
      <c r="L45" s="34">
        <f>E99</f>
        <v>388</v>
      </c>
      <c r="M45" s="34">
        <f>G99</f>
        <v>607</v>
      </c>
      <c r="N45" s="33"/>
      <c r="O45" s="33"/>
      <c r="P45" s="33"/>
      <c r="Q45" s="33">
        <f t="shared" si="9"/>
        <v>995</v>
      </c>
      <c r="R45" s="33"/>
      <c r="S45" s="35">
        <f t="shared" si="4"/>
        <v>25482</v>
      </c>
    </row>
    <row r="46" spans="1:19" s="2" customFormat="1" ht="24.75" customHeight="1" x14ac:dyDescent="0.25">
      <c r="A46" s="29" t="s">
        <v>61</v>
      </c>
      <c r="B46" s="24" t="s">
        <v>61</v>
      </c>
      <c r="C46" s="31">
        <f>ROUND((46000-2400)/30*30,0)</f>
        <v>43600</v>
      </c>
      <c r="D46" s="30">
        <v>-1533</v>
      </c>
      <c r="E46" s="30">
        <v>0</v>
      </c>
      <c r="F46" s="31"/>
      <c r="G46" s="31"/>
      <c r="H46" s="31">
        <f>ROUND(2400/30*30,0)</f>
        <v>2400</v>
      </c>
      <c r="I46" s="31">
        <f t="shared" si="6"/>
        <v>44467</v>
      </c>
      <c r="J46" s="30"/>
      <c r="K46" s="30"/>
      <c r="L46" s="34">
        <f>E100</f>
        <v>678</v>
      </c>
      <c r="M46" s="34">
        <f>G100</f>
        <v>1008</v>
      </c>
      <c r="N46" s="33"/>
      <c r="O46" s="33"/>
      <c r="P46" s="33"/>
      <c r="Q46" s="33">
        <f t="shared" si="9"/>
        <v>1686</v>
      </c>
      <c r="R46" s="33"/>
      <c r="S46" s="35">
        <f t="shared" si="4"/>
        <v>42781</v>
      </c>
    </row>
    <row r="47" spans="1:19" s="2" customFormat="1" ht="24.75" customHeight="1" x14ac:dyDescent="0.25">
      <c r="A47" s="29" t="s">
        <v>62</v>
      </c>
      <c r="B47" s="24" t="s">
        <v>62</v>
      </c>
      <c r="C47" s="31">
        <f>ROUND((27000-2400)/30*30,0)</f>
        <v>24600</v>
      </c>
      <c r="D47" s="30">
        <v>-2494</v>
      </c>
      <c r="E47" s="30">
        <v>0</v>
      </c>
      <c r="F47" s="31"/>
      <c r="G47" s="31"/>
      <c r="H47" s="31">
        <f>ROUND(2400/30*30,0)</f>
        <v>2400</v>
      </c>
      <c r="I47" s="31">
        <f t="shared" si="6"/>
        <v>24506</v>
      </c>
      <c r="J47" s="30"/>
      <c r="K47" s="30"/>
      <c r="L47" s="34">
        <f>E101</f>
        <v>388</v>
      </c>
      <c r="M47" s="34">
        <f>G101</f>
        <v>607</v>
      </c>
      <c r="N47" s="33"/>
      <c r="O47" s="33"/>
      <c r="P47" s="33"/>
      <c r="Q47" s="33">
        <f t="shared" si="9"/>
        <v>995</v>
      </c>
      <c r="R47" s="33"/>
      <c r="S47" s="35">
        <f t="shared" si="4"/>
        <v>23511</v>
      </c>
    </row>
    <row r="48" spans="1:19" s="2" customFormat="1" ht="24.75" customHeight="1" x14ac:dyDescent="0.25">
      <c r="A48" s="29" t="s">
        <v>63</v>
      </c>
      <c r="B48" s="24" t="s">
        <v>63</v>
      </c>
      <c r="C48" s="31">
        <f>ROUND((50000-2400)/30*30,0)</f>
        <v>47600</v>
      </c>
      <c r="D48" s="30">
        <v>0</v>
      </c>
      <c r="E48" s="30">
        <v>0</v>
      </c>
      <c r="F48" s="31"/>
      <c r="G48" s="31"/>
      <c r="H48" s="31">
        <f>ROUND(2400/30*30,0)</f>
        <v>2400</v>
      </c>
      <c r="I48" s="31">
        <f t="shared" si="6"/>
        <v>50000</v>
      </c>
      <c r="J48" s="30"/>
      <c r="K48" s="30"/>
      <c r="L48" s="34">
        <f>E102</f>
        <v>712</v>
      </c>
      <c r="M48" s="34">
        <f>G102</f>
        <v>1008</v>
      </c>
      <c r="N48" s="33"/>
      <c r="O48" s="33"/>
      <c r="P48" s="33"/>
      <c r="Q48" s="33">
        <f t="shared" si="9"/>
        <v>1720</v>
      </c>
      <c r="R48" s="33"/>
      <c r="S48" s="35">
        <f t="shared" si="4"/>
        <v>48280</v>
      </c>
    </row>
    <row r="49" spans="1:29" s="2" customFormat="1" ht="24.75" customHeight="1" x14ac:dyDescent="0.25">
      <c r="A49" s="29" t="s">
        <v>64</v>
      </c>
      <c r="B49" s="24" t="s">
        <v>64</v>
      </c>
      <c r="C49" s="31">
        <f>ROUND((30000-2400)/30*30,0)</f>
        <v>27600</v>
      </c>
      <c r="D49" s="30">
        <v>0</v>
      </c>
      <c r="E49" s="30">
        <v>0</v>
      </c>
      <c r="F49" s="31"/>
      <c r="G49" s="31"/>
      <c r="H49" s="31">
        <f>ROUND(2400/30*30,0)</f>
        <v>2400</v>
      </c>
      <c r="I49" s="31">
        <f t="shared" si="6"/>
        <v>30000</v>
      </c>
      <c r="J49" s="30"/>
      <c r="K49" s="30"/>
      <c r="L49" s="34">
        <f>E103</f>
        <v>1278</v>
      </c>
      <c r="M49" s="34">
        <f>G103</f>
        <v>667</v>
      </c>
      <c r="N49" s="33"/>
      <c r="O49" s="33"/>
      <c r="P49" s="33"/>
      <c r="Q49" s="33">
        <f t="shared" si="9"/>
        <v>1945</v>
      </c>
      <c r="R49" s="33"/>
      <c r="S49" s="35">
        <f t="shared" si="4"/>
        <v>28055</v>
      </c>
    </row>
    <row r="50" spans="1:29" s="2" customFormat="1" ht="24.75" customHeight="1" x14ac:dyDescent="0.25">
      <c r="A50" s="29" t="s">
        <v>65</v>
      </c>
      <c r="B50" s="24" t="s">
        <v>65</v>
      </c>
      <c r="C50" s="31">
        <f>ROUND((32000-2400)/30*30,0)</f>
        <v>29600</v>
      </c>
      <c r="D50" s="30">
        <v>0</v>
      </c>
      <c r="E50" s="30">
        <v>0</v>
      </c>
      <c r="F50" s="31"/>
      <c r="G50" s="31"/>
      <c r="H50" s="31">
        <f>ROUND(2400/30*30,0)</f>
        <v>2400</v>
      </c>
      <c r="I50" s="31">
        <f t="shared" si="6"/>
        <v>32000</v>
      </c>
      <c r="J50" s="30"/>
      <c r="K50" s="30"/>
      <c r="L50" s="34">
        <f>E104</f>
        <v>469</v>
      </c>
      <c r="M50" s="34">
        <f>G104</f>
        <v>733</v>
      </c>
      <c r="N50" s="33"/>
      <c r="O50" s="33"/>
      <c r="P50" s="33"/>
      <c r="Q50" s="33">
        <f t="shared" si="9"/>
        <v>1202</v>
      </c>
      <c r="R50" s="33"/>
      <c r="S50" s="35">
        <f t="shared" si="4"/>
        <v>30798</v>
      </c>
    </row>
    <row r="51" spans="1:29" s="2" customFormat="1" ht="24.75" customHeight="1" x14ac:dyDescent="0.25">
      <c r="A51" s="29" t="s">
        <v>66</v>
      </c>
      <c r="B51" s="24" t="s">
        <v>66</v>
      </c>
      <c r="C51" s="31">
        <f>ROUND((32000-2400)/30*30,0)</f>
        <v>29600</v>
      </c>
      <c r="D51" s="30">
        <v>0</v>
      </c>
      <c r="E51" s="30">
        <v>4277</v>
      </c>
      <c r="F51" s="31"/>
      <c r="G51" s="31"/>
      <c r="H51" s="31">
        <f>ROUND(2400/30*30,0)</f>
        <v>2400</v>
      </c>
      <c r="I51" s="31">
        <f t="shared" si="6"/>
        <v>36277</v>
      </c>
      <c r="J51" s="30"/>
      <c r="K51" s="30"/>
      <c r="L51" s="34">
        <f>E105</f>
        <v>469</v>
      </c>
      <c r="M51" s="34">
        <f>G105</f>
        <v>733</v>
      </c>
      <c r="N51" s="33"/>
      <c r="O51" s="33"/>
      <c r="P51" s="33"/>
      <c r="Q51" s="33">
        <f t="shared" si="9"/>
        <v>1202</v>
      </c>
      <c r="R51" s="33"/>
      <c r="S51" s="35">
        <f t="shared" si="4"/>
        <v>35075</v>
      </c>
    </row>
    <row r="52" spans="1:29" s="2" customFormat="1" ht="24.75" customHeight="1" x14ac:dyDescent="0.25">
      <c r="A52" s="29" t="s">
        <v>67</v>
      </c>
      <c r="B52" s="24" t="s">
        <v>67</v>
      </c>
      <c r="C52" s="30">
        <f>ROUND((50000-2400)/30*30,0)</f>
        <v>47600</v>
      </c>
      <c r="D52" s="30"/>
      <c r="E52" s="30"/>
      <c r="F52" s="30"/>
      <c r="G52" s="30"/>
      <c r="H52" s="31">
        <f t="shared" si="7"/>
        <v>2400</v>
      </c>
      <c r="I52" s="31">
        <f>SUM(C52:H52)</f>
        <v>50000</v>
      </c>
      <c r="J52" s="30"/>
      <c r="K52" s="30"/>
      <c r="L52" s="33">
        <f t="shared" ref="L52" si="12">E106</f>
        <v>712</v>
      </c>
      <c r="M52" s="33">
        <f>G106</f>
        <v>1008</v>
      </c>
      <c r="N52" s="33"/>
      <c r="O52" s="33"/>
      <c r="P52" s="33"/>
      <c r="Q52" s="33">
        <f t="shared" si="3"/>
        <v>1720</v>
      </c>
      <c r="R52" s="33"/>
      <c r="S52" s="35">
        <f t="shared" si="4"/>
        <v>48280</v>
      </c>
    </row>
    <row r="53" spans="1:29" s="2" customFormat="1" ht="25.15" customHeight="1" x14ac:dyDescent="0.25">
      <c r="A53" s="69" t="s">
        <v>12</v>
      </c>
      <c r="B53" s="70"/>
      <c r="C53" s="71">
        <f>SUM(C5:C52)</f>
        <v>1938200</v>
      </c>
      <c r="D53" s="71">
        <f>SUM(D5:D52)</f>
        <v>-39256</v>
      </c>
      <c r="E53" s="71">
        <f>SUM(E5:E52)</f>
        <v>39078</v>
      </c>
      <c r="F53" s="71">
        <f>SUM(F5:F52)</f>
        <v>1200</v>
      </c>
      <c r="G53" s="71">
        <f>SUM(G5:G52)</f>
        <v>0</v>
      </c>
      <c r="H53" s="71">
        <f>SUM(H5:H52)</f>
        <v>115200</v>
      </c>
      <c r="I53" s="72">
        <f>SUM(I5:I52)</f>
        <v>2054422</v>
      </c>
      <c r="J53" s="73"/>
      <c r="K53" s="73"/>
      <c r="L53" s="74">
        <f>SUM(L5:L52)</f>
        <v>40476</v>
      </c>
      <c r="M53" s="71">
        <f>SUM(M5:M52)</f>
        <v>41632</v>
      </c>
      <c r="N53" s="71">
        <f>SUM(N5:N52)</f>
        <v>0</v>
      </c>
      <c r="O53" s="71">
        <f>SUM(O5:O52)</f>
        <v>17294</v>
      </c>
      <c r="P53" s="71">
        <f>SUM(P5:P52)</f>
        <v>0</v>
      </c>
      <c r="Q53" s="71">
        <f>SUM(Q5:Q52)</f>
        <v>99402</v>
      </c>
      <c r="R53" s="71">
        <f>SUM(R5:R52)</f>
        <v>3130</v>
      </c>
      <c r="S53" s="75">
        <f>SUM(S5:S52)</f>
        <v>1958150</v>
      </c>
    </row>
    <row r="54" spans="1:29" s="2" customFormat="1" ht="25.15" customHeight="1" x14ac:dyDescent="0.25">
      <c r="A54"/>
      <c r="B54"/>
      <c r="C54"/>
      <c r="D54"/>
      <c r="E54"/>
      <c r="F54"/>
      <c r="G54"/>
      <c r="H54"/>
      <c r="I54"/>
      <c r="J54" s="76"/>
      <c r="K54" s="76"/>
      <c r="L54"/>
      <c r="M54"/>
      <c r="N54"/>
      <c r="O54"/>
      <c r="P54"/>
      <c r="Q54"/>
      <c r="R54"/>
      <c r="S54"/>
      <c r="T54"/>
    </row>
    <row r="55" spans="1:29" s="2" customFormat="1" ht="25.15" customHeight="1" x14ac:dyDescent="0.25">
      <c r="A55"/>
      <c r="C55"/>
      <c r="D55"/>
      <c r="E55"/>
      <c r="F55"/>
      <c r="G55"/>
      <c r="H55"/>
      <c r="I55"/>
      <c r="J55" s="76"/>
      <c r="K55" s="76"/>
      <c r="L55"/>
      <c r="M55"/>
      <c r="N55"/>
      <c r="O55"/>
      <c r="P55"/>
      <c r="Q55"/>
      <c r="R55"/>
      <c r="S55"/>
      <c r="T55"/>
    </row>
    <row r="56" spans="1:29" s="2" customFormat="1" ht="25.15" customHeight="1" x14ac:dyDescent="0.25">
      <c r="A56" s="18" t="s">
        <v>68</v>
      </c>
      <c r="B56" s="77"/>
      <c r="C56" s="77"/>
      <c r="D56" s="77"/>
      <c r="E56" s="77"/>
      <c r="F56" s="77"/>
      <c r="G56" s="77"/>
      <c r="J56" s="3"/>
      <c r="K56" s="3"/>
    </row>
    <row r="57" spans="1:29" s="2" customFormat="1" ht="25.15" customHeight="1" x14ac:dyDescent="0.25">
      <c r="A57" s="78" t="s">
        <v>4</v>
      </c>
      <c r="B57" s="79" t="s">
        <v>5</v>
      </c>
      <c r="C57" s="80" t="s">
        <v>69</v>
      </c>
      <c r="D57" s="81"/>
      <c r="E57" s="82"/>
      <c r="F57" s="80" t="s">
        <v>70</v>
      </c>
      <c r="G57" s="82"/>
      <c r="H57" s="83" t="s">
        <v>71</v>
      </c>
      <c r="J57" s="84"/>
      <c r="K57" s="84"/>
    </row>
    <row r="58" spans="1:29" ht="19.5" x14ac:dyDescent="0.25">
      <c r="A58" s="85"/>
      <c r="B58" s="86"/>
      <c r="C58" s="24" t="s">
        <v>72</v>
      </c>
      <c r="D58" s="24" t="s">
        <v>73</v>
      </c>
      <c r="E58" s="24" t="s">
        <v>15</v>
      </c>
      <c r="F58" s="24" t="s">
        <v>72</v>
      </c>
      <c r="G58" s="87" t="s">
        <v>15</v>
      </c>
      <c r="H58" s="88"/>
      <c r="I58" s="2"/>
      <c r="J58" s="84"/>
      <c r="K58" s="84"/>
      <c r="L58" s="2"/>
      <c r="M58" s="2"/>
      <c r="N58" s="2"/>
      <c r="O58" s="2"/>
      <c r="P58" s="2"/>
      <c r="Q58" s="2"/>
      <c r="R58" s="2"/>
      <c r="S58" s="2"/>
      <c r="T58" s="2"/>
      <c r="V58" s="2"/>
      <c r="W58" s="2"/>
      <c r="X58" s="2"/>
      <c r="Y58" s="2"/>
      <c r="Z58" s="2"/>
      <c r="AA58" s="2"/>
      <c r="AB58" s="2"/>
      <c r="AC58" s="2"/>
    </row>
    <row r="59" spans="1:29" s="2" customFormat="1" ht="25.15" customHeight="1" x14ac:dyDescent="0.25">
      <c r="A59" s="29" t="s">
        <v>84</v>
      </c>
      <c r="B59" s="24" t="s">
        <v>84</v>
      </c>
      <c r="C59" s="96">
        <v>36300</v>
      </c>
      <c r="D59" s="89">
        <v>0</v>
      </c>
      <c r="E59" s="91">
        <f>VLOOKUP(C59,'[1]健保級距-107'!A:I,4,0)*(1+D59)</f>
        <v>511</v>
      </c>
      <c r="F59" s="96">
        <v>36300</v>
      </c>
      <c r="G59" s="92">
        <v>799</v>
      </c>
      <c r="H59" s="95">
        <v>43301</v>
      </c>
      <c r="I59" s="97"/>
      <c r="J59" s="94"/>
      <c r="V59"/>
      <c r="W59"/>
      <c r="X59"/>
      <c r="Y59"/>
      <c r="Z59"/>
      <c r="AA59"/>
      <c r="AB59"/>
      <c r="AC59"/>
    </row>
    <row r="60" spans="1:29" s="2" customFormat="1" ht="25.15" customHeight="1" x14ac:dyDescent="0.25">
      <c r="A60" s="29" t="s">
        <v>85</v>
      </c>
      <c r="B60" s="24" t="s">
        <v>85</v>
      </c>
      <c r="C60" s="96">
        <v>57800</v>
      </c>
      <c r="D60" s="89">
        <v>0</v>
      </c>
      <c r="E60" s="91">
        <f>VLOOKUP(C60,'[1]健保級距-107'!A:I,4,0)*(1+D60)</f>
        <v>813</v>
      </c>
      <c r="F60" s="96">
        <v>45800</v>
      </c>
      <c r="G60" s="92">
        <v>1008</v>
      </c>
      <c r="H60" s="95">
        <v>43595</v>
      </c>
      <c r="I60" s="97"/>
      <c r="J60" s="94"/>
      <c r="K60" s="18"/>
    </row>
    <row r="61" spans="1:29" s="2" customFormat="1" ht="25.15" customHeight="1" x14ac:dyDescent="0.25">
      <c r="A61" s="29" t="s">
        <v>86</v>
      </c>
      <c r="B61" s="24" t="s">
        <v>86</v>
      </c>
      <c r="C61" s="96">
        <v>50600</v>
      </c>
      <c r="D61" s="89">
        <v>0</v>
      </c>
      <c r="E61" s="91">
        <f>VLOOKUP(C61,'[1]健保級距-107'!A:I,4,0)*(1+D61)</f>
        <v>712</v>
      </c>
      <c r="F61" s="96">
        <v>45800</v>
      </c>
      <c r="G61" s="92">
        <v>1008</v>
      </c>
      <c r="H61" s="95">
        <v>43651</v>
      </c>
      <c r="I61" s="97"/>
      <c r="J61" s="94"/>
    </row>
    <row r="62" spans="1:29" s="2" customFormat="1" ht="25.15" customHeight="1" x14ac:dyDescent="0.25">
      <c r="A62" s="29" t="s">
        <v>87</v>
      </c>
      <c r="B62" s="24" t="s">
        <v>87</v>
      </c>
      <c r="C62" s="96">
        <v>48200</v>
      </c>
      <c r="D62" s="89">
        <v>0</v>
      </c>
      <c r="E62" s="91">
        <f>VLOOKUP(C62,'[1]健保級距-107'!A:I,4,0)*(1+D62)</f>
        <v>678</v>
      </c>
      <c r="F62" s="96">
        <v>45800</v>
      </c>
      <c r="G62" s="92">
        <v>1008</v>
      </c>
      <c r="H62" s="95">
        <v>43732</v>
      </c>
      <c r="I62" s="97"/>
      <c r="J62" s="94"/>
    </row>
    <row r="63" spans="1:29" s="2" customFormat="1" ht="25.15" customHeight="1" x14ac:dyDescent="0.25">
      <c r="A63" s="29" t="s">
        <v>88</v>
      </c>
      <c r="B63" s="24" t="s">
        <v>88</v>
      </c>
      <c r="C63" s="96">
        <v>38200</v>
      </c>
      <c r="D63" s="89">
        <v>0</v>
      </c>
      <c r="E63" s="91">
        <f>VLOOKUP(C63,'[1]健保級距-107'!A:I,4,0)*(1+D63)</f>
        <v>537</v>
      </c>
      <c r="F63" s="96">
        <v>38200</v>
      </c>
      <c r="G63" s="92">
        <v>840</v>
      </c>
      <c r="H63" s="95">
        <v>43864</v>
      </c>
      <c r="I63" s="97"/>
      <c r="J63" s="94"/>
    </row>
    <row r="64" spans="1:29" s="2" customFormat="1" ht="25.15" customHeight="1" x14ac:dyDescent="0.25">
      <c r="A64" s="29" t="s">
        <v>89</v>
      </c>
      <c r="B64" s="24" t="s">
        <v>89</v>
      </c>
      <c r="C64" s="96">
        <v>40100</v>
      </c>
      <c r="D64" s="89">
        <v>0</v>
      </c>
      <c r="E64" s="98">
        <v>0</v>
      </c>
      <c r="F64" s="96">
        <v>40100</v>
      </c>
      <c r="G64" s="92">
        <v>882</v>
      </c>
      <c r="H64" s="95">
        <v>43770</v>
      </c>
      <c r="I64" s="93"/>
      <c r="J64" s="94"/>
    </row>
    <row r="65" spans="1:29" s="2" customFormat="1" ht="25.15" customHeight="1" x14ac:dyDescent="0.25">
      <c r="A65" s="29" t="s">
        <v>90</v>
      </c>
      <c r="B65" s="24" t="s">
        <v>90</v>
      </c>
      <c r="C65" s="96">
        <v>50600</v>
      </c>
      <c r="D65" s="89">
        <v>0</v>
      </c>
      <c r="E65" s="91">
        <f>VLOOKUP(C65,'[1]健保級距-107'!A:I,4,0)*(1+D65)</f>
        <v>712</v>
      </c>
      <c r="F65" s="96">
        <v>45800</v>
      </c>
      <c r="G65" s="92">
        <v>1008</v>
      </c>
      <c r="H65" s="95">
        <v>43770</v>
      </c>
      <c r="I65" s="97"/>
      <c r="J65" s="94"/>
    </row>
    <row r="66" spans="1:29" s="2" customFormat="1" ht="25.15" customHeight="1" x14ac:dyDescent="0.25">
      <c r="A66" s="29" t="s">
        <v>91</v>
      </c>
      <c r="B66" s="24" t="s">
        <v>91</v>
      </c>
      <c r="C66" s="99">
        <v>72800</v>
      </c>
      <c r="D66" s="100">
        <v>1</v>
      </c>
      <c r="E66" s="91">
        <f>VLOOKUP(C66,'[1]健保級距-107'!A:I,4,0)*(1+D66)</f>
        <v>2048</v>
      </c>
      <c r="F66" s="99">
        <v>45800</v>
      </c>
      <c r="G66" s="101">
        <v>1008</v>
      </c>
      <c r="H66" s="102">
        <v>43801</v>
      </c>
      <c r="I66" s="97"/>
      <c r="J66" s="94"/>
    </row>
    <row r="67" spans="1:29" s="2" customFormat="1" ht="24.75" customHeight="1" x14ac:dyDescent="0.25">
      <c r="A67" s="29" t="s">
        <v>92</v>
      </c>
      <c r="B67" s="24" t="s">
        <v>92</v>
      </c>
      <c r="C67" s="99">
        <v>45800</v>
      </c>
      <c r="D67" s="100">
        <v>3</v>
      </c>
      <c r="E67" s="91">
        <f>VLOOKUP(C67,'[1]健保級距-107'!A:I,4,0)*(1+D67)</f>
        <v>2576</v>
      </c>
      <c r="F67" s="99">
        <v>45800</v>
      </c>
      <c r="G67" s="101">
        <v>1008</v>
      </c>
      <c r="H67" s="102">
        <v>43801</v>
      </c>
      <c r="I67" s="97"/>
      <c r="J67" s="94"/>
    </row>
    <row r="68" spans="1:29" s="2" customFormat="1" ht="24.75" customHeight="1" x14ac:dyDescent="0.25">
      <c r="A68" s="29" t="s">
        <v>74</v>
      </c>
      <c r="B68" s="24" t="s">
        <v>74</v>
      </c>
      <c r="C68" s="99">
        <v>36300</v>
      </c>
      <c r="D68" s="89">
        <v>2</v>
      </c>
      <c r="E68" s="91">
        <f>VLOOKUP(C68,'[1]健保級距-107'!A:I,4,0)*(1+D68)-256</f>
        <v>1277</v>
      </c>
      <c r="F68" s="99">
        <v>36300</v>
      </c>
      <c r="G68" s="101">
        <v>799</v>
      </c>
      <c r="H68" s="102">
        <v>43816</v>
      </c>
      <c r="I68" s="97"/>
      <c r="J68" s="94"/>
    </row>
    <row r="69" spans="1:29" s="2" customFormat="1" ht="25.15" customHeight="1" x14ac:dyDescent="0.25">
      <c r="A69" s="29" t="s">
        <v>41</v>
      </c>
      <c r="B69" s="24" t="s">
        <v>41</v>
      </c>
      <c r="C69" s="99">
        <v>48200</v>
      </c>
      <c r="D69" s="89">
        <v>4</v>
      </c>
      <c r="E69" s="91">
        <f>VLOOKUP(C69,'[1]健保級距-107'!A:I,4,0)*(1+D69)-678</f>
        <v>2712</v>
      </c>
      <c r="F69" s="99">
        <v>45800</v>
      </c>
      <c r="G69" s="101">
        <v>1008</v>
      </c>
      <c r="H69" s="102">
        <v>43843</v>
      </c>
      <c r="I69" s="97"/>
      <c r="J69" s="94"/>
    </row>
    <row r="70" spans="1:29" s="2" customFormat="1" ht="25.15" customHeight="1" x14ac:dyDescent="0.25">
      <c r="A70" s="29" t="s">
        <v>75</v>
      </c>
      <c r="B70" s="24" t="s">
        <v>75</v>
      </c>
      <c r="C70" s="99">
        <v>57800</v>
      </c>
      <c r="D70" s="89">
        <v>0</v>
      </c>
      <c r="E70" s="91">
        <f>VLOOKUP(C70,'[1]健保級距-107'!A:I,4,0)*(1+D70)</f>
        <v>813</v>
      </c>
      <c r="F70" s="91">
        <v>45800</v>
      </c>
      <c r="G70" s="101">
        <v>916</v>
      </c>
      <c r="H70" s="102">
        <v>43801</v>
      </c>
      <c r="I70" s="97"/>
      <c r="J70" s="94"/>
    </row>
    <row r="71" spans="1:29" s="2" customFormat="1" ht="24.75" customHeight="1" x14ac:dyDescent="0.25">
      <c r="A71" s="29" t="s">
        <v>76</v>
      </c>
      <c r="B71" s="24" t="s">
        <v>76</v>
      </c>
      <c r="C71" s="99">
        <v>50600</v>
      </c>
      <c r="D71" s="100">
        <v>0</v>
      </c>
      <c r="E71" s="91">
        <f>VLOOKUP(C71,'[1]健保級距-107'!A:I,4,0)*(1+D71)</f>
        <v>712</v>
      </c>
      <c r="F71" s="91">
        <v>45800</v>
      </c>
      <c r="G71" s="103">
        <v>1008</v>
      </c>
      <c r="H71" s="102">
        <v>43909</v>
      </c>
      <c r="I71" s="97"/>
      <c r="J71" s="94"/>
    </row>
    <row r="72" spans="1:29" s="2" customFormat="1" ht="24.75" customHeight="1" x14ac:dyDescent="0.25">
      <c r="A72" s="29" t="s">
        <v>93</v>
      </c>
      <c r="B72" s="24" t="s">
        <v>93</v>
      </c>
      <c r="C72" s="99">
        <v>66800</v>
      </c>
      <c r="D72" s="100">
        <v>0</v>
      </c>
      <c r="E72" s="91">
        <f>VLOOKUP(C72,'[1]健保級距-107'!A:I,4,0)*(1+D72)</f>
        <v>940</v>
      </c>
      <c r="F72" s="99">
        <v>45800</v>
      </c>
      <c r="G72" s="101">
        <v>1008</v>
      </c>
      <c r="H72" s="102">
        <v>43927</v>
      </c>
      <c r="I72" s="97"/>
      <c r="J72" s="94"/>
    </row>
    <row r="73" spans="1:29" s="59" customFormat="1" ht="24.75" hidden="1" customHeight="1" x14ac:dyDescent="0.25">
      <c r="A73" s="29" t="s">
        <v>42</v>
      </c>
      <c r="B73" s="24" t="s">
        <v>42</v>
      </c>
      <c r="C73" s="99">
        <v>45800</v>
      </c>
      <c r="D73" s="100">
        <v>3</v>
      </c>
      <c r="E73" s="90">
        <f>VLOOKUP(C73,'[1]健保級距-107'!A:I,4,0)*(1+D73)</f>
        <v>2576</v>
      </c>
      <c r="F73" s="99">
        <v>45800</v>
      </c>
      <c r="G73" s="103">
        <f>1008</f>
        <v>1008</v>
      </c>
      <c r="H73" s="102">
        <v>43951</v>
      </c>
      <c r="I73" s="93"/>
      <c r="J73" s="94"/>
      <c r="K73" s="2"/>
      <c r="L73" s="2"/>
      <c r="M73" s="2"/>
      <c r="N73" s="2"/>
      <c r="O73" s="2"/>
      <c r="P73" s="2"/>
      <c r="Q73" s="2"/>
      <c r="R73" s="2"/>
      <c r="S73" s="2"/>
      <c r="T73" s="2"/>
      <c r="V73" s="2"/>
      <c r="W73" s="2"/>
      <c r="X73" s="2"/>
      <c r="Y73" s="2"/>
      <c r="Z73" s="2"/>
      <c r="AA73" s="2"/>
      <c r="AB73" s="2"/>
      <c r="AC73" s="2"/>
    </row>
    <row r="74" spans="1:29" s="2" customFormat="1" ht="24.75" customHeight="1" x14ac:dyDescent="0.25">
      <c r="A74" s="29" t="s">
        <v>44</v>
      </c>
      <c r="B74" s="24" t="s">
        <v>44</v>
      </c>
      <c r="C74" s="99">
        <v>45800</v>
      </c>
      <c r="D74" s="100">
        <v>2</v>
      </c>
      <c r="E74" s="90">
        <f>VLOOKUP(C74,'[1]健保級距-107'!A:I,4,0)*(1+D74)</f>
        <v>1932</v>
      </c>
      <c r="F74" s="99">
        <v>45800</v>
      </c>
      <c r="G74" s="103">
        <f>1008</f>
        <v>1008</v>
      </c>
      <c r="H74" s="102">
        <v>43962</v>
      </c>
      <c r="I74" s="97"/>
      <c r="J74" s="94"/>
      <c r="K74" s="93"/>
      <c r="V74" s="59"/>
      <c r="W74" s="59"/>
      <c r="X74" s="59"/>
      <c r="Y74" s="59"/>
      <c r="Z74" s="59"/>
      <c r="AA74" s="59"/>
      <c r="AB74" s="59"/>
      <c r="AC74" s="59"/>
    </row>
    <row r="75" spans="1:29" s="2" customFormat="1" ht="24.75" customHeight="1" x14ac:dyDescent="0.25">
      <c r="A75" s="29" t="s">
        <v>45</v>
      </c>
      <c r="B75" s="24" t="s">
        <v>45</v>
      </c>
      <c r="C75" s="99">
        <v>28800</v>
      </c>
      <c r="D75" s="100">
        <v>0</v>
      </c>
      <c r="E75" s="91">
        <f>VLOOKUP(C75,'[1]健保級距-107'!A:I,4,0)*(1+D75)</f>
        <v>405</v>
      </c>
      <c r="F75" s="99">
        <v>28800</v>
      </c>
      <c r="G75" s="92">
        <v>634</v>
      </c>
      <c r="H75" s="102">
        <v>43955</v>
      </c>
      <c r="I75" s="97"/>
      <c r="J75" s="94"/>
      <c r="K75" s="93"/>
    </row>
    <row r="76" spans="1:29" s="2" customFormat="1" ht="24.75" customHeight="1" x14ac:dyDescent="0.25">
      <c r="A76" s="29" t="s">
        <v>46</v>
      </c>
      <c r="B76" s="24" t="s">
        <v>46</v>
      </c>
      <c r="C76" s="99">
        <v>50600</v>
      </c>
      <c r="D76" s="100">
        <v>0</v>
      </c>
      <c r="E76" s="91">
        <f>VLOOKUP(C76,'[1]健保級距-107'!A:I,4,0)*(1+D76)</f>
        <v>712</v>
      </c>
      <c r="F76" s="99">
        <v>45800</v>
      </c>
      <c r="G76" s="103">
        <f>1008</f>
        <v>1008</v>
      </c>
      <c r="H76" s="102">
        <v>43955</v>
      </c>
      <c r="I76" s="97"/>
      <c r="J76" s="94"/>
      <c r="K76" s="93"/>
    </row>
    <row r="77" spans="1:29" s="2" customFormat="1" ht="24.75" customHeight="1" x14ac:dyDescent="0.25">
      <c r="A77" s="29" t="s">
        <v>47</v>
      </c>
      <c r="B77" s="24" t="s">
        <v>47</v>
      </c>
      <c r="C77" s="99">
        <v>42000</v>
      </c>
      <c r="D77" s="100">
        <f>4-2</f>
        <v>2</v>
      </c>
      <c r="E77" s="91">
        <f>VLOOKUP(C77,'[1]健保級距-107'!A:I,4,0)*(1+D77)-591</f>
        <v>1182</v>
      </c>
      <c r="F77" s="99">
        <v>42000</v>
      </c>
      <c r="G77" s="103">
        <v>924</v>
      </c>
      <c r="H77" s="102">
        <v>43962</v>
      </c>
      <c r="I77" s="97"/>
      <c r="J77" s="94"/>
      <c r="K77" s="93"/>
    </row>
    <row r="78" spans="1:29" s="2" customFormat="1" ht="24.75" customHeight="1" x14ac:dyDescent="0.25">
      <c r="A78" s="29" t="s">
        <v>48</v>
      </c>
      <c r="B78" s="24" t="s">
        <v>48</v>
      </c>
      <c r="C78" s="99">
        <v>72800</v>
      </c>
      <c r="D78" s="100">
        <v>0</v>
      </c>
      <c r="E78" s="91">
        <f>VLOOKUP(C78,'[1]健保級距-107'!A:I,4,0)*(1+D78)</f>
        <v>1024</v>
      </c>
      <c r="F78" s="99">
        <v>45800</v>
      </c>
      <c r="G78" s="103">
        <f>1008</f>
        <v>1008</v>
      </c>
      <c r="H78" s="102">
        <v>43962</v>
      </c>
      <c r="I78" s="97"/>
      <c r="J78" s="94"/>
      <c r="K78" s="93"/>
    </row>
    <row r="79" spans="1:29" s="2" customFormat="1" ht="24.75" customHeight="1" x14ac:dyDescent="0.25">
      <c r="A79" s="29" t="s">
        <v>77</v>
      </c>
      <c r="B79" s="24" t="s">
        <v>77</v>
      </c>
      <c r="C79" s="99">
        <v>43900</v>
      </c>
      <c r="D79" s="100">
        <v>0</v>
      </c>
      <c r="E79" s="91">
        <f>VLOOKUP(C79,'[1]健保級距-107'!A:I,4,0)*(1+D79)</f>
        <v>618</v>
      </c>
      <c r="F79" s="99">
        <v>43900</v>
      </c>
      <c r="G79" s="103">
        <v>966</v>
      </c>
      <c r="H79" s="102">
        <v>43963</v>
      </c>
      <c r="J79" s="94"/>
      <c r="K79" s="94"/>
      <c r="L79" s="93"/>
    </row>
    <row r="80" spans="1:29" s="2" customFormat="1" ht="24.75" customHeight="1" x14ac:dyDescent="0.25">
      <c r="A80" s="29" t="s">
        <v>49</v>
      </c>
      <c r="B80" s="24" t="s">
        <v>49</v>
      </c>
      <c r="C80" s="99">
        <v>28800</v>
      </c>
      <c r="D80" s="100">
        <v>2</v>
      </c>
      <c r="E80" s="91">
        <f>VLOOKUP(C80,'[1]健保級距-107'!A:I,4,0)*(1+D80)-203-405</f>
        <v>607</v>
      </c>
      <c r="F80" s="99">
        <v>28800</v>
      </c>
      <c r="G80" s="92">
        <v>634</v>
      </c>
      <c r="H80" s="102">
        <v>43964</v>
      </c>
      <c r="J80" s="94"/>
      <c r="K80" s="94"/>
      <c r="L80" s="93"/>
    </row>
    <row r="81" spans="1:29" s="2" customFormat="1" ht="24.75" customHeight="1" x14ac:dyDescent="0.25">
      <c r="A81" s="29" t="s">
        <v>78</v>
      </c>
      <c r="B81" s="24" t="s">
        <v>78</v>
      </c>
      <c r="C81" s="99">
        <v>42000</v>
      </c>
      <c r="D81" s="100">
        <v>0</v>
      </c>
      <c r="E81" s="91">
        <f>VLOOKUP(C81,'[1]健保級距-107'!A:I,4,0)*(1+D81)</f>
        <v>591</v>
      </c>
      <c r="F81" s="99">
        <v>42000</v>
      </c>
      <c r="G81" s="103">
        <v>924</v>
      </c>
      <c r="H81" s="102">
        <v>43972</v>
      </c>
      <c r="J81" s="94"/>
      <c r="K81" s="94"/>
      <c r="L81" s="93"/>
    </row>
    <row r="82" spans="1:29" s="2" customFormat="1" ht="24.75" customHeight="1" x14ac:dyDescent="0.25">
      <c r="A82" s="29" t="s">
        <v>79</v>
      </c>
      <c r="B82" s="24" t="s">
        <v>79</v>
      </c>
      <c r="C82" s="104">
        <v>36300</v>
      </c>
      <c r="D82" s="100">
        <v>0</v>
      </c>
      <c r="E82" s="91">
        <f>VLOOKUP(C82,'[1]健保級距-107'!A:I,4,0)*(1+D82)</f>
        <v>511</v>
      </c>
      <c r="F82" s="99">
        <v>36300</v>
      </c>
      <c r="G82" s="92">
        <v>799</v>
      </c>
      <c r="H82" s="102">
        <v>43972</v>
      </c>
      <c r="J82" s="93"/>
    </row>
    <row r="83" spans="1:29" s="2" customFormat="1" ht="24.75" customHeight="1" x14ac:dyDescent="0.25">
      <c r="A83" s="29" t="s">
        <v>94</v>
      </c>
      <c r="B83" s="24" t="s">
        <v>94</v>
      </c>
      <c r="C83" s="99">
        <v>72800</v>
      </c>
      <c r="D83" s="100">
        <v>0</v>
      </c>
      <c r="E83" s="91">
        <f>VLOOKUP(C83,'[1]健保級距-107'!A:I,4,0)*(1+D83)</f>
        <v>1024</v>
      </c>
      <c r="F83" s="99">
        <v>45800</v>
      </c>
      <c r="G83" s="103">
        <v>1008</v>
      </c>
      <c r="H83" s="102" t="s">
        <v>83</v>
      </c>
      <c r="J83" s="94"/>
      <c r="K83" s="94"/>
      <c r="L83" s="93"/>
    </row>
    <row r="84" spans="1:29" s="2" customFormat="1" ht="24.75" customHeight="1" x14ac:dyDescent="0.25">
      <c r="A84" s="29" t="s">
        <v>80</v>
      </c>
      <c r="B84" s="24" t="s">
        <v>80</v>
      </c>
      <c r="C84" s="99">
        <v>40100</v>
      </c>
      <c r="D84" s="100">
        <v>0</v>
      </c>
      <c r="E84" s="91">
        <f>VLOOKUP(C84,'[1]健保級距-107'!A:I,4,0)*(1+D84)</f>
        <v>564</v>
      </c>
      <c r="F84" s="96">
        <v>40100</v>
      </c>
      <c r="G84" s="92">
        <v>882</v>
      </c>
      <c r="H84" s="102">
        <v>43994</v>
      </c>
      <c r="J84" s="94"/>
      <c r="K84" s="94"/>
      <c r="L84" s="93"/>
      <c r="M84" s="59"/>
      <c r="N84" s="59"/>
      <c r="O84" s="59"/>
      <c r="P84" s="59"/>
      <c r="Q84" s="59"/>
      <c r="R84" s="59"/>
      <c r="S84" s="59"/>
      <c r="T84" s="59"/>
    </row>
    <row r="85" spans="1:29" s="2" customFormat="1" ht="24.75" customHeight="1" x14ac:dyDescent="0.25">
      <c r="A85" s="29" t="s">
        <v>50</v>
      </c>
      <c r="B85" s="24" t="s">
        <v>50</v>
      </c>
      <c r="C85" s="99">
        <v>33300</v>
      </c>
      <c r="D85" s="100">
        <v>0</v>
      </c>
      <c r="E85" s="91">
        <f>VLOOKUP(C85,'[1]健保級距-107'!A:I,4,0)*(1+D85)</f>
        <v>469</v>
      </c>
      <c r="F85" s="99">
        <v>33300</v>
      </c>
      <c r="G85" s="103">
        <v>733</v>
      </c>
      <c r="H85" s="102">
        <v>43994</v>
      </c>
      <c r="J85" s="94"/>
      <c r="K85" s="94"/>
      <c r="L85" s="93"/>
    </row>
    <row r="86" spans="1:29" s="2" customFormat="1" ht="25.5" customHeight="1" x14ac:dyDescent="0.25">
      <c r="A86" s="29" t="s">
        <v>95</v>
      </c>
      <c r="B86" s="24" t="s">
        <v>95</v>
      </c>
      <c r="C86" s="99">
        <v>50600</v>
      </c>
      <c r="D86" s="100">
        <v>0</v>
      </c>
      <c r="E86" s="91">
        <f>VLOOKUP(C86,'[1]健保級距-107'!A:I,4,0)*(1+D86)</f>
        <v>712</v>
      </c>
      <c r="F86" s="99">
        <v>45800</v>
      </c>
      <c r="G86" s="103">
        <v>1008</v>
      </c>
      <c r="H86" s="102">
        <v>43997</v>
      </c>
      <c r="J86" s="94"/>
      <c r="K86" s="94"/>
      <c r="L86" s="93"/>
    </row>
    <row r="87" spans="1:29" s="2" customFormat="1" ht="25.5" customHeight="1" x14ac:dyDescent="0.25">
      <c r="A87" s="29" t="s">
        <v>96</v>
      </c>
      <c r="B87" s="24" t="s">
        <v>96</v>
      </c>
      <c r="C87" s="99">
        <v>42000</v>
      </c>
      <c r="D87" s="100">
        <v>0</v>
      </c>
      <c r="E87" s="91">
        <f>VLOOKUP(C87,'[1]健保級距-107'!A:I,4,0)*(1+D87)</f>
        <v>591</v>
      </c>
      <c r="F87" s="99">
        <v>42000</v>
      </c>
      <c r="G87" s="103">
        <v>924</v>
      </c>
      <c r="H87" s="102">
        <v>43997</v>
      </c>
      <c r="J87" s="94"/>
      <c r="K87" s="94"/>
      <c r="L87" s="93"/>
    </row>
    <row r="88" spans="1:29" s="59" customFormat="1" ht="25.5" customHeight="1" x14ac:dyDescent="0.25">
      <c r="A88" s="29" t="s">
        <v>51</v>
      </c>
      <c r="B88" s="24" t="s">
        <v>51</v>
      </c>
      <c r="C88" s="104">
        <v>53000</v>
      </c>
      <c r="D88" s="100">
        <v>1</v>
      </c>
      <c r="E88" s="91">
        <f>VLOOKUP(C88,'[1]健保級距-107'!A:I,4,0)*(1+D88)-746</f>
        <v>746</v>
      </c>
      <c r="F88" s="99">
        <v>45800</v>
      </c>
      <c r="G88" s="103">
        <v>1008</v>
      </c>
      <c r="H88" s="102">
        <v>44011</v>
      </c>
      <c r="I88" s="2"/>
      <c r="J88" s="94"/>
      <c r="K88" s="94"/>
      <c r="L88" s="93"/>
      <c r="M88" s="2"/>
      <c r="N88" s="2"/>
      <c r="O88" s="2"/>
      <c r="P88" s="2"/>
      <c r="Q88" s="2"/>
      <c r="R88" s="2"/>
      <c r="S88" s="2"/>
      <c r="T88" s="2"/>
      <c r="V88" s="2"/>
      <c r="W88" s="2"/>
      <c r="X88" s="2"/>
      <c r="Y88" s="2"/>
      <c r="Z88" s="2"/>
      <c r="AA88" s="2"/>
      <c r="AB88" s="2"/>
      <c r="AC88" s="2"/>
    </row>
    <row r="89" spans="1:29" s="2" customFormat="1" ht="25.5" customHeight="1" x14ac:dyDescent="0.25">
      <c r="A89" s="29" t="s">
        <v>52</v>
      </c>
      <c r="B89" s="24" t="s">
        <v>52</v>
      </c>
      <c r="C89" s="99">
        <v>45800</v>
      </c>
      <c r="D89" s="100">
        <v>2</v>
      </c>
      <c r="E89" s="91">
        <f>VLOOKUP(C89,'[1]健保級距-107'!A:I,4,0)*(1+D89)</f>
        <v>1932</v>
      </c>
      <c r="F89" s="99">
        <v>45800</v>
      </c>
      <c r="G89" s="103">
        <v>1008</v>
      </c>
      <c r="H89" s="102">
        <v>44013</v>
      </c>
      <c r="J89" s="94"/>
      <c r="K89" s="94"/>
      <c r="L89" s="93"/>
      <c r="V89" s="59"/>
      <c r="W89" s="59"/>
      <c r="X89" s="59"/>
      <c r="Y89" s="59"/>
      <c r="Z89" s="59"/>
      <c r="AA89" s="59"/>
      <c r="AB89" s="59"/>
      <c r="AC89" s="59"/>
    </row>
    <row r="90" spans="1:29" s="2" customFormat="1" ht="25.5" customHeight="1" x14ac:dyDescent="0.25">
      <c r="A90" s="29" t="s">
        <v>53</v>
      </c>
      <c r="B90" s="24" t="s">
        <v>53</v>
      </c>
      <c r="C90" s="99">
        <v>42000</v>
      </c>
      <c r="D90" s="100">
        <v>0</v>
      </c>
      <c r="E90" s="91">
        <f>VLOOKUP(C90,'[1]健保級距-107'!A:I,4,0)*(1+D90)</f>
        <v>591</v>
      </c>
      <c r="F90" s="99">
        <v>42000</v>
      </c>
      <c r="G90" s="103">
        <v>924</v>
      </c>
      <c r="H90" s="102">
        <v>44013</v>
      </c>
      <c r="I90" s="93"/>
      <c r="J90" s="94"/>
      <c r="K90" s="94"/>
      <c r="L90" s="93"/>
    </row>
    <row r="91" spans="1:29" s="2" customFormat="1" ht="25.5" customHeight="1" x14ac:dyDescent="0.25">
      <c r="A91" s="29" t="s">
        <v>81</v>
      </c>
      <c r="B91" s="24" t="s">
        <v>81</v>
      </c>
      <c r="C91" s="99">
        <v>40100</v>
      </c>
      <c r="D91" s="100">
        <v>0</v>
      </c>
      <c r="E91" s="91">
        <f>VLOOKUP(C91,'[1]健保級距-107'!A:I,4,0)*(1+D91)</f>
        <v>564</v>
      </c>
      <c r="F91" s="99">
        <v>40100</v>
      </c>
      <c r="G91" s="103">
        <v>882</v>
      </c>
      <c r="H91" s="102">
        <v>44013</v>
      </c>
      <c r="J91" s="94"/>
      <c r="K91" s="94"/>
      <c r="L91" s="93"/>
    </row>
    <row r="92" spans="1:29" s="2" customFormat="1" ht="25.5" customHeight="1" x14ac:dyDescent="0.25">
      <c r="A92" s="29" t="s">
        <v>54</v>
      </c>
      <c r="B92" s="24" t="s">
        <v>54</v>
      </c>
      <c r="C92" s="99">
        <v>27600</v>
      </c>
      <c r="D92" s="100">
        <v>0</v>
      </c>
      <c r="E92" s="91">
        <f>VLOOKUP(C92,'[1]健保級距-107'!A:I,4,0)*(1+D92)</f>
        <v>388</v>
      </c>
      <c r="F92" s="99">
        <v>27600</v>
      </c>
      <c r="G92" s="103">
        <v>607</v>
      </c>
      <c r="H92" s="102">
        <v>44013</v>
      </c>
      <c r="J92" s="94"/>
      <c r="K92" s="94"/>
      <c r="L92" s="93"/>
    </row>
    <row r="93" spans="1:29" s="2" customFormat="1" ht="25.5" customHeight="1" x14ac:dyDescent="0.25">
      <c r="A93" s="29" t="s">
        <v>55</v>
      </c>
      <c r="B93" s="24" t="s">
        <v>55</v>
      </c>
      <c r="C93" s="99">
        <v>27600</v>
      </c>
      <c r="D93" s="100">
        <v>0</v>
      </c>
      <c r="E93" s="91">
        <f>VLOOKUP(C93,'[1]健保級距-107'!A:I,4,0)*(1+D93)</f>
        <v>388</v>
      </c>
      <c r="F93" s="99">
        <v>27600</v>
      </c>
      <c r="G93" s="103">
        <v>607</v>
      </c>
      <c r="H93" s="102">
        <v>44013</v>
      </c>
      <c r="J93" s="94"/>
      <c r="K93" s="94"/>
      <c r="L93" s="93"/>
    </row>
    <row r="94" spans="1:29" s="2" customFormat="1" ht="25.5" customHeight="1" x14ac:dyDescent="0.25">
      <c r="A94" s="29" t="s">
        <v>56</v>
      </c>
      <c r="B94" s="24" t="s">
        <v>56</v>
      </c>
      <c r="C94" s="99">
        <v>27600</v>
      </c>
      <c r="D94" s="100">
        <v>0</v>
      </c>
      <c r="E94" s="98">
        <f>VLOOKUP(C94,'[1]健保級距-107'!A:I,4,0)*(1+D94)-388</f>
        <v>0</v>
      </c>
      <c r="F94" s="99">
        <v>27600</v>
      </c>
      <c r="G94" s="103">
        <v>607</v>
      </c>
      <c r="H94" s="102">
        <v>44013</v>
      </c>
      <c r="J94" s="94"/>
      <c r="K94" s="94"/>
      <c r="L94" s="93"/>
    </row>
    <row r="95" spans="1:29" s="2" customFormat="1" ht="25.5" customHeight="1" x14ac:dyDescent="0.25">
      <c r="A95" s="29" t="s">
        <v>57</v>
      </c>
      <c r="B95" s="24" t="s">
        <v>57</v>
      </c>
      <c r="C95" s="99">
        <v>27600</v>
      </c>
      <c r="D95" s="100">
        <v>0</v>
      </c>
      <c r="E95" s="91">
        <f>VLOOKUP(C95,'[1]健保級距-107'!A:I,4,0)*(1+D95)</f>
        <v>388</v>
      </c>
      <c r="F95" s="99">
        <v>27600</v>
      </c>
      <c r="G95" s="103">
        <v>607</v>
      </c>
      <c r="H95" s="102">
        <v>44013</v>
      </c>
      <c r="J95" s="94"/>
      <c r="K95" s="94"/>
      <c r="L95" s="93"/>
    </row>
    <row r="96" spans="1:29" s="2" customFormat="1" ht="25.5" customHeight="1" x14ac:dyDescent="0.25">
      <c r="A96" s="29" t="s">
        <v>58</v>
      </c>
      <c r="B96" s="24" t="s">
        <v>58</v>
      </c>
      <c r="C96" s="99">
        <v>27600</v>
      </c>
      <c r="D96" s="100">
        <v>3</v>
      </c>
      <c r="E96" s="98">
        <f>VLOOKUP(C96,'[1]健保級距-107'!A:I,4,0)*(1+D96)-291-1261</f>
        <v>0</v>
      </c>
      <c r="F96" s="99">
        <v>27600</v>
      </c>
      <c r="G96" s="105">
        <v>303</v>
      </c>
      <c r="H96" s="102">
        <v>44013</v>
      </c>
      <c r="J96" s="94"/>
      <c r="K96" s="94"/>
      <c r="L96" s="106"/>
    </row>
    <row r="97" spans="1:29" s="2" customFormat="1" ht="25.5" customHeight="1" x14ac:dyDescent="0.25">
      <c r="A97" s="29" t="s">
        <v>59</v>
      </c>
      <c r="B97" s="24" t="s">
        <v>59</v>
      </c>
      <c r="C97" s="99">
        <v>45800</v>
      </c>
      <c r="D97" s="100">
        <v>0</v>
      </c>
      <c r="E97" s="91">
        <f>VLOOKUP(C97,'[1]健保級距-107'!A:I,4,0)*(1+D97)</f>
        <v>644</v>
      </c>
      <c r="F97" s="99">
        <v>45800</v>
      </c>
      <c r="G97" s="103">
        <v>1008</v>
      </c>
      <c r="H97" s="102">
        <v>44022</v>
      </c>
      <c r="J97" s="94"/>
      <c r="K97" s="94"/>
      <c r="L97" s="93"/>
    </row>
    <row r="98" spans="1:29" s="2" customFormat="1" ht="25.5" customHeight="1" x14ac:dyDescent="0.25">
      <c r="A98" s="29" t="s">
        <v>82</v>
      </c>
      <c r="B98" s="24" t="s">
        <v>82</v>
      </c>
      <c r="C98" s="99">
        <v>42000</v>
      </c>
      <c r="D98" s="100">
        <v>2</v>
      </c>
      <c r="E98" s="91">
        <f>VLOOKUP(C98,'[1]健保級距-107'!A:I,4,0)*(1+D98)-591</f>
        <v>1182</v>
      </c>
      <c r="F98" s="99">
        <v>42000</v>
      </c>
      <c r="G98" s="103">
        <v>924</v>
      </c>
      <c r="H98" s="102">
        <v>44027</v>
      </c>
      <c r="J98" s="94"/>
      <c r="K98" s="94"/>
      <c r="L98" s="93"/>
    </row>
    <row r="99" spans="1:29" s="2" customFormat="1" ht="25.5" customHeight="1" x14ac:dyDescent="0.25">
      <c r="A99" s="29" t="s">
        <v>60</v>
      </c>
      <c r="B99" s="24" t="s">
        <v>60</v>
      </c>
      <c r="C99" s="99">
        <v>27600</v>
      </c>
      <c r="D99" s="100">
        <v>0</v>
      </c>
      <c r="E99" s="91">
        <f>VLOOKUP(C99,'[1]健保級距-107'!A:I,4,0)*(1+D99)</f>
        <v>388</v>
      </c>
      <c r="F99" s="99">
        <v>27600</v>
      </c>
      <c r="G99" s="103">
        <v>607</v>
      </c>
      <c r="H99" s="102">
        <v>44027</v>
      </c>
      <c r="J99" s="94"/>
      <c r="K99" s="94"/>
      <c r="L99" s="93"/>
    </row>
    <row r="100" spans="1:29" s="2" customFormat="1" ht="25.5" customHeight="1" x14ac:dyDescent="0.25">
      <c r="A100" s="29" t="s">
        <v>61</v>
      </c>
      <c r="B100" s="24" t="s">
        <v>61</v>
      </c>
      <c r="C100" s="99">
        <v>48200</v>
      </c>
      <c r="D100" s="100">
        <v>0</v>
      </c>
      <c r="E100" s="91">
        <f>VLOOKUP(C100,'[1]健保級距-107'!A:I,4,0)*(1+D100)</f>
        <v>678</v>
      </c>
      <c r="F100" s="99">
        <v>45800</v>
      </c>
      <c r="G100" s="103">
        <v>1008</v>
      </c>
      <c r="H100" s="102">
        <v>44039</v>
      </c>
      <c r="J100" s="94"/>
      <c r="K100" s="94"/>
      <c r="L100" s="93"/>
    </row>
    <row r="101" spans="1:29" s="2" customFormat="1" ht="25.5" customHeight="1" x14ac:dyDescent="0.25">
      <c r="A101" s="29" t="s">
        <v>62</v>
      </c>
      <c r="B101" s="24" t="s">
        <v>62</v>
      </c>
      <c r="C101" s="99">
        <v>27600</v>
      </c>
      <c r="D101" s="100">
        <v>0</v>
      </c>
      <c r="E101" s="91">
        <f>VLOOKUP(C101,'[1]健保級距-107'!A:I,4,0)*(1+D101)</f>
        <v>388</v>
      </c>
      <c r="F101" s="99">
        <v>27600</v>
      </c>
      <c r="G101" s="103">
        <v>607</v>
      </c>
      <c r="H101" s="102">
        <v>44041</v>
      </c>
      <c r="J101" s="94"/>
      <c r="K101" s="94"/>
      <c r="L101" s="93"/>
    </row>
    <row r="102" spans="1:29" s="2" customFormat="1" ht="25.5" customHeight="1" x14ac:dyDescent="0.25">
      <c r="A102" s="29" t="s">
        <v>63</v>
      </c>
      <c r="B102" s="24" t="s">
        <v>63</v>
      </c>
      <c r="C102" s="99">
        <v>50600</v>
      </c>
      <c r="D102" s="100">
        <v>0</v>
      </c>
      <c r="E102" s="91">
        <f>VLOOKUP(C102,'[1]健保級距-107'!A:I,4,0)*(1+D102)</f>
        <v>712</v>
      </c>
      <c r="F102" s="99">
        <v>45800</v>
      </c>
      <c r="G102" s="103">
        <v>1008</v>
      </c>
      <c r="H102" s="102">
        <v>44046</v>
      </c>
      <c r="I102" s="93"/>
      <c r="J102" s="94"/>
      <c r="K102" s="94"/>
      <c r="L102" s="93"/>
      <c r="M102" s="59"/>
      <c r="N102" s="59"/>
      <c r="O102" s="59"/>
      <c r="P102" s="59"/>
      <c r="Q102" s="59"/>
      <c r="R102" s="59"/>
      <c r="S102" s="59"/>
      <c r="T102" s="59"/>
    </row>
    <row r="103" spans="1:29" s="2" customFormat="1" ht="25.5" customHeight="1" x14ac:dyDescent="0.25">
      <c r="A103" s="29" t="s">
        <v>64</v>
      </c>
      <c r="B103" s="24" t="s">
        <v>64</v>
      </c>
      <c r="C103" s="99">
        <v>30300</v>
      </c>
      <c r="D103" s="100">
        <f>1+1</f>
        <v>2</v>
      </c>
      <c r="E103" s="91">
        <f>VLOOKUP(C103,'[1]健保級距-107'!A:I,4,0)*(1+D103)</f>
        <v>1278</v>
      </c>
      <c r="F103" s="99">
        <v>30300</v>
      </c>
      <c r="G103" s="92">
        <v>667</v>
      </c>
      <c r="H103" s="102">
        <v>44046</v>
      </c>
      <c r="I103" s="93"/>
      <c r="J103" s="94"/>
      <c r="K103" s="94"/>
      <c r="L103" s="93"/>
    </row>
    <row r="104" spans="1:29" s="2" customFormat="1" ht="25.5" customHeight="1" x14ac:dyDescent="0.25">
      <c r="A104" s="29" t="s">
        <v>65</v>
      </c>
      <c r="B104" s="24" t="s">
        <v>65</v>
      </c>
      <c r="C104" s="99">
        <v>33300</v>
      </c>
      <c r="D104" s="100">
        <v>0</v>
      </c>
      <c r="E104" s="91">
        <f>VLOOKUP(C104,'[1]健保級距-107'!A:I,4,0)*(1+D104)</f>
        <v>469</v>
      </c>
      <c r="F104" s="99">
        <v>33300</v>
      </c>
      <c r="G104" s="103">
        <v>733</v>
      </c>
      <c r="H104" s="102">
        <v>44069</v>
      </c>
      <c r="I104" s="93"/>
      <c r="J104" s="94"/>
      <c r="K104" s="94"/>
      <c r="L104" s="93"/>
    </row>
    <row r="105" spans="1:29" s="2" customFormat="1" ht="25.5" customHeight="1" x14ac:dyDescent="0.25">
      <c r="A105" s="29" t="s">
        <v>66</v>
      </c>
      <c r="B105" s="24" t="s">
        <v>66</v>
      </c>
      <c r="C105" s="99">
        <v>33300</v>
      </c>
      <c r="D105" s="100">
        <v>0</v>
      </c>
      <c r="E105" s="91">
        <f>VLOOKUP(C105,'[1]健保級距-107'!A:I,4,0)*(1+D105)</f>
        <v>469</v>
      </c>
      <c r="F105" s="99">
        <v>33300</v>
      </c>
      <c r="G105" s="103">
        <v>733</v>
      </c>
      <c r="H105" s="102">
        <v>44069</v>
      </c>
      <c r="I105" s="93"/>
      <c r="J105" s="94"/>
      <c r="K105" s="94"/>
      <c r="L105" s="93"/>
    </row>
    <row r="106" spans="1:29" s="2" customFormat="1" ht="25.5" customHeight="1" x14ac:dyDescent="0.25">
      <c r="A106" s="29" t="s">
        <v>67</v>
      </c>
      <c r="B106" s="24" t="s">
        <v>67</v>
      </c>
      <c r="C106" s="99">
        <v>50600</v>
      </c>
      <c r="D106" s="100">
        <v>0</v>
      </c>
      <c r="E106" s="91">
        <f>VLOOKUP(C106,'[1]健保級距-107'!A:I,4,0)*(1+D106)</f>
        <v>712</v>
      </c>
      <c r="F106" s="99">
        <v>45800</v>
      </c>
      <c r="G106" s="103">
        <f>1008</f>
        <v>1008</v>
      </c>
      <c r="H106" s="102">
        <v>43983</v>
      </c>
      <c r="J106" s="94"/>
      <c r="K106" s="94"/>
      <c r="L106" s="93"/>
    </row>
    <row r="107" spans="1:29" s="2" customFormat="1" ht="25.5" customHeight="1" x14ac:dyDescent="0.25">
      <c r="A107" s="107" t="s">
        <v>12</v>
      </c>
      <c r="B107" s="108"/>
      <c r="C107" s="109"/>
      <c r="D107" s="110"/>
      <c r="E107" s="109">
        <f>SUM(E59:E106)</f>
        <v>40476</v>
      </c>
      <c r="F107" s="110"/>
      <c r="G107" s="111">
        <f>SUM(G59:G106)</f>
        <v>41632</v>
      </c>
      <c r="H107" s="112"/>
      <c r="J107" s="3"/>
      <c r="K107" s="3"/>
    </row>
    <row r="108" spans="1:29" s="2" customFormat="1" ht="25.5" customHeight="1" x14ac:dyDescent="0.25">
      <c r="A108"/>
      <c r="B108"/>
      <c r="C108"/>
      <c r="D108"/>
      <c r="E108"/>
      <c r="F108"/>
      <c r="G108"/>
      <c r="H108"/>
      <c r="I108"/>
      <c r="J108" s="76"/>
      <c r="K108" s="76"/>
      <c r="L108"/>
      <c r="M108"/>
      <c r="N108"/>
      <c r="O108"/>
      <c r="P108"/>
      <c r="Q108"/>
      <c r="R108"/>
      <c r="S108"/>
      <c r="T108"/>
    </row>
    <row r="109" spans="1:29" s="2" customFormat="1" ht="25.5" customHeight="1" x14ac:dyDescent="0.25">
      <c r="A109"/>
      <c r="B109"/>
      <c r="C109"/>
      <c r="D109"/>
      <c r="E109"/>
      <c r="F109"/>
      <c r="G109"/>
      <c r="H109"/>
      <c r="I109"/>
      <c r="J109" s="76"/>
      <c r="K109" s="76"/>
      <c r="L109"/>
      <c r="M109"/>
      <c r="N109"/>
      <c r="O109"/>
      <c r="P109"/>
      <c r="Q109"/>
      <c r="R109"/>
      <c r="S109"/>
      <c r="T109"/>
    </row>
    <row r="110" spans="1:29" s="2" customFormat="1" ht="25.5" customHeight="1" x14ac:dyDescent="0.25">
      <c r="A110"/>
      <c r="B110"/>
      <c r="C110"/>
      <c r="D110"/>
      <c r="E110"/>
      <c r="F110"/>
      <c r="G110"/>
      <c r="H110"/>
      <c r="I110"/>
      <c r="J110" s="76"/>
      <c r="K110" s="76"/>
      <c r="L110"/>
      <c r="M110"/>
      <c r="N110"/>
      <c r="O110"/>
      <c r="P110"/>
      <c r="Q110"/>
      <c r="R110"/>
      <c r="S110"/>
      <c r="T110"/>
    </row>
    <row r="111" spans="1:29" s="2" customFormat="1" ht="25.5" customHeight="1" x14ac:dyDescent="0.25">
      <c r="A111"/>
      <c r="B111"/>
      <c r="C111"/>
      <c r="D111"/>
      <c r="E111"/>
      <c r="F111"/>
      <c r="G111"/>
      <c r="H111"/>
      <c r="I111"/>
      <c r="J111" s="76"/>
      <c r="K111" s="76"/>
      <c r="L111"/>
      <c r="M111"/>
      <c r="N111"/>
      <c r="O111"/>
      <c r="P111"/>
      <c r="Q111"/>
      <c r="R111"/>
      <c r="S111"/>
      <c r="T111"/>
    </row>
    <row r="112" spans="1:29" ht="19.5" x14ac:dyDescent="0.25">
      <c r="V112" s="2"/>
      <c r="W112" s="2"/>
      <c r="X112" s="2"/>
      <c r="Y112" s="2"/>
      <c r="Z112" s="2"/>
      <c r="AA112" s="2"/>
      <c r="AB112" s="2"/>
      <c r="AC112" s="2"/>
    </row>
  </sheetData>
  <autoFilter ref="A3:S52" xr:uid="{945A4165-C8AB-4BF1-BCAB-9AE2B92A388C}">
    <filterColumn colId="11" showButton="0"/>
    <filterColumn colId="12" showButton="0"/>
    <filterColumn colId="13" showButton="0"/>
    <filterColumn colId="14" showButton="0"/>
    <filterColumn colId="15" showButton="0"/>
  </autoFilter>
  <mergeCells count="31">
    <mergeCell ref="A107:B107"/>
    <mergeCell ref="V15:AC15"/>
    <mergeCell ref="V16:Z16"/>
    <mergeCell ref="A53:B53"/>
    <mergeCell ref="A57:A58"/>
    <mergeCell ref="B57:B58"/>
    <mergeCell ref="C57:E57"/>
    <mergeCell ref="F57:G57"/>
    <mergeCell ref="H57:H58"/>
    <mergeCell ref="V9:W9"/>
    <mergeCell ref="V10:W10"/>
    <mergeCell ref="V11:W11"/>
    <mergeCell ref="V6:W6"/>
    <mergeCell ref="V7:W7"/>
    <mergeCell ref="V8:W8"/>
    <mergeCell ref="R3:R4"/>
    <mergeCell ref="S3:S4"/>
    <mergeCell ref="G3:G4"/>
    <mergeCell ref="H3:H4"/>
    <mergeCell ref="I3:I4"/>
    <mergeCell ref="J3:J4"/>
    <mergeCell ref="K3:K4"/>
    <mergeCell ref="L3:Q3"/>
    <mergeCell ref="V1:AC1"/>
    <mergeCell ref="V2:AC2"/>
    <mergeCell ref="A3:A4"/>
    <mergeCell ref="B3:B4"/>
    <mergeCell ref="C3:C4"/>
    <mergeCell ref="D3:D4"/>
    <mergeCell ref="E3:E4"/>
    <mergeCell ref="F3:F4"/>
  </mergeCells>
  <phoneticPr fontId="3" type="noConversion"/>
  <printOptions horizontalCentered="1"/>
  <pageMargins left="0.19685039370078741" right="0" top="0.35433070866141736" bottom="0" header="0.31496062992125984" footer="0.31496062992125984"/>
  <pageSetup paperSize="9" scale="62" fitToHeight="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109年9月  (更正)</vt:lpstr>
      <vt:lpstr>'109年9月  (更正)'!Print_Area</vt:lpstr>
      <vt:lpstr>'109年9月  (更正)'!Print_Titles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2020-10-07T07:35:35Z</dcterms:created>
  <dcterms:modified xsi:type="dcterms:W3CDTF">2020-10-07T07:54:46Z</dcterms:modified>
</cp:coreProperties>
</file>